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duncanobrien/Desktop/Academia/PhD/Data/Functional Diversity/Data/"/>
    </mc:Choice>
  </mc:AlternateContent>
  <xr:revisionPtr revIDLastSave="0" documentId="13_ncr:1_{17DB2C5F-2D39-8D47-BB5F-A1FE66AFA8ED}" xr6:coauthVersionLast="47" xr6:coauthVersionMax="47" xr10:uidLastSave="{00000000-0000-0000-0000-000000000000}"/>
  <bookViews>
    <workbookView xWindow="2860" yWindow="2100" windowWidth="22700" windowHeight="15480" firstSheet="2" activeTab="4" xr2:uid="{30D74908-08A2-9A44-9B18-73BD2B948954}"/>
  </bookViews>
  <sheets>
    <sheet name="kin_trait" sheetId="1" r:id="rId1"/>
    <sheet name="wind_trait" sheetId="4" r:id="rId2"/>
    <sheet name="kin_streamlined" sheetId="6" r:id="rId3"/>
    <sheet name="wind_streamlined" sheetId="7" r:id="rId4"/>
    <sheet name="mad_streamlined" sheetId="8" r:id="rId5"/>
    <sheet name="LZ_streamlined" sheetId="10" r:id="rId6"/>
    <sheet name="UZ_streamlined" sheetId="12" r:id="rId7"/>
    <sheet name="remet" sheetId="2" r:id="rId8"/>
    <sheet name="remet-kin" sheetId="3" r:id="rId9"/>
    <sheet name="remet-wind" sheetId="5" r:id="rId10"/>
    <sheet name="remet-mad" sheetId="9" r:id="rId11"/>
    <sheet name="remet-LZ" sheetId="11"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5" i="8" l="1"/>
  <c r="Q44" i="6"/>
  <c r="P44" i="6"/>
  <c r="O44" i="6"/>
  <c r="I44" i="6"/>
  <c r="H44" i="6"/>
  <c r="G44" i="6"/>
  <c r="F44" i="6"/>
  <c r="BH140" i="3"/>
  <c r="L44" i="6" s="1"/>
  <c r="BH141" i="3"/>
  <c r="BH142" i="3"/>
  <c r="BH143" i="3"/>
  <c r="K44" i="6"/>
  <c r="AQ141" i="3"/>
  <c r="X141" i="3"/>
  <c r="AA141" i="3" s="1"/>
  <c r="W141" i="3"/>
  <c r="Z141" i="3" s="1"/>
  <c r="AQ143" i="3"/>
  <c r="X143" i="3"/>
  <c r="AA143" i="3" s="1"/>
  <c r="W143" i="3"/>
  <c r="Z143" i="3" s="1"/>
  <c r="AQ142" i="3"/>
  <c r="X142" i="3"/>
  <c r="AA142" i="3" s="1"/>
  <c r="W142" i="3"/>
  <c r="Z142" i="3" s="1"/>
  <c r="AQ140" i="3"/>
  <c r="X140" i="3"/>
  <c r="AA140" i="3" s="1"/>
  <c r="W140" i="3"/>
  <c r="Z140" i="3" s="1"/>
  <c r="J26" i="6"/>
  <c r="N26" i="6"/>
  <c r="M26" i="6"/>
  <c r="L26" i="6"/>
  <c r="K26" i="6"/>
  <c r="S110" i="10"/>
  <c r="B163" i="10"/>
  <c r="A163" i="10"/>
  <c r="B177" i="10"/>
  <c r="A177" i="10"/>
  <c r="B175" i="10"/>
  <c r="A175" i="10"/>
  <c r="A171" i="10"/>
  <c r="B171" i="10"/>
  <c r="A169" i="10"/>
  <c r="B169" i="10"/>
  <c r="A170" i="10"/>
  <c r="B170" i="10"/>
  <c r="B168" i="10"/>
  <c r="A168" i="10"/>
  <c r="A165" i="10"/>
  <c r="B165" i="10"/>
  <c r="A166" i="10"/>
  <c r="B166" i="10"/>
  <c r="B164" i="10"/>
  <c r="A164" i="10"/>
  <c r="A160" i="10"/>
  <c r="B160" i="10"/>
  <c r="A161" i="10"/>
  <c r="B161" i="10"/>
  <c r="B159" i="10"/>
  <c r="A159" i="10"/>
  <c r="A155" i="10"/>
  <c r="B155" i="10"/>
  <c r="A156" i="10"/>
  <c r="B156" i="10"/>
  <c r="A157" i="10"/>
  <c r="B157" i="10"/>
  <c r="B154" i="10"/>
  <c r="A154" i="10"/>
  <c r="A151" i="10"/>
  <c r="B151" i="10"/>
  <c r="B150" i="10"/>
  <c r="A150" i="10"/>
  <c r="A146" i="10"/>
  <c r="B146" i="10"/>
  <c r="B145" i="10"/>
  <c r="A145" i="10"/>
  <c r="B143" i="10"/>
  <c r="A143" i="10"/>
  <c r="B140" i="10"/>
  <c r="A140" i="10"/>
  <c r="A131" i="10"/>
  <c r="B131" i="10"/>
  <c r="A132" i="10"/>
  <c r="B132" i="10"/>
  <c r="A133" i="10"/>
  <c r="B133" i="10"/>
  <c r="A134" i="10"/>
  <c r="B134" i="10"/>
  <c r="A135" i="10"/>
  <c r="B135" i="10"/>
  <c r="A136" i="10"/>
  <c r="B136" i="10"/>
  <c r="A137" i="10"/>
  <c r="B137" i="10"/>
  <c r="A130" i="10"/>
  <c r="B130" i="10"/>
  <c r="B129" i="10"/>
  <c r="A129" i="10"/>
  <c r="A126" i="10"/>
  <c r="B126" i="10"/>
  <c r="A118" i="10"/>
  <c r="B118" i="10"/>
  <c r="A119" i="10"/>
  <c r="B119" i="10"/>
  <c r="A117" i="10"/>
  <c r="B117" i="10"/>
  <c r="B116" i="10"/>
  <c r="A116" i="10"/>
  <c r="A110" i="10"/>
  <c r="B110" i="10"/>
  <c r="A111" i="10"/>
  <c r="B111" i="10"/>
  <c r="A112" i="10"/>
  <c r="B112" i="10"/>
  <c r="A113" i="10"/>
  <c r="B113" i="10"/>
  <c r="B109" i="10"/>
  <c r="A109" i="10"/>
  <c r="A106" i="10"/>
  <c r="B106" i="10"/>
  <c r="A107" i="10"/>
  <c r="B107" i="10"/>
  <c r="B105" i="10"/>
  <c r="A105" i="10"/>
  <c r="A100" i="10"/>
  <c r="B100" i="10"/>
  <c r="B99" i="10"/>
  <c r="A99" i="10"/>
  <c r="A96" i="10"/>
  <c r="B96" i="10"/>
  <c r="A97" i="10"/>
  <c r="B97" i="10"/>
  <c r="A95" i="10"/>
  <c r="B95" i="10"/>
  <c r="B94" i="10"/>
  <c r="A94" i="10"/>
  <c r="B92" i="10"/>
  <c r="A92" i="10"/>
  <c r="A86" i="10"/>
  <c r="B86" i="10"/>
  <c r="A87" i="10"/>
  <c r="B87" i="10"/>
  <c r="A88" i="10"/>
  <c r="B88" i="10"/>
  <c r="A89" i="10"/>
  <c r="B89" i="10"/>
  <c r="P177" i="10"/>
  <c r="O177" i="10"/>
  <c r="N177" i="10"/>
  <c r="M177" i="10"/>
  <c r="L177" i="10"/>
  <c r="K177" i="10"/>
  <c r="J177" i="10"/>
  <c r="I177" i="10"/>
  <c r="H177" i="10"/>
  <c r="G177" i="10"/>
  <c r="F177" i="10"/>
  <c r="E177" i="10"/>
  <c r="P175" i="10"/>
  <c r="O175" i="10"/>
  <c r="N175" i="10"/>
  <c r="M175" i="10"/>
  <c r="L175" i="10"/>
  <c r="K175" i="10"/>
  <c r="J175" i="10"/>
  <c r="I175" i="10"/>
  <c r="H175" i="10"/>
  <c r="G175" i="10"/>
  <c r="F175" i="10"/>
  <c r="E175" i="10"/>
  <c r="P171" i="10"/>
  <c r="O171" i="10"/>
  <c r="N171" i="10"/>
  <c r="M171" i="10"/>
  <c r="L171" i="10"/>
  <c r="K171" i="10"/>
  <c r="J171" i="10"/>
  <c r="I171" i="10"/>
  <c r="H171" i="10"/>
  <c r="G171" i="10"/>
  <c r="F171" i="10"/>
  <c r="E171" i="10"/>
  <c r="P170" i="10"/>
  <c r="O170" i="10"/>
  <c r="N170" i="10"/>
  <c r="M170" i="10"/>
  <c r="L170" i="10"/>
  <c r="K170" i="10"/>
  <c r="J170" i="10"/>
  <c r="I170" i="10"/>
  <c r="H170" i="10"/>
  <c r="G170" i="10"/>
  <c r="F170" i="10"/>
  <c r="E170" i="10"/>
  <c r="P169" i="10"/>
  <c r="O169" i="10"/>
  <c r="N169" i="10"/>
  <c r="M169" i="10"/>
  <c r="L169" i="10"/>
  <c r="K169" i="10"/>
  <c r="J169" i="10"/>
  <c r="I169" i="10"/>
  <c r="H169" i="10"/>
  <c r="G169" i="10"/>
  <c r="F169" i="10"/>
  <c r="E169" i="10"/>
  <c r="P168" i="10"/>
  <c r="O168" i="10"/>
  <c r="N168" i="10"/>
  <c r="M168" i="10"/>
  <c r="L168" i="10"/>
  <c r="K168" i="10"/>
  <c r="J168" i="10"/>
  <c r="I168" i="10"/>
  <c r="H168" i="10"/>
  <c r="G168" i="10"/>
  <c r="F168" i="10"/>
  <c r="E168" i="10"/>
  <c r="P166" i="10"/>
  <c r="O166" i="10"/>
  <c r="N166" i="10"/>
  <c r="M166" i="10"/>
  <c r="L166" i="10"/>
  <c r="K166" i="10"/>
  <c r="J166" i="10"/>
  <c r="I166" i="10"/>
  <c r="H166" i="10"/>
  <c r="G166" i="10"/>
  <c r="F166" i="10"/>
  <c r="E166" i="10"/>
  <c r="P165" i="10"/>
  <c r="O165" i="10"/>
  <c r="N165" i="10"/>
  <c r="M165" i="10"/>
  <c r="L165" i="10"/>
  <c r="K165" i="10"/>
  <c r="J165" i="10"/>
  <c r="I165" i="10"/>
  <c r="H165" i="10"/>
  <c r="G165" i="10"/>
  <c r="F165" i="10"/>
  <c r="E165" i="10"/>
  <c r="P164" i="10"/>
  <c r="O164" i="10"/>
  <c r="N164" i="10"/>
  <c r="M164" i="10"/>
  <c r="L164" i="10"/>
  <c r="K164" i="10"/>
  <c r="J164" i="10"/>
  <c r="I164" i="10"/>
  <c r="H164" i="10"/>
  <c r="G164" i="10"/>
  <c r="F164" i="10"/>
  <c r="E164" i="10"/>
  <c r="P163" i="10"/>
  <c r="O163" i="10"/>
  <c r="N163" i="10"/>
  <c r="M163" i="10"/>
  <c r="L163" i="10"/>
  <c r="K163" i="10"/>
  <c r="J163" i="10"/>
  <c r="I163" i="10"/>
  <c r="H163" i="10"/>
  <c r="G163" i="10"/>
  <c r="F163" i="10"/>
  <c r="E163" i="10"/>
  <c r="P161" i="10"/>
  <c r="O161" i="10"/>
  <c r="N161" i="10"/>
  <c r="M161" i="10"/>
  <c r="L161" i="10"/>
  <c r="K161" i="10"/>
  <c r="J161" i="10"/>
  <c r="I161" i="10"/>
  <c r="H161" i="10"/>
  <c r="G161" i="10"/>
  <c r="F161" i="10"/>
  <c r="E161" i="10"/>
  <c r="P160" i="10"/>
  <c r="O160" i="10"/>
  <c r="N160" i="10"/>
  <c r="M160" i="10"/>
  <c r="L160" i="10"/>
  <c r="K160" i="10"/>
  <c r="J160" i="10"/>
  <c r="I160" i="10"/>
  <c r="H160" i="10"/>
  <c r="G160" i="10"/>
  <c r="F160" i="10"/>
  <c r="E160" i="10"/>
  <c r="P159" i="10"/>
  <c r="O159" i="10"/>
  <c r="N159" i="10"/>
  <c r="M159" i="10"/>
  <c r="L159" i="10"/>
  <c r="K159" i="10"/>
  <c r="J159" i="10"/>
  <c r="I159" i="10"/>
  <c r="H159" i="10"/>
  <c r="G159" i="10"/>
  <c r="F159" i="10"/>
  <c r="E159" i="10"/>
  <c r="P157" i="10"/>
  <c r="O157" i="10"/>
  <c r="N157" i="10"/>
  <c r="M157" i="10"/>
  <c r="L157" i="10"/>
  <c r="K157" i="10"/>
  <c r="J157" i="10"/>
  <c r="I157" i="10"/>
  <c r="H157" i="10"/>
  <c r="G157" i="10"/>
  <c r="F157" i="10"/>
  <c r="E157" i="10"/>
  <c r="P156" i="10"/>
  <c r="O156" i="10"/>
  <c r="N156" i="10"/>
  <c r="M156" i="10"/>
  <c r="L156" i="10"/>
  <c r="K156" i="10"/>
  <c r="J156" i="10"/>
  <c r="I156" i="10"/>
  <c r="H156" i="10"/>
  <c r="G156" i="10"/>
  <c r="F156" i="10"/>
  <c r="E156" i="10"/>
  <c r="P155" i="10"/>
  <c r="O155" i="10"/>
  <c r="N155" i="10"/>
  <c r="M155" i="10"/>
  <c r="L155" i="10"/>
  <c r="K155" i="10"/>
  <c r="J155" i="10"/>
  <c r="I155" i="10"/>
  <c r="H155" i="10"/>
  <c r="G155" i="10"/>
  <c r="F155" i="10"/>
  <c r="E155" i="10"/>
  <c r="P154" i="10"/>
  <c r="O154" i="10"/>
  <c r="N154" i="10"/>
  <c r="M154" i="10"/>
  <c r="L154" i="10"/>
  <c r="K154" i="10"/>
  <c r="J154" i="10"/>
  <c r="I154" i="10"/>
  <c r="H154" i="10"/>
  <c r="G154" i="10"/>
  <c r="F154" i="10"/>
  <c r="E154" i="10"/>
  <c r="P151" i="10"/>
  <c r="O151" i="10"/>
  <c r="N151" i="10"/>
  <c r="M151" i="10"/>
  <c r="L151" i="10"/>
  <c r="K151" i="10"/>
  <c r="J151" i="10"/>
  <c r="I151" i="10"/>
  <c r="H151" i="10"/>
  <c r="G151" i="10"/>
  <c r="F151" i="10"/>
  <c r="E151" i="10"/>
  <c r="P150" i="10"/>
  <c r="O150" i="10"/>
  <c r="N150" i="10"/>
  <c r="M150" i="10"/>
  <c r="L150" i="10"/>
  <c r="K150" i="10"/>
  <c r="J150" i="10"/>
  <c r="I150" i="10"/>
  <c r="H150" i="10"/>
  <c r="G150" i="10"/>
  <c r="F150" i="10"/>
  <c r="E150" i="10"/>
  <c r="P146" i="10"/>
  <c r="O146" i="10"/>
  <c r="N146" i="10"/>
  <c r="M146" i="10"/>
  <c r="L146" i="10"/>
  <c r="K146" i="10"/>
  <c r="J146" i="10"/>
  <c r="I146" i="10"/>
  <c r="H146" i="10"/>
  <c r="G146" i="10"/>
  <c r="F146" i="10"/>
  <c r="E146" i="10"/>
  <c r="P145" i="10"/>
  <c r="O145" i="10"/>
  <c r="N145" i="10"/>
  <c r="M145" i="10"/>
  <c r="L145" i="10"/>
  <c r="K145" i="10"/>
  <c r="J145" i="10"/>
  <c r="I145" i="10"/>
  <c r="H145" i="10"/>
  <c r="G145" i="10"/>
  <c r="F145" i="10"/>
  <c r="E145" i="10"/>
  <c r="P143" i="10"/>
  <c r="O143" i="10"/>
  <c r="N143" i="10"/>
  <c r="M143" i="10"/>
  <c r="L143" i="10"/>
  <c r="K143" i="10"/>
  <c r="J143" i="10"/>
  <c r="I143" i="10"/>
  <c r="H143" i="10"/>
  <c r="G143" i="10"/>
  <c r="F143" i="10"/>
  <c r="E143" i="10"/>
  <c r="P140" i="10"/>
  <c r="O140" i="10"/>
  <c r="N140" i="10"/>
  <c r="M140" i="10"/>
  <c r="L140" i="10"/>
  <c r="K140" i="10"/>
  <c r="J140" i="10"/>
  <c r="I140" i="10"/>
  <c r="H140" i="10"/>
  <c r="G140" i="10"/>
  <c r="F140" i="10"/>
  <c r="E140" i="10"/>
  <c r="P137" i="10"/>
  <c r="O137" i="10"/>
  <c r="N137" i="10"/>
  <c r="M137" i="10"/>
  <c r="L137" i="10"/>
  <c r="K137" i="10"/>
  <c r="J137" i="10"/>
  <c r="I137" i="10"/>
  <c r="H137" i="10"/>
  <c r="G137" i="10"/>
  <c r="F137" i="10"/>
  <c r="E137" i="10"/>
  <c r="P136" i="10"/>
  <c r="O136" i="10"/>
  <c r="N136" i="10"/>
  <c r="M136" i="10"/>
  <c r="L136" i="10"/>
  <c r="K136" i="10"/>
  <c r="J136" i="10"/>
  <c r="I136" i="10"/>
  <c r="H136" i="10"/>
  <c r="G136" i="10"/>
  <c r="F136" i="10"/>
  <c r="E136" i="10"/>
  <c r="P135" i="10"/>
  <c r="O135" i="10"/>
  <c r="N135" i="10"/>
  <c r="M135" i="10"/>
  <c r="L135" i="10"/>
  <c r="K135" i="10"/>
  <c r="J135" i="10"/>
  <c r="I135" i="10"/>
  <c r="H135" i="10"/>
  <c r="G135" i="10"/>
  <c r="F135" i="10"/>
  <c r="E135" i="10"/>
  <c r="P134" i="10"/>
  <c r="O134" i="10"/>
  <c r="N134" i="10"/>
  <c r="M134" i="10"/>
  <c r="L134" i="10"/>
  <c r="K134" i="10"/>
  <c r="J134" i="10"/>
  <c r="I134" i="10"/>
  <c r="H134" i="10"/>
  <c r="G134" i="10"/>
  <c r="F134" i="10"/>
  <c r="E134" i="10"/>
  <c r="P133" i="10"/>
  <c r="O133" i="10"/>
  <c r="N133" i="10"/>
  <c r="M133" i="10"/>
  <c r="L133" i="10"/>
  <c r="K133" i="10"/>
  <c r="J133" i="10"/>
  <c r="I133" i="10"/>
  <c r="H133" i="10"/>
  <c r="G133" i="10"/>
  <c r="F133" i="10"/>
  <c r="E133" i="10"/>
  <c r="P132" i="10"/>
  <c r="O132" i="10"/>
  <c r="N132" i="10"/>
  <c r="M132" i="10"/>
  <c r="L132" i="10"/>
  <c r="K132" i="10"/>
  <c r="J132" i="10"/>
  <c r="I132" i="10"/>
  <c r="H132" i="10"/>
  <c r="G132" i="10"/>
  <c r="F132" i="10"/>
  <c r="E132" i="10"/>
  <c r="P131" i="10"/>
  <c r="O131" i="10"/>
  <c r="N131" i="10"/>
  <c r="M131" i="10"/>
  <c r="L131" i="10"/>
  <c r="K131" i="10"/>
  <c r="J131" i="10"/>
  <c r="I131" i="10"/>
  <c r="H131" i="10"/>
  <c r="G131" i="10"/>
  <c r="F131" i="10"/>
  <c r="E131" i="10"/>
  <c r="P130" i="10"/>
  <c r="O130" i="10"/>
  <c r="N130" i="10"/>
  <c r="M130" i="10"/>
  <c r="L130" i="10"/>
  <c r="K130" i="10"/>
  <c r="J130" i="10"/>
  <c r="I130" i="10"/>
  <c r="H130" i="10"/>
  <c r="G130" i="10"/>
  <c r="F130" i="10"/>
  <c r="E130" i="10"/>
  <c r="P129" i="10"/>
  <c r="O129" i="10"/>
  <c r="N129" i="10"/>
  <c r="M129" i="10"/>
  <c r="L129" i="10"/>
  <c r="K129" i="10"/>
  <c r="J129" i="10"/>
  <c r="I129" i="10"/>
  <c r="H129" i="10"/>
  <c r="G129" i="10"/>
  <c r="F129" i="10"/>
  <c r="E129" i="10"/>
  <c r="P126" i="10"/>
  <c r="O126" i="10"/>
  <c r="N126" i="10"/>
  <c r="M126" i="10"/>
  <c r="L126" i="10"/>
  <c r="K126" i="10"/>
  <c r="J126" i="10"/>
  <c r="I126" i="10"/>
  <c r="H126" i="10"/>
  <c r="G126" i="10"/>
  <c r="F126" i="10"/>
  <c r="E126" i="10"/>
  <c r="P119" i="10"/>
  <c r="O119" i="10"/>
  <c r="N119" i="10"/>
  <c r="M119" i="10"/>
  <c r="L119" i="10"/>
  <c r="K119" i="10"/>
  <c r="J119" i="10"/>
  <c r="I119" i="10"/>
  <c r="H119" i="10"/>
  <c r="G119" i="10"/>
  <c r="F119" i="10"/>
  <c r="E119" i="10"/>
  <c r="P118" i="10"/>
  <c r="O118" i="10"/>
  <c r="N118" i="10"/>
  <c r="M118" i="10"/>
  <c r="L118" i="10"/>
  <c r="K118" i="10"/>
  <c r="J118" i="10"/>
  <c r="I118" i="10"/>
  <c r="H118" i="10"/>
  <c r="G118" i="10"/>
  <c r="F118" i="10"/>
  <c r="E118" i="10"/>
  <c r="P117" i="10"/>
  <c r="O117" i="10"/>
  <c r="N117" i="10"/>
  <c r="M117" i="10"/>
  <c r="L117" i="10"/>
  <c r="K117" i="10"/>
  <c r="J117" i="10"/>
  <c r="I117" i="10"/>
  <c r="H117" i="10"/>
  <c r="G117" i="10"/>
  <c r="F117" i="10"/>
  <c r="E117" i="10"/>
  <c r="P116" i="10"/>
  <c r="O116" i="10"/>
  <c r="N116" i="10"/>
  <c r="M116" i="10"/>
  <c r="L116" i="10"/>
  <c r="K116" i="10"/>
  <c r="J116" i="10"/>
  <c r="I116" i="10"/>
  <c r="H116" i="10"/>
  <c r="G116" i="10"/>
  <c r="F116" i="10"/>
  <c r="E116" i="10"/>
  <c r="P113" i="10"/>
  <c r="O113" i="10"/>
  <c r="N113" i="10"/>
  <c r="H113" i="10"/>
  <c r="G113" i="10"/>
  <c r="F113" i="10"/>
  <c r="E113" i="10"/>
  <c r="P112" i="10"/>
  <c r="O112" i="10"/>
  <c r="N112" i="10"/>
  <c r="H112" i="10"/>
  <c r="G112" i="10"/>
  <c r="F112" i="10"/>
  <c r="E112" i="10"/>
  <c r="P111" i="10"/>
  <c r="O111" i="10"/>
  <c r="N111" i="10"/>
  <c r="H111" i="10"/>
  <c r="G111" i="10"/>
  <c r="F111" i="10"/>
  <c r="E111" i="10"/>
  <c r="P110" i="10"/>
  <c r="O110" i="10"/>
  <c r="N110" i="10"/>
  <c r="H110" i="10"/>
  <c r="G110" i="10"/>
  <c r="F110" i="10"/>
  <c r="E110" i="10"/>
  <c r="P109" i="10"/>
  <c r="O109" i="10"/>
  <c r="N109" i="10"/>
  <c r="H109" i="10"/>
  <c r="G109" i="10"/>
  <c r="F109" i="10"/>
  <c r="E109" i="10"/>
  <c r="P107" i="10"/>
  <c r="O107" i="10"/>
  <c r="N107" i="10"/>
  <c r="H107" i="10"/>
  <c r="G107" i="10"/>
  <c r="F107" i="10"/>
  <c r="E107" i="10"/>
  <c r="P106" i="10"/>
  <c r="O106" i="10"/>
  <c r="N106" i="10"/>
  <c r="H106" i="10"/>
  <c r="G106" i="10"/>
  <c r="F106" i="10"/>
  <c r="E106" i="10"/>
  <c r="P105" i="10"/>
  <c r="O105" i="10"/>
  <c r="N105" i="10"/>
  <c r="H105" i="10"/>
  <c r="G105" i="10"/>
  <c r="F105" i="10"/>
  <c r="E105" i="10"/>
  <c r="P100" i="10"/>
  <c r="O100" i="10"/>
  <c r="N100" i="10"/>
  <c r="H100" i="10"/>
  <c r="G100" i="10"/>
  <c r="F100" i="10"/>
  <c r="E100" i="10"/>
  <c r="P99" i="10"/>
  <c r="O99" i="10"/>
  <c r="N99" i="10"/>
  <c r="H99" i="10"/>
  <c r="G99" i="10"/>
  <c r="F99" i="10"/>
  <c r="E99" i="10"/>
  <c r="P97" i="10"/>
  <c r="O97" i="10"/>
  <c r="N97" i="10"/>
  <c r="H97" i="10"/>
  <c r="G97" i="10"/>
  <c r="F97" i="10"/>
  <c r="E97" i="10"/>
  <c r="P96" i="10"/>
  <c r="O96" i="10"/>
  <c r="N96" i="10"/>
  <c r="H96" i="10"/>
  <c r="G96" i="10"/>
  <c r="F96" i="10"/>
  <c r="E96" i="10"/>
  <c r="E95" i="10"/>
  <c r="P95" i="10"/>
  <c r="O95" i="10"/>
  <c r="N95" i="10"/>
  <c r="H95" i="10"/>
  <c r="G95" i="10"/>
  <c r="F95" i="10"/>
  <c r="P94" i="10"/>
  <c r="O94" i="10"/>
  <c r="N94" i="10"/>
  <c r="H94" i="10"/>
  <c r="G94" i="10"/>
  <c r="F94" i="10"/>
  <c r="E94" i="10"/>
  <c r="P92" i="10"/>
  <c r="P89" i="10"/>
  <c r="P88" i="10"/>
  <c r="P87" i="10"/>
  <c r="P86" i="10"/>
  <c r="O92" i="10"/>
  <c r="N92" i="10"/>
  <c r="H92" i="10"/>
  <c r="G92" i="10"/>
  <c r="F92" i="10"/>
  <c r="E92" i="10"/>
  <c r="O89" i="10"/>
  <c r="N89" i="10"/>
  <c r="H89" i="10"/>
  <c r="G89" i="10"/>
  <c r="F89" i="10"/>
  <c r="E89" i="10"/>
  <c r="O88" i="10"/>
  <c r="N88" i="10"/>
  <c r="H88" i="10"/>
  <c r="G88" i="10"/>
  <c r="F88" i="10"/>
  <c r="E88" i="10"/>
  <c r="O87" i="10"/>
  <c r="N87" i="10"/>
  <c r="H87" i="10"/>
  <c r="G87" i="10"/>
  <c r="F87" i="10"/>
  <c r="E87" i="10"/>
  <c r="O86" i="10"/>
  <c r="N86" i="10"/>
  <c r="H86" i="10"/>
  <c r="G86" i="10"/>
  <c r="F86" i="10"/>
  <c r="E86" i="10"/>
  <c r="AQ212" i="11"/>
  <c r="AA212" i="11"/>
  <c r="X212" i="11"/>
  <c r="BH212" i="11" s="1"/>
  <c r="W212" i="11"/>
  <c r="Z212" i="11" s="1"/>
  <c r="AQ210" i="11"/>
  <c r="X210" i="11"/>
  <c r="AA210" i="11" s="1"/>
  <c r="W210" i="11"/>
  <c r="Z210" i="11" s="1"/>
  <c r="AQ206" i="11"/>
  <c r="AI206" i="11"/>
  <c r="AH206" i="11"/>
  <c r="X206" i="11"/>
  <c r="AA206" i="11" s="1"/>
  <c r="W206" i="11"/>
  <c r="Z206" i="11" s="1"/>
  <c r="AQ205" i="11"/>
  <c r="AI205" i="11"/>
  <c r="AH205" i="11"/>
  <c r="Y205" i="11"/>
  <c r="X205" i="11"/>
  <c r="BH205" i="11" s="1"/>
  <c r="W205" i="11"/>
  <c r="AQ204" i="11"/>
  <c r="AI204" i="11"/>
  <c r="AH204" i="11"/>
  <c r="X204" i="11"/>
  <c r="BH204" i="11" s="1"/>
  <c r="W204" i="11"/>
  <c r="Z204" i="11" s="1"/>
  <c r="AQ203" i="11"/>
  <c r="AI203" i="11"/>
  <c r="AH203" i="11"/>
  <c r="X203" i="11"/>
  <c r="BH203" i="11" s="1"/>
  <c r="W203" i="11"/>
  <c r="Z203" i="11" s="1"/>
  <c r="AQ201" i="11"/>
  <c r="X201" i="11"/>
  <c r="AA201" i="11" s="1"/>
  <c r="W201" i="11"/>
  <c r="Z201" i="11" s="1"/>
  <c r="AQ200" i="11"/>
  <c r="X200" i="11"/>
  <c r="BH200" i="11" s="1"/>
  <c r="W200" i="11"/>
  <c r="Z200" i="11" s="1"/>
  <c r="AQ199" i="11"/>
  <c r="AI199" i="11"/>
  <c r="AH199" i="11"/>
  <c r="X199" i="11"/>
  <c r="BH199" i="11" s="1"/>
  <c r="W199" i="11"/>
  <c r="Z199" i="11" s="1"/>
  <c r="AQ198" i="11"/>
  <c r="AI198" i="11"/>
  <c r="AH198" i="11"/>
  <c r="X198" i="11"/>
  <c r="AA198" i="11" s="1"/>
  <c r="W198" i="11"/>
  <c r="Z198" i="11" s="1"/>
  <c r="AQ196" i="11"/>
  <c r="X196" i="11"/>
  <c r="AA196" i="11" s="1"/>
  <c r="W196" i="11"/>
  <c r="Z196" i="11" s="1"/>
  <c r="AQ195" i="11"/>
  <c r="X195" i="11"/>
  <c r="AA195" i="11" s="1"/>
  <c r="W195" i="11"/>
  <c r="Z195" i="11" s="1"/>
  <c r="AQ194" i="11"/>
  <c r="X194" i="11"/>
  <c r="AA194" i="11" s="1"/>
  <c r="W194" i="11"/>
  <c r="Z194" i="11" s="1"/>
  <c r="AQ192" i="11"/>
  <c r="AI192" i="11"/>
  <c r="AH192" i="11"/>
  <c r="X192" i="11"/>
  <c r="BH192" i="11" s="1"/>
  <c r="W192" i="11"/>
  <c r="Z192" i="11" s="1"/>
  <c r="AQ191" i="11"/>
  <c r="AI191" i="11"/>
  <c r="AH191" i="11"/>
  <c r="X191" i="11"/>
  <c r="AA191" i="11" s="1"/>
  <c r="W191" i="11"/>
  <c r="Z191" i="11" s="1"/>
  <c r="AQ190" i="11"/>
  <c r="AI190" i="11"/>
  <c r="AH190" i="11"/>
  <c r="X190" i="11"/>
  <c r="AA190" i="11" s="1"/>
  <c r="W190" i="11"/>
  <c r="Z190" i="11" s="1"/>
  <c r="AQ189" i="11"/>
  <c r="X189" i="11"/>
  <c r="AA189" i="11" s="1"/>
  <c r="W189" i="11"/>
  <c r="Z189" i="11" s="1"/>
  <c r="AQ186" i="11"/>
  <c r="X186" i="11"/>
  <c r="AA186" i="11" s="1"/>
  <c r="W186" i="11"/>
  <c r="Z186" i="11" s="1"/>
  <c r="AQ185" i="11"/>
  <c r="AI185" i="11"/>
  <c r="AH185" i="11"/>
  <c r="X185" i="11"/>
  <c r="AA185" i="11" s="1"/>
  <c r="W185" i="11"/>
  <c r="Z185" i="11" s="1"/>
  <c r="AQ181" i="11"/>
  <c r="X181" i="11"/>
  <c r="AA181" i="11" s="1"/>
  <c r="W181" i="11"/>
  <c r="Z181" i="11" s="1"/>
  <c r="AQ180" i="11"/>
  <c r="X180" i="11"/>
  <c r="AA180" i="11" s="1"/>
  <c r="W180" i="11"/>
  <c r="Z180" i="11" s="1"/>
  <c r="AQ178" i="11"/>
  <c r="X178" i="11"/>
  <c r="AA178" i="11" s="1"/>
  <c r="W178" i="11"/>
  <c r="Z178" i="11" s="1"/>
  <c r="AQ175" i="11"/>
  <c r="X175" i="11"/>
  <c r="AA175" i="11" s="1"/>
  <c r="W175" i="11"/>
  <c r="Z175" i="11" s="1"/>
  <c r="AQ172" i="11"/>
  <c r="X172" i="11"/>
  <c r="AA172" i="11" s="1"/>
  <c r="W172" i="11"/>
  <c r="Z172" i="11" s="1"/>
  <c r="AQ171" i="11"/>
  <c r="AI171" i="11"/>
  <c r="AH171" i="11"/>
  <c r="X171" i="11"/>
  <c r="AA171" i="11" s="1"/>
  <c r="W171" i="11"/>
  <c r="Z171" i="11" s="1"/>
  <c r="AQ170" i="11"/>
  <c r="X170" i="11"/>
  <c r="AA170" i="11" s="1"/>
  <c r="W170" i="11"/>
  <c r="Z170" i="11" s="1"/>
  <c r="AQ169" i="11"/>
  <c r="X169" i="11"/>
  <c r="AA169" i="11" s="1"/>
  <c r="W169" i="11"/>
  <c r="Z169" i="11" s="1"/>
  <c r="AQ168" i="11"/>
  <c r="X168" i="11"/>
  <c r="AA168" i="11" s="1"/>
  <c r="W168" i="11"/>
  <c r="Z168" i="11" s="1"/>
  <c r="AQ167" i="11"/>
  <c r="AI167" i="11"/>
  <c r="AH167" i="11"/>
  <c r="X167" i="11"/>
  <c r="AA167" i="11" s="1"/>
  <c r="W167" i="11"/>
  <c r="Z167" i="11" s="1"/>
  <c r="AQ166" i="11"/>
  <c r="AI166" i="11"/>
  <c r="AH166" i="11"/>
  <c r="X166" i="11"/>
  <c r="AA166" i="11" s="1"/>
  <c r="W166" i="11"/>
  <c r="Z166" i="11" s="1"/>
  <c r="AQ165" i="11"/>
  <c r="X165" i="11"/>
  <c r="AA165" i="11" s="1"/>
  <c r="W165" i="11"/>
  <c r="Z165" i="11" s="1"/>
  <c r="AQ164" i="11"/>
  <c r="X164" i="11"/>
  <c r="AA164" i="11" s="1"/>
  <c r="W164" i="11"/>
  <c r="Z164" i="11" s="1"/>
  <c r="AQ163" i="11"/>
  <c r="X163" i="11"/>
  <c r="BH163" i="11" s="1"/>
  <c r="W163" i="11"/>
  <c r="Z163" i="11" s="1"/>
  <c r="AQ160" i="11"/>
  <c r="AI160" i="11"/>
  <c r="AH160" i="11"/>
  <c r="Y160" i="11"/>
  <c r="AA160" i="11" s="1"/>
  <c r="X160" i="11"/>
  <c r="BH160" i="11" s="1"/>
  <c r="W160" i="11"/>
  <c r="AQ153" i="11"/>
  <c r="X153" i="11"/>
  <c r="AA153" i="11" s="1"/>
  <c r="W153" i="11"/>
  <c r="Z153" i="11" s="1"/>
  <c r="AQ152" i="11"/>
  <c r="X152" i="11"/>
  <c r="AA152" i="11" s="1"/>
  <c r="W152" i="11"/>
  <c r="Z152" i="11" s="1"/>
  <c r="AQ151" i="11"/>
  <c r="X151" i="11"/>
  <c r="AA151" i="11" s="1"/>
  <c r="W151" i="11"/>
  <c r="Z151" i="11" s="1"/>
  <c r="AQ150" i="11"/>
  <c r="AI150" i="11"/>
  <c r="AH150" i="11"/>
  <c r="Y150" i="11"/>
  <c r="X150" i="11"/>
  <c r="BH150" i="11" s="1"/>
  <c r="W150" i="11"/>
  <c r="AQ149" i="11"/>
  <c r="AI149" i="11"/>
  <c r="AH149" i="11"/>
  <c r="X149" i="11"/>
  <c r="AA149" i="11" s="1"/>
  <c r="W149" i="11"/>
  <c r="Z149" i="11" s="1"/>
  <c r="AQ148" i="11"/>
  <c r="AI148" i="11"/>
  <c r="AH148" i="11"/>
  <c r="X148" i="11"/>
  <c r="BH148" i="11" s="1"/>
  <c r="W148" i="11"/>
  <c r="Z148" i="11" s="1"/>
  <c r="AQ145" i="11"/>
  <c r="AI145" i="11"/>
  <c r="AH145" i="11"/>
  <c r="X145" i="11"/>
  <c r="BH145" i="11" s="1"/>
  <c r="W145" i="11"/>
  <c r="Z145" i="11" s="1"/>
  <c r="AQ144" i="11"/>
  <c r="X144" i="11"/>
  <c r="AA144" i="11" s="1"/>
  <c r="W144" i="11"/>
  <c r="Z144" i="11" s="1"/>
  <c r="AQ143" i="11"/>
  <c r="AI143" i="11"/>
  <c r="AH143" i="11"/>
  <c r="X143" i="11"/>
  <c r="AA143" i="11" s="1"/>
  <c r="W143" i="11"/>
  <c r="Z143" i="11" s="1"/>
  <c r="AQ142" i="11"/>
  <c r="X142" i="11"/>
  <c r="AA142" i="11" s="1"/>
  <c r="W142" i="11"/>
  <c r="Z142" i="11" s="1"/>
  <c r="AQ141" i="11"/>
  <c r="X141" i="11"/>
  <c r="AA141" i="11" s="1"/>
  <c r="W141" i="11"/>
  <c r="Z141" i="11" s="1"/>
  <c r="AQ139" i="11"/>
  <c r="X139" i="11"/>
  <c r="AA139" i="11" s="1"/>
  <c r="W139" i="11"/>
  <c r="Z139" i="11" s="1"/>
  <c r="AQ138" i="11"/>
  <c r="X138" i="11"/>
  <c r="AA138" i="11" s="1"/>
  <c r="W138" i="11"/>
  <c r="Z138" i="11" s="1"/>
  <c r="AQ137" i="11"/>
  <c r="AI137" i="11"/>
  <c r="AH137" i="11"/>
  <c r="X137" i="11"/>
  <c r="AA137" i="11" s="1"/>
  <c r="W137" i="11"/>
  <c r="Z137" i="11" s="1"/>
  <c r="AQ132" i="11"/>
  <c r="X132" i="11"/>
  <c r="AA132" i="11" s="1"/>
  <c r="W132" i="11"/>
  <c r="Z132" i="11" s="1"/>
  <c r="AQ131" i="11"/>
  <c r="AI131" i="11"/>
  <c r="AH131" i="11"/>
  <c r="Z131" i="11"/>
  <c r="X131" i="11"/>
  <c r="AA131" i="11" s="1"/>
  <c r="W131" i="11"/>
  <c r="AQ129" i="11"/>
  <c r="Z129" i="11"/>
  <c r="X129" i="11"/>
  <c r="AA129" i="11" s="1"/>
  <c r="W129" i="11"/>
  <c r="AQ128" i="11"/>
  <c r="Z128" i="11"/>
  <c r="X128" i="11"/>
  <c r="AA128" i="11" s="1"/>
  <c r="W128" i="11"/>
  <c r="AQ127" i="11"/>
  <c r="Z127" i="11"/>
  <c r="X127" i="11"/>
  <c r="AA127" i="11" s="1"/>
  <c r="W127" i="11"/>
  <c r="AQ126" i="11"/>
  <c r="Z126" i="11"/>
  <c r="X126" i="11"/>
  <c r="AA126" i="11" s="1"/>
  <c r="W126" i="11"/>
  <c r="AQ125" i="11"/>
  <c r="AI125" i="11"/>
  <c r="AH125" i="11"/>
  <c r="X125" i="11"/>
  <c r="AA125" i="11" s="1"/>
  <c r="W125" i="11"/>
  <c r="Z125" i="11" s="1"/>
  <c r="AQ124" i="11"/>
  <c r="X124" i="11"/>
  <c r="AA124" i="11" s="1"/>
  <c r="W124" i="11"/>
  <c r="Z124" i="11" s="1"/>
  <c r="AQ122" i="11"/>
  <c r="AI122" i="11"/>
  <c r="AH122" i="11"/>
  <c r="X122" i="11"/>
  <c r="AA122" i="11" s="1"/>
  <c r="W122" i="11"/>
  <c r="Z122" i="11" s="1"/>
  <c r="AQ119" i="11"/>
  <c r="AI119" i="11"/>
  <c r="AH119" i="11"/>
  <c r="X119" i="11"/>
  <c r="AA119" i="11" s="1"/>
  <c r="W119" i="11"/>
  <c r="Z119" i="11" s="1"/>
  <c r="AQ118" i="11"/>
  <c r="X118" i="11"/>
  <c r="AA118" i="11" s="1"/>
  <c r="W118" i="11"/>
  <c r="Z118" i="11" s="1"/>
  <c r="AQ117" i="11"/>
  <c r="X117" i="11"/>
  <c r="AA117" i="11" s="1"/>
  <c r="W117" i="11"/>
  <c r="Z117" i="11" s="1"/>
  <c r="AQ116" i="11"/>
  <c r="AI116" i="11"/>
  <c r="AH116" i="11"/>
  <c r="X116" i="11"/>
  <c r="BH116" i="11" s="1"/>
  <c r="W116" i="11"/>
  <c r="Z116" i="11" s="1"/>
  <c r="A205" i="8"/>
  <c r="B205" i="8"/>
  <c r="A206" i="8"/>
  <c r="B206" i="8"/>
  <c r="B204" i="8"/>
  <c r="A204" i="8"/>
  <c r="B203" i="8"/>
  <c r="A203" i="8"/>
  <c r="A201" i="8"/>
  <c r="B201" i="8"/>
  <c r="B200" i="8"/>
  <c r="A200" i="8"/>
  <c r="A196" i="8"/>
  <c r="B196" i="8"/>
  <c r="B195" i="8"/>
  <c r="A195" i="8"/>
  <c r="B193" i="8"/>
  <c r="A193" i="8"/>
  <c r="B191" i="8"/>
  <c r="A191" i="8"/>
  <c r="A189" i="8"/>
  <c r="B189" i="8"/>
  <c r="A188" i="8"/>
  <c r="B188" i="8"/>
  <c r="A182" i="8"/>
  <c r="B182" i="8"/>
  <c r="A183" i="8"/>
  <c r="B183" i="8"/>
  <c r="A184" i="8"/>
  <c r="B184" i="8"/>
  <c r="A185" i="8"/>
  <c r="B185" i="8"/>
  <c r="A186" i="8"/>
  <c r="B186" i="8"/>
  <c r="B181" i="8"/>
  <c r="A181" i="8"/>
  <c r="A176" i="8"/>
  <c r="B176" i="8"/>
  <c r="A177" i="8"/>
  <c r="B177" i="8"/>
  <c r="A178" i="8"/>
  <c r="B178" i="8"/>
  <c r="B175" i="8"/>
  <c r="A175" i="8"/>
  <c r="B173" i="8"/>
  <c r="A173" i="8"/>
  <c r="A171" i="8"/>
  <c r="B171" i="8"/>
  <c r="A167" i="8"/>
  <c r="B167" i="8"/>
  <c r="A168" i="8"/>
  <c r="B168" i="8"/>
  <c r="B166" i="8"/>
  <c r="A166" i="8"/>
  <c r="B164" i="8"/>
  <c r="A164" i="8"/>
  <c r="A162" i="8"/>
  <c r="B162" i="8"/>
  <c r="B161" i="8"/>
  <c r="A161" i="8"/>
  <c r="B155" i="8"/>
  <c r="A155" i="8"/>
  <c r="A151" i="8"/>
  <c r="B151" i="8"/>
  <c r="A152" i="8"/>
  <c r="B152" i="8"/>
  <c r="B150" i="8"/>
  <c r="A150" i="8"/>
  <c r="B148" i="8"/>
  <c r="A148" i="8"/>
  <c r="B144" i="8"/>
  <c r="A144" i="8"/>
  <c r="B137" i="8"/>
  <c r="A137" i="8"/>
  <c r="B134" i="8"/>
  <c r="A134" i="8"/>
  <c r="A132" i="8"/>
  <c r="B132" i="8"/>
  <c r="A131" i="8"/>
  <c r="B131" i="8"/>
  <c r="A127" i="8"/>
  <c r="B127" i="8"/>
  <c r="A128" i="8"/>
  <c r="B128" i="8"/>
  <c r="A129" i="8"/>
  <c r="B129" i="8"/>
  <c r="A126" i="8"/>
  <c r="B126" i="8"/>
  <c r="A124" i="8"/>
  <c r="B124" i="8"/>
  <c r="A123" i="8"/>
  <c r="B123" i="8"/>
  <c r="B122" i="8"/>
  <c r="A122" i="8"/>
  <c r="B117" i="8"/>
  <c r="A117" i="8"/>
  <c r="B116" i="8"/>
  <c r="A116" i="8"/>
  <c r="A113" i="8"/>
  <c r="B113" i="8"/>
  <c r="A112" i="8"/>
  <c r="B112" i="8"/>
  <c r="B111" i="8"/>
  <c r="A111" i="8"/>
  <c r="B109" i="8"/>
  <c r="A109" i="8"/>
  <c r="A106" i="8"/>
  <c r="B106" i="8"/>
  <c r="B105" i="8"/>
  <c r="A105" i="8"/>
  <c r="A102" i="8"/>
  <c r="B102" i="8"/>
  <c r="B101" i="8"/>
  <c r="A101" i="8"/>
  <c r="B99" i="8"/>
  <c r="A99" i="8"/>
  <c r="A96" i="8"/>
  <c r="B96" i="8"/>
  <c r="A95" i="8"/>
  <c r="B95" i="8"/>
  <c r="B94" i="8"/>
  <c r="A94" i="8"/>
  <c r="B91" i="8"/>
  <c r="A91" i="8"/>
  <c r="B87" i="8"/>
  <c r="A87" i="8"/>
  <c r="A85" i="8"/>
  <c r="B85" i="8"/>
  <c r="A84" i="8"/>
  <c r="B84" i="8"/>
  <c r="A83" i="8"/>
  <c r="B83" i="8"/>
  <c r="A81" i="8"/>
  <c r="B81" i="8"/>
  <c r="A80" i="8"/>
  <c r="B80" i="8"/>
  <c r="A79" i="8"/>
  <c r="B79" i="8"/>
  <c r="A78" i="8"/>
  <c r="B78" i="8"/>
  <c r="B77" i="8"/>
  <c r="A77" i="8"/>
  <c r="A74" i="8"/>
  <c r="B74" i="8"/>
  <c r="A72" i="8"/>
  <c r="B72" i="8"/>
  <c r="A73" i="8"/>
  <c r="B73" i="8"/>
  <c r="A69" i="8"/>
  <c r="B69" i="8"/>
  <c r="A71" i="8"/>
  <c r="B71" i="8"/>
  <c r="A68" i="8"/>
  <c r="B68" i="8"/>
  <c r="P206" i="8"/>
  <c r="O206" i="8"/>
  <c r="N206" i="8"/>
  <c r="M206" i="8"/>
  <c r="L206" i="8"/>
  <c r="K206" i="8"/>
  <c r="J206" i="8"/>
  <c r="I206" i="8"/>
  <c r="H206" i="8"/>
  <c r="G206" i="8"/>
  <c r="F206" i="8"/>
  <c r="E206" i="8"/>
  <c r="P205" i="8"/>
  <c r="O205" i="8"/>
  <c r="N205" i="8"/>
  <c r="M205" i="8"/>
  <c r="L205" i="8"/>
  <c r="K205" i="8"/>
  <c r="J205" i="8"/>
  <c r="I205" i="8"/>
  <c r="H205" i="8"/>
  <c r="G205" i="8"/>
  <c r="F205" i="8"/>
  <c r="P204" i="8"/>
  <c r="O204" i="8"/>
  <c r="N204" i="8"/>
  <c r="M204" i="8"/>
  <c r="L204" i="8"/>
  <c r="K204" i="8"/>
  <c r="J204" i="8"/>
  <c r="I204" i="8"/>
  <c r="H204" i="8"/>
  <c r="G204" i="8"/>
  <c r="F204" i="8"/>
  <c r="E204" i="8"/>
  <c r="P203" i="8"/>
  <c r="O203" i="8"/>
  <c r="N203" i="8"/>
  <c r="M203" i="8"/>
  <c r="L203" i="8"/>
  <c r="K203" i="8"/>
  <c r="J203" i="8"/>
  <c r="I203" i="8"/>
  <c r="H203" i="8"/>
  <c r="G203" i="8"/>
  <c r="F203" i="8"/>
  <c r="E203" i="8"/>
  <c r="P201" i="8"/>
  <c r="O201" i="8"/>
  <c r="N201" i="8"/>
  <c r="M201" i="8"/>
  <c r="L201" i="8"/>
  <c r="K201" i="8"/>
  <c r="J201" i="8"/>
  <c r="I201" i="8"/>
  <c r="H201" i="8"/>
  <c r="G201" i="8"/>
  <c r="F201" i="8"/>
  <c r="E201" i="8"/>
  <c r="P200" i="8"/>
  <c r="O200" i="8"/>
  <c r="N200" i="8"/>
  <c r="M200" i="8"/>
  <c r="L200" i="8"/>
  <c r="K200" i="8"/>
  <c r="J200" i="8"/>
  <c r="I200" i="8"/>
  <c r="H200" i="8"/>
  <c r="G200" i="8"/>
  <c r="F200" i="8"/>
  <c r="E200" i="8"/>
  <c r="P196" i="8"/>
  <c r="O196" i="8"/>
  <c r="N196" i="8"/>
  <c r="M196" i="8"/>
  <c r="L196" i="8"/>
  <c r="K196" i="8"/>
  <c r="J196" i="8"/>
  <c r="I196" i="8"/>
  <c r="H196" i="8"/>
  <c r="G196" i="8"/>
  <c r="F196" i="8"/>
  <c r="E196" i="8"/>
  <c r="P195" i="8"/>
  <c r="O195" i="8"/>
  <c r="N195" i="8"/>
  <c r="M195" i="8"/>
  <c r="L195" i="8"/>
  <c r="K195" i="8"/>
  <c r="J195" i="8"/>
  <c r="I195" i="8"/>
  <c r="H195" i="8"/>
  <c r="G195" i="8"/>
  <c r="F195" i="8"/>
  <c r="E195" i="8"/>
  <c r="P193" i="8"/>
  <c r="O193" i="8"/>
  <c r="N193" i="8"/>
  <c r="M193" i="8"/>
  <c r="L193" i="8"/>
  <c r="K193" i="8"/>
  <c r="J193" i="8"/>
  <c r="I193" i="8"/>
  <c r="H193" i="8"/>
  <c r="G193" i="8"/>
  <c r="F193" i="8"/>
  <c r="E193" i="8"/>
  <c r="P191" i="8"/>
  <c r="O191" i="8"/>
  <c r="N191" i="8"/>
  <c r="H191" i="8"/>
  <c r="G191" i="8"/>
  <c r="F191" i="8"/>
  <c r="E191" i="8"/>
  <c r="P189" i="8"/>
  <c r="O189" i="8"/>
  <c r="N189" i="8"/>
  <c r="H189" i="8"/>
  <c r="G189" i="8"/>
  <c r="F189" i="8"/>
  <c r="E189" i="8"/>
  <c r="P188" i="8"/>
  <c r="O188" i="8"/>
  <c r="N188" i="8"/>
  <c r="H188" i="8"/>
  <c r="G188" i="8"/>
  <c r="F188" i="8"/>
  <c r="E188" i="8"/>
  <c r="P186" i="8"/>
  <c r="O186" i="8"/>
  <c r="N186" i="8"/>
  <c r="H186" i="8"/>
  <c r="G186" i="8"/>
  <c r="F186" i="8"/>
  <c r="E186" i="8"/>
  <c r="P185" i="8"/>
  <c r="O185" i="8"/>
  <c r="N185" i="8"/>
  <c r="H185" i="8"/>
  <c r="G185" i="8"/>
  <c r="F185" i="8"/>
  <c r="E185" i="8"/>
  <c r="P184" i="8"/>
  <c r="O184" i="8"/>
  <c r="N184" i="8"/>
  <c r="H184" i="8"/>
  <c r="G184" i="8"/>
  <c r="F184" i="8"/>
  <c r="E184" i="8"/>
  <c r="E183" i="8"/>
  <c r="P183" i="8"/>
  <c r="O183" i="8"/>
  <c r="N183" i="8"/>
  <c r="H183" i="8"/>
  <c r="G183" i="8"/>
  <c r="F183" i="8"/>
  <c r="P182" i="8"/>
  <c r="O182" i="8"/>
  <c r="N182" i="8"/>
  <c r="H182" i="8"/>
  <c r="G182" i="8"/>
  <c r="F182" i="8"/>
  <c r="E182" i="8"/>
  <c r="P181" i="8"/>
  <c r="O181" i="8"/>
  <c r="N181" i="8"/>
  <c r="H181" i="8"/>
  <c r="G181" i="8"/>
  <c r="F181" i="8"/>
  <c r="E181" i="8"/>
  <c r="P178" i="8"/>
  <c r="O178" i="8"/>
  <c r="N178" i="8"/>
  <c r="H178" i="8"/>
  <c r="G178" i="8"/>
  <c r="F178" i="8"/>
  <c r="E178" i="8"/>
  <c r="P177" i="8"/>
  <c r="O177" i="8"/>
  <c r="N177" i="8"/>
  <c r="H177" i="8"/>
  <c r="G177" i="8"/>
  <c r="F177" i="8"/>
  <c r="E177" i="8"/>
  <c r="P176" i="8"/>
  <c r="O176" i="8"/>
  <c r="N176" i="8"/>
  <c r="H176" i="8"/>
  <c r="G176" i="8"/>
  <c r="F176" i="8"/>
  <c r="E176" i="8"/>
  <c r="P175" i="8"/>
  <c r="O175" i="8"/>
  <c r="N175" i="8"/>
  <c r="H175" i="8"/>
  <c r="G175" i="8"/>
  <c r="F175" i="8"/>
  <c r="E175" i="8"/>
  <c r="P173" i="8"/>
  <c r="O173" i="8"/>
  <c r="N173" i="8"/>
  <c r="H173" i="8"/>
  <c r="G173" i="8"/>
  <c r="F173" i="8"/>
  <c r="E173" i="8"/>
  <c r="P171" i="8"/>
  <c r="O171" i="8"/>
  <c r="N171" i="8"/>
  <c r="H171" i="8"/>
  <c r="G171" i="8"/>
  <c r="F171" i="8"/>
  <c r="E171" i="8"/>
  <c r="H129" i="8"/>
  <c r="H168" i="8"/>
  <c r="P168" i="8"/>
  <c r="O168" i="8"/>
  <c r="N168" i="8"/>
  <c r="G168" i="8"/>
  <c r="F168" i="8"/>
  <c r="E168" i="8"/>
  <c r="P167" i="8"/>
  <c r="O167" i="8"/>
  <c r="N167" i="8"/>
  <c r="H167" i="8"/>
  <c r="G167" i="8"/>
  <c r="F167" i="8"/>
  <c r="E167" i="8"/>
  <c r="P166" i="8"/>
  <c r="O166" i="8"/>
  <c r="N166" i="8"/>
  <c r="H166" i="8"/>
  <c r="G166" i="8"/>
  <c r="F166" i="8"/>
  <c r="E166" i="8"/>
  <c r="P164" i="8"/>
  <c r="O164" i="8"/>
  <c r="N164" i="8"/>
  <c r="H164" i="8"/>
  <c r="G164" i="8"/>
  <c r="F164" i="8"/>
  <c r="E164" i="8"/>
  <c r="P162" i="8"/>
  <c r="O162" i="8"/>
  <c r="N162" i="8"/>
  <c r="H162" i="8"/>
  <c r="G162" i="8"/>
  <c r="F162" i="8"/>
  <c r="E162" i="8"/>
  <c r="P161" i="8"/>
  <c r="O161" i="8"/>
  <c r="N161" i="8"/>
  <c r="H161" i="8"/>
  <c r="G161" i="8"/>
  <c r="F161" i="8"/>
  <c r="E161" i="8"/>
  <c r="P155" i="8"/>
  <c r="O155" i="8"/>
  <c r="N155" i="8"/>
  <c r="H155" i="8"/>
  <c r="G155" i="8"/>
  <c r="F155" i="8"/>
  <c r="E155" i="8"/>
  <c r="P152" i="8"/>
  <c r="O152" i="8"/>
  <c r="N152" i="8"/>
  <c r="H152" i="8"/>
  <c r="G152" i="8"/>
  <c r="F152" i="8"/>
  <c r="E152" i="8"/>
  <c r="P151" i="8"/>
  <c r="O151" i="8"/>
  <c r="N151" i="8"/>
  <c r="H151" i="8"/>
  <c r="G151" i="8"/>
  <c r="F151" i="8"/>
  <c r="E151" i="8"/>
  <c r="P150" i="8"/>
  <c r="O150" i="8"/>
  <c r="N150" i="8"/>
  <c r="H150" i="8"/>
  <c r="G150" i="8"/>
  <c r="F150" i="8"/>
  <c r="E150" i="8"/>
  <c r="N148" i="8"/>
  <c r="H148" i="8"/>
  <c r="G148" i="8"/>
  <c r="F148" i="8"/>
  <c r="E148" i="8"/>
  <c r="P144" i="8"/>
  <c r="O144" i="8"/>
  <c r="N144" i="8"/>
  <c r="H144" i="8"/>
  <c r="G144" i="8"/>
  <c r="F144" i="8"/>
  <c r="E144" i="8"/>
  <c r="P137" i="8"/>
  <c r="O137" i="8"/>
  <c r="N137" i="8"/>
  <c r="H137" i="8"/>
  <c r="G137" i="8"/>
  <c r="F137" i="8"/>
  <c r="E137" i="8"/>
  <c r="P134" i="8"/>
  <c r="O134" i="8"/>
  <c r="N134" i="8"/>
  <c r="H134" i="8"/>
  <c r="G134" i="8"/>
  <c r="F134" i="8"/>
  <c r="E134" i="8"/>
  <c r="P132" i="8"/>
  <c r="O132" i="8"/>
  <c r="N132" i="8"/>
  <c r="H132" i="8"/>
  <c r="G132" i="8"/>
  <c r="F132" i="8"/>
  <c r="E132" i="8"/>
  <c r="P131" i="8"/>
  <c r="O131" i="8"/>
  <c r="N131" i="8"/>
  <c r="H131" i="8"/>
  <c r="G131" i="8"/>
  <c r="F131" i="8"/>
  <c r="E131" i="8"/>
  <c r="P129" i="8"/>
  <c r="O129" i="8"/>
  <c r="N129" i="8"/>
  <c r="G129" i="8"/>
  <c r="F129" i="8"/>
  <c r="E129" i="8"/>
  <c r="P128" i="8"/>
  <c r="O128" i="8"/>
  <c r="N128" i="8"/>
  <c r="H128" i="8"/>
  <c r="G128" i="8"/>
  <c r="F128" i="8"/>
  <c r="E128" i="8"/>
  <c r="P127" i="8"/>
  <c r="O127" i="8"/>
  <c r="N127" i="8"/>
  <c r="H127" i="8"/>
  <c r="G127" i="8"/>
  <c r="F127" i="8"/>
  <c r="E127" i="8"/>
  <c r="P126" i="8"/>
  <c r="O126" i="8"/>
  <c r="N126" i="8"/>
  <c r="H126" i="8"/>
  <c r="G126" i="8"/>
  <c r="F126" i="8"/>
  <c r="E126" i="8"/>
  <c r="E124" i="8"/>
  <c r="P124" i="8"/>
  <c r="O124" i="8"/>
  <c r="N124" i="8"/>
  <c r="H124" i="8"/>
  <c r="G124" i="8"/>
  <c r="F124" i="8"/>
  <c r="P123" i="8"/>
  <c r="O123" i="8"/>
  <c r="N123" i="8"/>
  <c r="H123" i="8"/>
  <c r="G123" i="8"/>
  <c r="F123" i="8"/>
  <c r="E123" i="8"/>
  <c r="P122" i="8"/>
  <c r="O122" i="8"/>
  <c r="N122" i="8"/>
  <c r="H122" i="8"/>
  <c r="G122" i="8"/>
  <c r="F122" i="8"/>
  <c r="E122" i="8"/>
  <c r="P117" i="8"/>
  <c r="O117" i="8"/>
  <c r="N117" i="8"/>
  <c r="H117" i="8"/>
  <c r="G117" i="8"/>
  <c r="F117" i="8"/>
  <c r="E117" i="8"/>
  <c r="P116" i="8"/>
  <c r="O116" i="8"/>
  <c r="N116" i="8"/>
  <c r="H116" i="8"/>
  <c r="G116" i="8"/>
  <c r="F116" i="8"/>
  <c r="E116" i="8"/>
  <c r="P113" i="8"/>
  <c r="O113" i="8"/>
  <c r="N113" i="8"/>
  <c r="H113" i="8"/>
  <c r="G113" i="8"/>
  <c r="F113" i="8"/>
  <c r="E113" i="8"/>
  <c r="P112" i="8"/>
  <c r="O112" i="8"/>
  <c r="N112" i="8"/>
  <c r="H112" i="8"/>
  <c r="G112" i="8"/>
  <c r="F112" i="8"/>
  <c r="E112" i="8"/>
  <c r="P111" i="8"/>
  <c r="O111" i="8"/>
  <c r="N111" i="8"/>
  <c r="H111" i="8"/>
  <c r="G111" i="8"/>
  <c r="F111" i="8"/>
  <c r="E111" i="8"/>
  <c r="P109" i="8"/>
  <c r="O109" i="8"/>
  <c r="N109" i="8"/>
  <c r="H109" i="8"/>
  <c r="G109" i="8"/>
  <c r="F109" i="8"/>
  <c r="E109" i="8"/>
  <c r="N106" i="8"/>
  <c r="H106" i="8"/>
  <c r="G106" i="8"/>
  <c r="F106" i="8"/>
  <c r="E106" i="8"/>
  <c r="P105" i="8"/>
  <c r="O105" i="8"/>
  <c r="N105" i="8"/>
  <c r="P102" i="8"/>
  <c r="O102" i="8"/>
  <c r="N102" i="8"/>
  <c r="H102" i="8"/>
  <c r="G102" i="8"/>
  <c r="F102" i="8"/>
  <c r="E102" i="8"/>
  <c r="P101" i="8"/>
  <c r="O101" i="8"/>
  <c r="N101" i="8"/>
  <c r="H101" i="8"/>
  <c r="G101" i="8"/>
  <c r="F101" i="8"/>
  <c r="E101" i="8"/>
  <c r="P99" i="8"/>
  <c r="O99" i="8"/>
  <c r="N99" i="8"/>
  <c r="H99" i="8"/>
  <c r="G99" i="8"/>
  <c r="F99" i="8"/>
  <c r="E99" i="8"/>
  <c r="P96" i="8"/>
  <c r="O96" i="8"/>
  <c r="N96" i="8"/>
  <c r="H96" i="8"/>
  <c r="G96" i="8"/>
  <c r="F96" i="8"/>
  <c r="E96" i="8"/>
  <c r="P95" i="8"/>
  <c r="O95" i="8"/>
  <c r="N95" i="8"/>
  <c r="H95" i="8"/>
  <c r="G95" i="8"/>
  <c r="F95" i="8"/>
  <c r="E95" i="8"/>
  <c r="P94" i="8"/>
  <c r="O94" i="8"/>
  <c r="N94" i="8"/>
  <c r="H94" i="8"/>
  <c r="G94" i="8"/>
  <c r="F94" i="8"/>
  <c r="E94" i="8"/>
  <c r="P91" i="8"/>
  <c r="O91" i="8"/>
  <c r="N91" i="8"/>
  <c r="H91" i="8"/>
  <c r="G91" i="8"/>
  <c r="F91" i="8"/>
  <c r="E91" i="8"/>
  <c r="P87" i="8"/>
  <c r="O87" i="8"/>
  <c r="N87" i="8"/>
  <c r="H87" i="8"/>
  <c r="G87" i="8"/>
  <c r="F87" i="8"/>
  <c r="E87" i="8"/>
  <c r="P85" i="8"/>
  <c r="O85" i="8"/>
  <c r="N85" i="8"/>
  <c r="H85" i="8"/>
  <c r="G85" i="8"/>
  <c r="F85" i="8"/>
  <c r="E85" i="8"/>
  <c r="P84" i="8"/>
  <c r="O84" i="8"/>
  <c r="N84" i="8"/>
  <c r="H84" i="8"/>
  <c r="G84" i="8"/>
  <c r="F84" i="8"/>
  <c r="E84" i="8"/>
  <c r="P83" i="8"/>
  <c r="O83" i="8"/>
  <c r="N83" i="8"/>
  <c r="H83" i="8"/>
  <c r="G83" i="8"/>
  <c r="F83" i="8"/>
  <c r="E83" i="8"/>
  <c r="P81" i="8"/>
  <c r="O81" i="8"/>
  <c r="N81" i="8"/>
  <c r="H81" i="8"/>
  <c r="G81" i="8"/>
  <c r="F81" i="8"/>
  <c r="E81" i="8"/>
  <c r="P80" i="8"/>
  <c r="O80" i="8"/>
  <c r="N80" i="8"/>
  <c r="H80" i="8"/>
  <c r="G80" i="8"/>
  <c r="F80" i="8"/>
  <c r="E80" i="8"/>
  <c r="N79" i="8"/>
  <c r="H79" i="8"/>
  <c r="G79" i="8"/>
  <c r="F79" i="8"/>
  <c r="E79" i="8"/>
  <c r="N78" i="8"/>
  <c r="H78" i="8"/>
  <c r="G78" i="8"/>
  <c r="F78" i="8"/>
  <c r="E78" i="8"/>
  <c r="P77" i="8"/>
  <c r="O77" i="8"/>
  <c r="N77" i="8"/>
  <c r="H77" i="8"/>
  <c r="G77" i="8"/>
  <c r="F77" i="8"/>
  <c r="E77" i="8"/>
  <c r="P74" i="8"/>
  <c r="O74" i="8"/>
  <c r="N74" i="8"/>
  <c r="H74" i="8"/>
  <c r="G74" i="8"/>
  <c r="F74" i="8"/>
  <c r="E74" i="8"/>
  <c r="P73" i="8"/>
  <c r="O73" i="8"/>
  <c r="N73" i="8"/>
  <c r="H73" i="8"/>
  <c r="G73" i="8"/>
  <c r="F73" i="8"/>
  <c r="E73" i="8"/>
  <c r="P72" i="8"/>
  <c r="O72" i="8"/>
  <c r="N72" i="8"/>
  <c r="H72" i="8"/>
  <c r="G72" i="8"/>
  <c r="F72" i="8"/>
  <c r="E72" i="8"/>
  <c r="P71" i="8"/>
  <c r="O71" i="8"/>
  <c r="N71" i="8"/>
  <c r="H71" i="8"/>
  <c r="G71" i="8"/>
  <c r="F71" i="8"/>
  <c r="E71" i="8"/>
  <c r="P69" i="8"/>
  <c r="O69" i="8"/>
  <c r="P68" i="8"/>
  <c r="O68" i="8"/>
  <c r="N69" i="8"/>
  <c r="H69" i="8"/>
  <c r="G69" i="8"/>
  <c r="F69" i="8"/>
  <c r="E69" i="8"/>
  <c r="F68" i="8"/>
  <c r="N68" i="8"/>
  <c r="H68" i="8"/>
  <c r="G68" i="8"/>
  <c r="E68" i="8"/>
  <c r="AQ265" i="9"/>
  <c r="X265" i="9"/>
  <c r="AA265" i="9" s="1"/>
  <c r="W265" i="9"/>
  <c r="Z265" i="9" s="1"/>
  <c r="AQ264" i="9"/>
  <c r="AI264" i="9"/>
  <c r="AH264" i="9"/>
  <c r="X264" i="9"/>
  <c r="AA264" i="9" s="1"/>
  <c r="W264" i="9"/>
  <c r="Z264" i="9" s="1"/>
  <c r="AQ263" i="9"/>
  <c r="AI263" i="9"/>
  <c r="AH263" i="9"/>
  <c r="X263" i="9"/>
  <c r="AA263" i="9" s="1"/>
  <c r="W263" i="9"/>
  <c r="Z263" i="9" s="1"/>
  <c r="AQ262" i="9"/>
  <c r="X262" i="9"/>
  <c r="AA262" i="9" s="1"/>
  <c r="W262" i="9"/>
  <c r="Z262" i="9" s="1"/>
  <c r="AQ261" i="9"/>
  <c r="X261" i="9"/>
  <c r="AA261" i="9" s="1"/>
  <c r="W261" i="9"/>
  <c r="Z261" i="9" s="1"/>
  <c r="AQ259" i="9"/>
  <c r="X259" i="9"/>
  <c r="AA259" i="9" s="1"/>
  <c r="W259" i="9"/>
  <c r="Z259" i="9" s="1"/>
  <c r="AQ258" i="9"/>
  <c r="X258" i="9"/>
  <c r="AA258" i="9" s="1"/>
  <c r="W258" i="9"/>
  <c r="Z258" i="9" s="1"/>
  <c r="AQ254" i="9"/>
  <c r="X254" i="9"/>
  <c r="AA254" i="9" s="1"/>
  <c r="W254" i="9"/>
  <c r="Z254" i="9" s="1"/>
  <c r="AQ253" i="9"/>
  <c r="X253" i="9"/>
  <c r="AA253" i="9" s="1"/>
  <c r="W253" i="9"/>
  <c r="Z253" i="9" s="1"/>
  <c r="AQ251" i="9"/>
  <c r="X251" i="9"/>
  <c r="AA251" i="9" s="1"/>
  <c r="W251" i="9"/>
  <c r="Z251" i="9" s="1"/>
  <c r="AQ249" i="9"/>
  <c r="AI249" i="9"/>
  <c r="AH249" i="9"/>
  <c r="X249" i="9"/>
  <c r="AA249" i="9" s="1"/>
  <c r="W249" i="9"/>
  <c r="Z249" i="9" s="1"/>
  <c r="AQ247" i="9"/>
  <c r="X247" i="9"/>
  <c r="AA247" i="9" s="1"/>
  <c r="W247" i="9"/>
  <c r="Z247" i="9" s="1"/>
  <c r="AQ246" i="9"/>
  <c r="X246" i="9"/>
  <c r="AA246" i="9" s="1"/>
  <c r="W246" i="9"/>
  <c r="Z246" i="9" s="1"/>
  <c r="AQ244" i="9"/>
  <c r="AC244" i="9"/>
  <c r="AI244" i="9" s="1"/>
  <c r="X244" i="9"/>
  <c r="AA244" i="9" s="1"/>
  <c r="W244" i="9"/>
  <c r="Z244" i="9" s="1"/>
  <c r="AQ243" i="9"/>
  <c r="AC243" i="9"/>
  <c r="AI243" i="9" s="1"/>
  <c r="X243" i="9"/>
  <c r="W243" i="9"/>
  <c r="Z243" i="9" s="1"/>
  <c r="AQ242" i="9"/>
  <c r="AC242" i="9"/>
  <c r="AI242" i="9" s="1"/>
  <c r="X242" i="9"/>
  <c r="W242" i="9"/>
  <c r="Z242" i="9" s="1"/>
  <c r="AQ241" i="9"/>
  <c r="AC241" i="9"/>
  <c r="AI241" i="9" s="1"/>
  <c r="X241" i="9"/>
  <c r="AA241" i="9" s="1"/>
  <c r="W241" i="9"/>
  <c r="Z241" i="9" s="1"/>
  <c r="AQ240" i="9"/>
  <c r="AC240" i="9"/>
  <c r="AI240" i="9" s="1"/>
  <c r="X240" i="9"/>
  <c r="W240" i="9"/>
  <c r="Z240" i="9" s="1"/>
  <c r="AQ239" i="9"/>
  <c r="AC239" i="9"/>
  <c r="AI239" i="9" s="1"/>
  <c r="X239" i="9"/>
  <c r="W239" i="9"/>
  <c r="Z239" i="9" s="1"/>
  <c r="AQ238" i="9"/>
  <c r="AC238" i="9"/>
  <c r="AI238" i="9" s="1"/>
  <c r="X238" i="9"/>
  <c r="W238" i="9"/>
  <c r="Z238" i="9" s="1"/>
  <c r="AQ237" i="9"/>
  <c r="AC237" i="9"/>
  <c r="AI237" i="9" s="1"/>
  <c r="X237" i="9"/>
  <c r="AA237" i="9" s="1"/>
  <c r="W237" i="9"/>
  <c r="Z237" i="9" s="1"/>
  <c r="AQ236" i="9"/>
  <c r="AC236" i="9"/>
  <c r="AI236" i="9" s="1"/>
  <c r="X236" i="9"/>
  <c r="W236" i="9"/>
  <c r="Z236" i="9" s="1"/>
  <c r="AQ235" i="9"/>
  <c r="AC235" i="9"/>
  <c r="AI235" i="9" s="1"/>
  <c r="X235" i="9"/>
  <c r="W235" i="9"/>
  <c r="Z235" i="9" s="1"/>
  <c r="AQ234" i="9"/>
  <c r="AC234" i="9"/>
  <c r="AI234" i="9" s="1"/>
  <c r="X234" i="9"/>
  <c r="W234" i="9"/>
  <c r="Z234" i="9" s="1"/>
  <c r="AQ233" i="9"/>
  <c r="AC233" i="9"/>
  <c r="AI233" i="9" s="1"/>
  <c r="X233" i="9"/>
  <c r="AA233" i="9" s="1"/>
  <c r="W233" i="9"/>
  <c r="Z233" i="9" s="1"/>
  <c r="AQ232" i="9"/>
  <c r="AC232" i="9"/>
  <c r="AI232" i="9" s="1"/>
  <c r="X232" i="9"/>
  <c r="W232" i="9"/>
  <c r="Z232" i="9" s="1"/>
  <c r="AQ229" i="9"/>
  <c r="X229" i="9"/>
  <c r="AA229" i="9" s="1"/>
  <c r="W229" i="9"/>
  <c r="Z229" i="9" s="1"/>
  <c r="AQ228" i="9"/>
  <c r="AI228" i="9"/>
  <c r="AH228" i="9"/>
  <c r="X228" i="9"/>
  <c r="AA228" i="9" s="1"/>
  <c r="W228" i="9"/>
  <c r="Z228" i="9" s="1"/>
  <c r="AQ227" i="9"/>
  <c r="AI227" i="9"/>
  <c r="AH227" i="9"/>
  <c r="X227" i="9"/>
  <c r="AA227" i="9" s="1"/>
  <c r="W227" i="9"/>
  <c r="Z227" i="9" s="1"/>
  <c r="AQ226" i="9"/>
  <c r="AI226" i="9"/>
  <c r="AH226" i="9"/>
  <c r="X226" i="9"/>
  <c r="W226" i="9"/>
  <c r="Z226" i="9" s="1"/>
  <c r="AQ224" i="9"/>
  <c r="AI224" i="9"/>
  <c r="AH224" i="9"/>
  <c r="X224" i="9"/>
  <c r="AA224" i="9" s="1"/>
  <c r="W224" i="9"/>
  <c r="Z224" i="9" s="1"/>
  <c r="AQ222" i="9"/>
  <c r="AI222" i="9"/>
  <c r="AH222" i="9"/>
  <c r="X222" i="9"/>
  <c r="AA222" i="9" s="1"/>
  <c r="W222" i="9"/>
  <c r="Z222" i="9" s="1"/>
  <c r="AQ219" i="9"/>
  <c r="AI219" i="9"/>
  <c r="AH219" i="9"/>
  <c r="X219" i="9"/>
  <c r="AA219" i="9" s="1"/>
  <c r="W219" i="9"/>
  <c r="Z219" i="9" s="1"/>
  <c r="AQ218" i="9"/>
  <c r="AI218" i="9"/>
  <c r="AH218" i="9"/>
  <c r="X218" i="9"/>
  <c r="AA218" i="9" s="1"/>
  <c r="W218" i="9"/>
  <c r="Z218" i="9" s="1"/>
  <c r="AQ217" i="9"/>
  <c r="AI217" i="9"/>
  <c r="AH217" i="9"/>
  <c r="X217" i="9"/>
  <c r="AA217" i="9" s="1"/>
  <c r="W217" i="9"/>
  <c r="Z217" i="9" s="1"/>
  <c r="AQ216" i="9"/>
  <c r="AI216" i="9"/>
  <c r="AH216" i="9"/>
  <c r="X216" i="9"/>
  <c r="W216" i="9"/>
  <c r="Z216" i="9" s="1"/>
  <c r="AQ214" i="9"/>
  <c r="AI214" i="9"/>
  <c r="AH214" i="9"/>
  <c r="X214" i="9"/>
  <c r="W214" i="9"/>
  <c r="Z214" i="9" s="1"/>
  <c r="AQ212" i="9"/>
  <c r="AI212" i="9"/>
  <c r="AH212" i="9"/>
  <c r="X212" i="9"/>
  <c r="AA212" i="9" s="1"/>
  <c r="W212" i="9"/>
  <c r="Z212" i="9" s="1"/>
  <c r="AQ211" i="9"/>
  <c r="AI211" i="9"/>
  <c r="AH211" i="9"/>
  <c r="X211" i="9"/>
  <c r="AA211" i="9" s="1"/>
  <c r="W211" i="9"/>
  <c r="Z211" i="9" s="1"/>
  <c r="AQ205" i="9"/>
  <c r="AI205" i="9"/>
  <c r="AH205" i="9"/>
  <c r="X205" i="9"/>
  <c r="W205" i="9"/>
  <c r="Z205" i="9" s="1"/>
  <c r="AQ202" i="9"/>
  <c r="AI202" i="9"/>
  <c r="AH202" i="9"/>
  <c r="X202" i="9"/>
  <c r="W202" i="9"/>
  <c r="Z202" i="9" s="1"/>
  <c r="AQ201" i="9"/>
  <c r="AI201" i="9"/>
  <c r="AH201" i="9"/>
  <c r="X201" i="9"/>
  <c r="AA201" i="9" s="1"/>
  <c r="W201" i="9"/>
  <c r="Z201" i="9" s="1"/>
  <c r="AQ200" i="9"/>
  <c r="X200" i="9"/>
  <c r="AA200" i="9" s="1"/>
  <c r="W200" i="9"/>
  <c r="Z200" i="9" s="1"/>
  <c r="AQ198" i="9"/>
  <c r="AI198" i="9"/>
  <c r="AH198" i="9"/>
  <c r="Y198" i="9"/>
  <c r="P148" i="8" s="1"/>
  <c r="X198" i="9"/>
  <c r="W198" i="9"/>
  <c r="AQ194" i="9"/>
  <c r="X194" i="9"/>
  <c r="AA194" i="9" s="1"/>
  <c r="W194" i="9"/>
  <c r="Z194" i="9" s="1"/>
  <c r="AQ187" i="9"/>
  <c r="X187" i="9"/>
  <c r="AA187" i="9" s="1"/>
  <c r="W187" i="9"/>
  <c r="Z187" i="9" s="1"/>
  <c r="AQ184" i="9"/>
  <c r="X184" i="9"/>
  <c r="AA184" i="9" s="1"/>
  <c r="W184" i="9"/>
  <c r="Z184" i="9" s="1"/>
  <c r="AQ182" i="9"/>
  <c r="X182" i="9"/>
  <c r="AA182" i="9" s="1"/>
  <c r="W182" i="9"/>
  <c r="Z182" i="9" s="1"/>
  <c r="AQ181" i="9"/>
  <c r="X181" i="9"/>
  <c r="AA181" i="9" s="1"/>
  <c r="W181" i="9"/>
  <c r="Z181" i="9" s="1"/>
  <c r="AQ177" i="9"/>
  <c r="AI177" i="9"/>
  <c r="AH177" i="9"/>
  <c r="X177" i="9"/>
  <c r="AA177" i="9" s="1"/>
  <c r="W177" i="9"/>
  <c r="Z177" i="9" s="1"/>
  <c r="AQ176" i="9"/>
  <c r="AI176" i="9"/>
  <c r="AH176" i="9"/>
  <c r="X176" i="9"/>
  <c r="AA176" i="9" s="1"/>
  <c r="W176" i="9"/>
  <c r="Z176" i="9" s="1"/>
  <c r="AQ175" i="9"/>
  <c r="AI175" i="9"/>
  <c r="AH175" i="9"/>
  <c r="X175" i="9"/>
  <c r="AA175" i="9" s="1"/>
  <c r="W175" i="9"/>
  <c r="Z175" i="9" s="1"/>
  <c r="AQ179" i="9"/>
  <c r="AI179" i="9"/>
  <c r="AH179" i="9"/>
  <c r="X179" i="9"/>
  <c r="AA179" i="9" s="1"/>
  <c r="W179" i="9"/>
  <c r="Z179" i="9" s="1"/>
  <c r="AQ178" i="9"/>
  <c r="AI178" i="9"/>
  <c r="AH178" i="9"/>
  <c r="X178" i="9"/>
  <c r="AA178" i="9" s="1"/>
  <c r="W178" i="9"/>
  <c r="Z178" i="9" s="1"/>
  <c r="AQ173" i="9"/>
  <c r="AI173" i="9"/>
  <c r="AH173" i="9"/>
  <c r="X173" i="9"/>
  <c r="AA173" i="9" s="1"/>
  <c r="W173" i="9"/>
  <c r="Z173" i="9" s="1"/>
  <c r="AQ172" i="9"/>
  <c r="AI172" i="9"/>
  <c r="AH172" i="9"/>
  <c r="X172" i="9"/>
  <c r="AA172" i="9" s="1"/>
  <c r="W172" i="9"/>
  <c r="Z172" i="9" s="1"/>
  <c r="AQ157" i="9"/>
  <c r="X157" i="9"/>
  <c r="AA157" i="9" s="1"/>
  <c r="W157" i="9"/>
  <c r="Z157" i="9" s="1"/>
  <c r="AQ153" i="9"/>
  <c r="X153" i="9"/>
  <c r="AA153" i="9" s="1"/>
  <c r="W153" i="9"/>
  <c r="Z153" i="9" s="1"/>
  <c r="AQ149" i="9"/>
  <c r="X149" i="9"/>
  <c r="AA149" i="9" s="1"/>
  <c r="W149" i="9"/>
  <c r="Z149" i="9" s="1"/>
  <c r="AQ146" i="9"/>
  <c r="AI146" i="9"/>
  <c r="AH146" i="9"/>
  <c r="Y146" i="9"/>
  <c r="P106" i="8" s="1"/>
  <c r="X146" i="9"/>
  <c r="W146" i="9"/>
  <c r="AQ145" i="9"/>
  <c r="X145" i="9"/>
  <c r="AA145" i="9" s="1"/>
  <c r="W145" i="9"/>
  <c r="Z145" i="9" s="1"/>
  <c r="AQ140" i="9"/>
  <c r="AI140" i="9"/>
  <c r="AH140" i="9"/>
  <c r="X140" i="9"/>
  <c r="AA140" i="9" s="1"/>
  <c r="W140" i="9"/>
  <c r="Z140" i="9" s="1"/>
  <c r="AQ171" i="9"/>
  <c r="X171" i="9"/>
  <c r="AA171" i="9" s="1"/>
  <c r="W171" i="9"/>
  <c r="Z171" i="9" s="1"/>
  <c r="AQ170" i="9"/>
  <c r="X170" i="9"/>
  <c r="AA170" i="9" s="1"/>
  <c r="W170" i="9"/>
  <c r="Z170" i="9" s="1"/>
  <c r="AQ169" i="9"/>
  <c r="X169" i="9"/>
  <c r="AA169" i="9" s="1"/>
  <c r="W169" i="9"/>
  <c r="Z169" i="9" s="1"/>
  <c r="AQ168" i="9"/>
  <c r="X168" i="9"/>
  <c r="AA168" i="9" s="1"/>
  <c r="W168" i="9"/>
  <c r="Z168" i="9" s="1"/>
  <c r="AQ167" i="9"/>
  <c r="X167" i="9"/>
  <c r="AA167" i="9" s="1"/>
  <c r="W167" i="9"/>
  <c r="Z167" i="9" s="1"/>
  <c r="AQ166" i="9"/>
  <c r="X166" i="9"/>
  <c r="AA166" i="9" s="1"/>
  <c r="W166" i="9"/>
  <c r="Z166" i="9" s="1"/>
  <c r="AQ165" i="9"/>
  <c r="X165" i="9"/>
  <c r="AA165" i="9" s="1"/>
  <c r="W165" i="9"/>
  <c r="Z165" i="9" s="1"/>
  <c r="AQ164" i="9"/>
  <c r="X164" i="9"/>
  <c r="AA164" i="9" s="1"/>
  <c r="W164" i="9"/>
  <c r="Z164" i="9" s="1"/>
  <c r="AQ163" i="9"/>
  <c r="X163" i="9"/>
  <c r="AA163" i="9" s="1"/>
  <c r="W163" i="9"/>
  <c r="Z163" i="9" s="1"/>
  <c r="AQ156" i="9"/>
  <c r="X156" i="9"/>
  <c r="AA156" i="9" s="1"/>
  <c r="W156" i="9"/>
  <c r="Z156" i="9" s="1"/>
  <c r="AQ152" i="9"/>
  <c r="X152" i="9"/>
  <c r="AA152" i="9" s="1"/>
  <c r="W152" i="9"/>
  <c r="Z152" i="9" s="1"/>
  <c r="AQ151" i="9"/>
  <c r="X151" i="9"/>
  <c r="AA151" i="9" s="1"/>
  <c r="W151" i="9"/>
  <c r="Z151" i="9" s="1"/>
  <c r="AQ144" i="9"/>
  <c r="S144" i="9"/>
  <c r="R144" i="9"/>
  <c r="Q144" i="9"/>
  <c r="H105" i="8" s="1"/>
  <c r="AQ141" i="9"/>
  <c r="AI141" i="9"/>
  <c r="AH141" i="9"/>
  <c r="X141" i="9"/>
  <c r="AA141" i="9" s="1"/>
  <c r="W141" i="9"/>
  <c r="Z141" i="9" s="1"/>
  <c r="AQ139" i="9"/>
  <c r="AI139" i="9"/>
  <c r="AH139" i="9"/>
  <c r="X139" i="9"/>
  <c r="AA139" i="9" s="1"/>
  <c r="W139" i="9"/>
  <c r="Z139" i="9" s="1"/>
  <c r="AQ137" i="9"/>
  <c r="X137" i="9"/>
  <c r="AA137" i="9" s="1"/>
  <c r="W137" i="9"/>
  <c r="Z137" i="9" s="1"/>
  <c r="AQ134" i="9"/>
  <c r="X134" i="9"/>
  <c r="AA134" i="9" s="1"/>
  <c r="W134" i="9"/>
  <c r="Z134" i="9" s="1"/>
  <c r="AQ133" i="9"/>
  <c r="X133" i="9"/>
  <c r="AA133" i="9" s="1"/>
  <c r="W133" i="9"/>
  <c r="Z133" i="9" s="1"/>
  <c r="AQ132" i="9"/>
  <c r="AI132" i="9"/>
  <c r="AH132" i="9"/>
  <c r="X132" i="9"/>
  <c r="AA132" i="9" s="1"/>
  <c r="W132" i="9"/>
  <c r="Z132" i="9" s="1"/>
  <c r="AQ131" i="9"/>
  <c r="AI131" i="9"/>
  <c r="AH131" i="9"/>
  <c r="X131" i="9"/>
  <c r="AA131" i="9" s="1"/>
  <c r="W131" i="9"/>
  <c r="Z131" i="9" s="1"/>
  <c r="AQ128" i="9"/>
  <c r="X128" i="9"/>
  <c r="AA128" i="9" s="1"/>
  <c r="W128" i="9"/>
  <c r="Z128" i="9" s="1"/>
  <c r="AQ124" i="9"/>
  <c r="X124" i="9"/>
  <c r="AA124" i="9" s="1"/>
  <c r="W124" i="9"/>
  <c r="Z124" i="9" s="1"/>
  <c r="AQ116" i="9"/>
  <c r="X116" i="9"/>
  <c r="AA116" i="9" s="1"/>
  <c r="W116" i="9"/>
  <c r="Z116" i="9" s="1"/>
  <c r="AQ122" i="9"/>
  <c r="X122" i="9"/>
  <c r="W122" i="9"/>
  <c r="Z122" i="9" s="1"/>
  <c r="AQ121" i="9"/>
  <c r="AI121" i="9"/>
  <c r="AH121" i="9"/>
  <c r="X121" i="9"/>
  <c r="W121" i="9"/>
  <c r="Z121" i="9" s="1"/>
  <c r="AQ120" i="9"/>
  <c r="X120" i="9"/>
  <c r="W120" i="9"/>
  <c r="Z120" i="9" s="1"/>
  <c r="AQ119" i="9"/>
  <c r="X119" i="9"/>
  <c r="W119" i="9"/>
  <c r="Z119" i="9" s="1"/>
  <c r="AQ118" i="9"/>
  <c r="X118" i="9"/>
  <c r="AA118" i="9" s="1"/>
  <c r="W118" i="9"/>
  <c r="Z118" i="9" s="1"/>
  <c r="AQ117" i="9"/>
  <c r="X117" i="9"/>
  <c r="AA117" i="9" s="1"/>
  <c r="W117" i="9"/>
  <c r="Z117" i="9" s="1"/>
  <c r="AQ115" i="9"/>
  <c r="AI115" i="9"/>
  <c r="AH115" i="9"/>
  <c r="X115" i="9"/>
  <c r="AA115" i="9" s="1"/>
  <c r="W115" i="9"/>
  <c r="Z115" i="9" s="1"/>
  <c r="AQ113" i="9"/>
  <c r="AI113" i="9"/>
  <c r="AH113" i="9"/>
  <c r="X113" i="9"/>
  <c r="AA113" i="9" s="1"/>
  <c r="W113" i="9"/>
  <c r="Z113" i="9" s="1"/>
  <c r="AQ112" i="9"/>
  <c r="AI112" i="9"/>
  <c r="AH112" i="9"/>
  <c r="X112" i="9"/>
  <c r="AA112" i="9" s="1"/>
  <c r="W112" i="9"/>
  <c r="Z112" i="9" s="1"/>
  <c r="AQ111" i="9"/>
  <c r="X111" i="9"/>
  <c r="AA111" i="9" s="1"/>
  <c r="W111" i="9"/>
  <c r="Z111" i="9" s="1"/>
  <c r="AQ110" i="9"/>
  <c r="AI110" i="9"/>
  <c r="AH110" i="9"/>
  <c r="X110" i="9"/>
  <c r="AA110" i="9" s="1"/>
  <c r="W110" i="9"/>
  <c r="Z110" i="9" s="1"/>
  <c r="AQ109" i="9"/>
  <c r="AI109" i="9"/>
  <c r="AH109" i="9"/>
  <c r="X109" i="9"/>
  <c r="AA109" i="9" s="1"/>
  <c r="W109" i="9"/>
  <c r="Z109" i="9" s="1"/>
  <c r="AQ108" i="9"/>
  <c r="AI108" i="9"/>
  <c r="AH108" i="9"/>
  <c r="Y108" i="9"/>
  <c r="P79" i="8" s="1"/>
  <c r="X108" i="9"/>
  <c r="W108" i="9"/>
  <c r="AQ107" i="9"/>
  <c r="AI107" i="9"/>
  <c r="AH107" i="9"/>
  <c r="Y107" i="9"/>
  <c r="P78" i="8" s="1"/>
  <c r="X107" i="9"/>
  <c r="W107" i="9"/>
  <c r="AQ106" i="9"/>
  <c r="AI106" i="9"/>
  <c r="AH106" i="9"/>
  <c r="X106" i="9"/>
  <c r="AA106" i="9" s="1"/>
  <c r="W106" i="9"/>
  <c r="Z106" i="9" s="1"/>
  <c r="AQ103" i="9"/>
  <c r="AI103" i="9"/>
  <c r="AH103" i="9"/>
  <c r="X103" i="9"/>
  <c r="AA103" i="9" s="1"/>
  <c r="W103" i="9"/>
  <c r="Z103" i="9" s="1"/>
  <c r="AQ101" i="9"/>
  <c r="AI101" i="9"/>
  <c r="AH101" i="9"/>
  <c r="X101" i="9"/>
  <c r="AA101" i="9" s="1"/>
  <c r="W101" i="9"/>
  <c r="Z101" i="9" s="1"/>
  <c r="AQ102" i="9"/>
  <c r="AI102" i="9"/>
  <c r="AH102" i="9"/>
  <c r="X102" i="9"/>
  <c r="AA102" i="9" s="1"/>
  <c r="W102" i="9"/>
  <c r="Z102" i="9" s="1"/>
  <c r="AQ99" i="9"/>
  <c r="AI99" i="9"/>
  <c r="AH99" i="9"/>
  <c r="X99" i="9"/>
  <c r="AA99" i="9" s="1"/>
  <c r="W99" i="9"/>
  <c r="Z99" i="9" s="1"/>
  <c r="AQ98" i="9"/>
  <c r="AI98" i="9"/>
  <c r="AH98" i="9"/>
  <c r="X98" i="9"/>
  <c r="AA98" i="9" s="1"/>
  <c r="W98" i="9"/>
  <c r="Z98" i="9" s="1"/>
  <c r="AQ97" i="9"/>
  <c r="AI97" i="9"/>
  <c r="AH97" i="9"/>
  <c r="X97" i="9"/>
  <c r="AA97" i="9" s="1"/>
  <c r="W97" i="9"/>
  <c r="Z97" i="9" s="1"/>
  <c r="AQ95" i="9"/>
  <c r="X95" i="9"/>
  <c r="AA95" i="9" s="1"/>
  <c r="W95" i="9"/>
  <c r="Z95" i="9" s="1"/>
  <c r="AQ94" i="9"/>
  <c r="X94" i="9"/>
  <c r="AA94" i="9" s="1"/>
  <c r="W94" i="9"/>
  <c r="Z94" i="9" s="1"/>
  <c r="N43" i="6"/>
  <c r="M43" i="6"/>
  <c r="L43" i="6"/>
  <c r="K43" i="6"/>
  <c r="J43" i="6"/>
  <c r="N42" i="6"/>
  <c r="M42" i="6"/>
  <c r="L42" i="6"/>
  <c r="K42" i="6"/>
  <c r="J42" i="6"/>
  <c r="N41" i="6"/>
  <c r="M41" i="6"/>
  <c r="L41" i="6"/>
  <c r="K41" i="6"/>
  <c r="J41" i="6"/>
  <c r="N40" i="6"/>
  <c r="M40" i="6"/>
  <c r="L40" i="6"/>
  <c r="K40" i="6"/>
  <c r="J40" i="6"/>
  <c r="N39" i="6"/>
  <c r="M39" i="6"/>
  <c r="L39" i="6"/>
  <c r="K39" i="6"/>
  <c r="J39" i="6"/>
  <c r="N38" i="6"/>
  <c r="M38" i="6"/>
  <c r="L38" i="6"/>
  <c r="K38" i="6"/>
  <c r="J38" i="6"/>
  <c r="N37" i="6"/>
  <c r="M37" i="6"/>
  <c r="L37" i="6"/>
  <c r="K37" i="6"/>
  <c r="J37" i="6"/>
  <c r="N36" i="6"/>
  <c r="M36" i="6"/>
  <c r="L36" i="6"/>
  <c r="K36" i="6"/>
  <c r="J36" i="6"/>
  <c r="N35" i="6"/>
  <c r="M35" i="6"/>
  <c r="L35" i="6"/>
  <c r="K35" i="6"/>
  <c r="J35" i="6"/>
  <c r="N34" i="6"/>
  <c r="M34" i="6"/>
  <c r="L34" i="6"/>
  <c r="K34" i="6"/>
  <c r="J34" i="6"/>
  <c r="N33" i="6"/>
  <c r="M33" i="6"/>
  <c r="L33" i="6"/>
  <c r="K33" i="6"/>
  <c r="J33" i="6"/>
  <c r="N32" i="6"/>
  <c r="M32" i="6"/>
  <c r="L32" i="6"/>
  <c r="K32" i="6"/>
  <c r="J32" i="6"/>
  <c r="N31" i="6"/>
  <c r="M31" i="6"/>
  <c r="L31" i="6"/>
  <c r="K31" i="6"/>
  <c r="J31" i="6"/>
  <c r="N30" i="6"/>
  <c r="M30" i="6"/>
  <c r="L30" i="6"/>
  <c r="K30" i="6"/>
  <c r="J30" i="6"/>
  <c r="N29" i="6"/>
  <c r="M29" i="6"/>
  <c r="L29" i="6"/>
  <c r="K29" i="6"/>
  <c r="J29" i="6"/>
  <c r="N28" i="6"/>
  <c r="M28" i="6"/>
  <c r="L28" i="6"/>
  <c r="K28" i="6"/>
  <c r="J28" i="6"/>
  <c r="N27" i="6"/>
  <c r="M27" i="6"/>
  <c r="L27" i="6"/>
  <c r="K27" i="6"/>
  <c r="J27" i="6"/>
  <c r="N25" i="6"/>
  <c r="M25" i="6"/>
  <c r="L25" i="6"/>
  <c r="K25" i="6"/>
  <c r="J25" i="6"/>
  <c r="N24" i="6"/>
  <c r="M24" i="6"/>
  <c r="L24" i="6"/>
  <c r="K24" i="6"/>
  <c r="J24" i="6"/>
  <c r="N23" i="6"/>
  <c r="M23" i="6"/>
  <c r="L23" i="6"/>
  <c r="K23" i="6"/>
  <c r="J23" i="6"/>
  <c r="N22" i="6"/>
  <c r="M22" i="6"/>
  <c r="L22" i="6"/>
  <c r="K22" i="6"/>
  <c r="J22" i="6"/>
  <c r="N21" i="6"/>
  <c r="M21" i="6"/>
  <c r="L21" i="6"/>
  <c r="K21" i="6"/>
  <c r="J21" i="6"/>
  <c r="N20" i="6"/>
  <c r="M20" i="6"/>
  <c r="L20" i="6"/>
  <c r="K20" i="6"/>
  <c r="J20" i="6"/>
  <c r="N19" i="6"/>
  <c r="M19" i="6"/>
  <c r="L19" i="6"/>
  <c r="K19" i="6"/>
  <c r="J19" i="6"/>
  <c r="N18" i="6"/>
  <c r="M18" i="6"/>
  <c r="L18" i="6"/>
  <c r="K18" i="6"/>
  <c r="J18" i="6"/>
  <c r="N17" i="6"/>
  <c r="M17" i="6"/>
  <c r="L17" i="6"/>
  <c r="K17" i="6"/>
  <c r="J17" i="6"/>
  <c r="N16" i="6"/>
  <c r="M16" i="6"/>
  <c r="L16" i="6"/>
  <c r="K16" i="6"/>
  <c r="J16" i="6"/>
  <c r="N15" i="6"/>
  <c r="M15" i="6"/>
  <c r="L15" i="6"/>
  <c r="K15" i="6"/>
  <c r="J15" i="6"/>
  <c r="N13" i="6"/>
  <c r="M13" i="6"/>
  <c r="L13" i="6"/>
  <c r="K13" i="6"/>
  <c r="J13" i="6"/>
  <c r="N12" i="6"/>
  <c r="M12" i="6"/>
  <c r="L12" i="6"/>
  <c r="K12" i="6"/>
  <c r="J12" i="6"/>
  <c r="N11" i="6"/>
  <c r="M11" i="6"/>
  <c r="L11" i="6"/>
  <c r="K11" i="6"/>
  <c r="J11" i="6"/>
  <c r="N10" i="6"/>
  <c r="M10" i="6"/>
  <c r="L10" i="6"/>
  <c r="K10" i="6"/>
  <c r="J10" i="6"/>
  <c r="N9" i="6"/>
  <c r="M9" i="6"/>
  <c r="L9" i="6"/>
  <c r="K9" i="6"/>
  <c r="J9" i="6"/>
  <c r="N8" i="6"/>
  <c r="M8" i="6"/>
  <c r="L8" i="6"/>
  <c r="K8" i="6"/>
  <c r="J8" i="6"/>
  <c r="N7" i="6"/>
  <c r="M7" i="6"/>
  <c r="L7" i="6"/>
  <c r="K7" i="6"/>
  <c r="J7" i="6"/>
  <c r="N5" i="6"/>
  <c r="M5" i="6"/>
  <c r="L5" i="6"/>
  <c r="K5" i="6"/>
  <c r="J5" i="6"/>
  <c r="M20" i="7"/>
  <c r="L20" i="7"/>
  <c r="K20" i="7"/>
  <c r="J20" i="7"/>
  <c r="I20" i="7"/>
  <c r="M19" i="7"/>
  <c r="L19" i="7"/>
  <c r="K19" i="7"/>
  <c r="J19" i="7"/>
  <c r="I19" i="7"/>
  <c r="M18" i="7"/>
  <c r="L18" i="7"/>
  <c r="K18" i="7"/>
  <c r="J18" i="7"/>
  <c r="I18" i="7"/>
  <c r="M17" i="7"/>
  <c r="L17" i="7"/>
  <c r="K17" i="7"/>
  <c r="J17" i="7"/>
  <c r="I17" i="7"/>
  <c r="M16" i="7"/>
  <c r="L16" i="7"/>
  <c r="K16" i="7"/>
  <c r="J16" i="7"/>
  <c r="I16" i="7"/>
  <c r="M15" i="7"/>
  <c r="L15" i="7"/>
  <c r="K15" i="7"/>
  <c r="J15" i="7"/>
  <c r="I15" i="7"/>
  <c r="I14" i="7"/>
  <c r="M14" i="7"/>
  <c r="L14" i="7"/>
  <c r="K14" i="7"/>
  <c r="J14" i="7"/>
  <c r="M13" i="7"/>
  <c r="L13" i="7"/>
  <c r="K13" i="7"/>
  <c r="J13" i="7"/>
  <c r="I13" i="7"/>
  <c r="M12" i="7"/>
  <c r="L12" i="7"/>
  <c r="K12" i="7"/>
  <c r="J12" i="7"/>
  <c r="I12" i="7"/>
  <c r="I11" i="7"/>
  <c r="J9" i="7"/>
  <c r="M11" i="7"/>
  <c r="L11" i="7"/>
  <c r="K11" i="7"/>
  <c r="J11" i="7"/>
  <c r="M10" i="7"/>
  <c r="L10" i="7"/>
  <c r="K10" i="7"/>
  <c r="J10" i="7"/>
  <c r="I10" i="7"/>
  <c r="M9" i="7"/>
  <c r="L9" i="7"/>
  <c r="K9" i="7"/>
  <c r="I9" i="7"/>
  <c r="M8" i="7"/>
  <c r="L8" i="7"/>
  <c r="K8" i="7"/>
  <c r="J8" i="7"/>
  <c r="I8" i="7"/>
  <c r="M7" i="7"/>
  <c r="L7" i="7"/>
  <c r="K7" i="7"/>
  <c r="J7" i="7"/>
  <c r="I7" i="7"/>
  <c r="M6" i="7"/>
  <c r="L6" i="7"/>
  <c r="K6" i="7"/>
  <c r="J6" i="7"/>
  <c r="I6" i="7"/>
  <c r="N4" i="6"/>
  <c r="M4" i="6"/>
  <c r="L4" i="6"/>
  <c r="K4" i="6"/>
  <c r="J4" i="6"/>
  <c r="N14" i="6"/>
  <c r="M14" i="6"/>
  <c r="L14" i="6"/>
  <c r="K14" i="6"/>
  <c r="J14" i="6"/>
  <c r="M5" i="7"/>
  <c r="L5" i="7"/>
  <c r="K5" i="7"/>
  <c r="J5" i="7"/>
  <c r="I5" i="7"/>
  <c r="M4" i="7"/>
  <c r="L4" i="7"/>
  <c r="K4" i="7"/>
  <c r="J4" i="7"/>
  <c r="I4" i="7"/>
  <c r="BH54" i="5"/>
  <c r="BH55" i="5"/>
  <c r="BH56" i="5"/>
  <c r="BH57" i="5"/>
  <c r="BH58" i="5"/>
  <c r="BH59" i="5"/>
  <c r="BH61" i="5"/>
  <c r="BH62" i="5"/>
  <c r="BH63" i="5"/>
  <c r="BH64" i="5"/>
  <c r="BH65" i="5"/>
  <c r="BH66" i="5"/>
  <c r="BH67" i="5"/>
  <c r="BH68" i="5"/>
  <c r="BH69" i="5"/>
  <c r="BH70" i="5"/>
  <c r="BH71" i="5"/>
  <c r="BH72" i="5"/>
  <c r="BH73" i="5"/>
  <c r="BH74" i="5"/>
  <c r="BH75" i="5"/>
  <c r="BH76" i="5"/>
  <c r="BH78" i="5"/>
  <c r="BH79" i="5"/>
  <c r="BH80" i="5"/>
  <c r="BH81" i="5"/>
  <c r="BH82" i="5"/>
  <c r="BH83" i="5"/>
  <c r="BH84" i="5"/>
  <c r="BH85" i="5"/>
  <c r="BH86" i="5"/>
  <c r="BH87" i="5"/>
  <c r="BH88" i="5"/>
  <c r="BH90" i="5"/>
  <c r="BH97" i="5"/>
  <c r="BH98" i="5"/>
  <c r="BH99" i="5"/>
  <c r="BH100" i="5"/>
  <c r="BH101" i="5"/>
  <c r="BH102" i="5"/>
  <c r="BH107" i="5"/>
  <c r="BH108" i="5"/>
  <c r="BH109" i="5"/>
  <c r="BH110" i="5"/>
  <c r="BH111" i="5"/>
  <c r="BH112" i="5"/>
  <c r="BH114" i="5"/>
  <c r="BH51" i="5"/>
  <c r="BH47" i="5"/>
  <c r="BH48" i="5"/>
  <c r="BH49" i="5"/>
  <c r="BH40" i="5"/>
  <c r="BH36" i="5"/>
  <c r="BH34" i="5"/>
  <c r="BH29" i="5"/>
  <c r="BH30" i="5"/>
  <c r="BH10" i="5"/>
  <c r="BH6" i="5"/>
  <c r="BH7" i="5"/>
  <c r="BH53" i="5"/>
  <c r="BH52" i="5"/>
  <c r="BH50" i="5"/>
  <c r="BH46" i="5"/>
  <c r="BH45" i="5"/>
  <c r="BH44" i="5"/>
  <c r="BH42" i="5"/>
  <c r="BH41" i="5"/>
  <c r="BH39" i="5"/>
  <c r="BH38" i="5"/>
  <c r="BH37" i="5"/>
  <c r="BH33" i="5"/>
  <c r="BH32" i="5"/>
  <c r="BH31" i="5"/>
  <c r="BH21" i="5"/>
  <c r="BH20" i="5"/>
  <c r="BH19" i="5"/>
  <c r="BH18" i="5"/>
  <c r="BH17" i="5"/>
  <c r="BH16" i="5"/>
  <c r="BH15" i="5"/>
  <c r="BH13" i="5"/>
  <c r="BH12" i="5"/>
  <c r="BH11" i="5"/>
  <c r="BH9" i="5"/>
  <c r="BH8" i="5"/>
  <c r="BH5" i="5"/>
  <c r="BH4" i="5"/>
  <c r="BH3" i="5"/>
  <c r="BH2" i="5"/>
  <c r="BH14" i="3"/>
  <c r="BH94" i="3"/>
  <c r="BH95" i="3"/>
  <c r="BH96" i="3"/>
  <c r="BH97" i="3"/>
  <c r="BH98" i="3"/>
  <c r="BH99" i="3"/>
  <c r="BH100" i="3"/>
  <c r="BH101" i="3"/>
  <c r="BH102" i="3"/>
  <c r="BH103" i="3"/>
  <c r="BH104" i="3"/>
  <c r="BH115" i="3"/>
  <c r="BH116" i="3"/>
  <c r="BH117" i="3"/>
  <c r="BH118" i="3"/>
  <c r="BH119" i="3"/>
  <c r="BH120" i="3"/>
  <c r="BH122" i="3"/>
  <c r="BH123" i="3"/>
  <c r="BH124" i="3"/>
  <c r="BH125" i="3"/>
  <c r="BH128" i="3"/>
  <c r="BH130" i="3"/>
  <c r="BH134" i="3"/>
  <c r="BH135" i="3"/>
  <c r="BH136" i="3"/>
  <c r="BH137" i="3"/>
  <c r="BH138" i="3"/>
  <c r="BH93" i="3"/>
  <c r="BH92" i="3"/>
  <c r="BH91" i="3"/>
  <c r="BH90" i="3"/>
  <c r="BH88" i="3"/>
  <c r="BH87" i="3"/>
  <c r="BH86" i="3"/>
  <c r="BH81" i="3"/>
  <c r="BH80" i="3"/>
  <c r="BH78" i="3"/>
  <c r="BH77" i="3"/>
  <c r="BH75" i="3"/>
  <c r="BH73" i="3"/>
  <c r="BH72" i="3"/>
  <c r="BH71" i="3"/>
  <c r="BH69" i="3"/>
  <c r="BH68" i="3"/>
  <c r="BH67" i="3"/>
  <c r="BH66" i="3"/>
  <c r="BH65" i="3"/>
  <c r="BH64" i="3"/>
  <c r="BH63" i="3"/>
  <c r="BH60" i="3"/>
  <c r="BH59" i="3"/>
  <c r="BH58" i="3"/>
  <c r="BH55" i="3"/>
  <c r="BH53" i="3"/>
  <c r="BH52" i="3"/>
  <c r="BH50" i="3"/>
  <c r="BH46" i="3"/>
  <c r="BH45" i="3"/>
  <c r="BH44" i="3"/>
  <c r="BH42" i="3"/>
  <c r="BH41" i="3"/>
  <c r="BH39" i="3"/>
  <c r="BH38" i="3"/>
  <c r="BH37" i="3"/>
  <c r="BH35" i="3"/>
  <c r="BH33" i="3"/>
  <c r="BH32" i="3"/>
  <c r="BH31" i="3"/>
  <c r="BH30" i="3"/>
  <c r="BH27" i="3"/>
  <c r="BH25" i="3"/>
  <c r="BH23" i="3"/>
  <c r="BH22" i="3"/>
  <c r="BH21" i="3"/>
  <c r="BH20" i="3"/>
  <c r="BH19" i="3"/>
  <c r="BH18" i="3"/>
  <c r="BH17" i="3"/>
  <c r="BH16" i="3"/>
  <c r="BH15" i="3"/>
  <c r="BH13" i="3"/>
  <c r="BH12" i="3"/>
  <c r="BH11" i="3"/>
  <c r="BH9" i="3"/>
  <c r="BH8" i="3"/>
  <c r="BH5" i="3"/>
  <c r="BH4" i="3"/>
  <c r="BH3" i="3"/>
  <c r="BH2" i="3"/>
  <c r="BH34" i="11"/>
  <c r="BH33" i="11"/>
  <c r="K29" i="10" s="1"/>
  <c r="BH32" i="11"/>
  <c r="A45" i="8"/>
  <c r="B45" i="8"/>
  <c r="A67" i="8"/>
  <c r="B67" i="8"/>
  <c r="A66" i="8"/>
  <c r="B66" i="8"/>
  <c r="A64" i="8"/>
  <c r="B64" i="8"/>
  <c r="A65" i="8"/>
  <c r="B65" i="8"/>
  <c r="A63" i="8"/>
  <c r="B63" i="8"/>
  <c r="A59" i="8"/>
  <c r="B59" i="8"/>
  <c r="A60" i="8"/>
  <c r="B60" i="8"/>
  <c r="A58" i="8"/>
  <c r="B58" i="8"/>
  <c r="B57" i="8"/>
  <c r="A57" i="8"/>
  <c r="A55" i="8"/>
  <c r="B55" i="8"/>
  <c r="A54" i="8"/>
  <c r="B54" i="8"/>
  <c r="B50" i="8"/>
  <c r="A50" i="8"/>
  <c r="A51" i="8"/>
  <c r="B51" i="8"/>
  <c r="A52" i="8"/>
  <c r="B52" i="8"/>
  <c r="A49" i="8"/>
  <c r="B49" i="8"/>
  <c r="A47" i="8"/>
  <c r="B47" i="8"/>
  <c r="A48" i="8"/>
  <c r="B48" i="8"/>
  <c r="A46" i="8"/>
  <c r="B46" i="8"/>
  <c r="A44" i="8"/>
  <c r="B44" i="8"/>
  <c r="P67" i="8"/>
  <c r="O67" i="8"/>
  <c r="N67" i="8"/>
  <c r="H67" i="8"/>
  <c r="G67" i="8"/>
  <c r="F67" i="8"/>
  <c r="E67" i="8"/>
  <c r="P66" i="8"/>
  <c r="O66" i="8"/>
  <c r="N66" i="8"/>
  <c r="H66" i="8"/>
  <c r="G66" i="8"/>
  <c r="F66" i="8"/>
  <c r="E66" i="8"/>
  <c r="P65" i="8"/>
  <c r="O65" i="8"/>
  <c r="N65" i="8"/>
  <c r="H65" i="8"/>
  <c r="G65" i="8"/>
  <c r="F65" i="8"/>
  <c r="E65" i="8"/>
  <c r="P64" i="8"/>
  <c r="O64" i="8"/>
  <c r="N64" i="8"/>
  <c r="H64" i="8"/>
  <c r="G64" i="8"/>
  <c r="F64" i="8"/>
  <c r="E64" i="8"/>
  <c r="P63" i="8"/>
  <c r="O63" i="8"/>
  <c r="N63" i="8"/>
  <c r="H63" i="8"/>
  <c r="G63" i="8"/>
  <c r="F63" i="8"/>
  <c r="E63" i="8"/>
  <c r="P60" i="8"/>
  <c r="O60" i="8"/>
  <c r="N60" i="8"/>
  <c r="H60" i="8"/>
  <c r="G60" i="8"/>
  <c r="F60" i="8"/>
  <c r="E60" i="8"/>
  <c r="P59" i="8"/>
  <c r="O59" i="8"/>
  <c r="N59" i="8"/>
  <c r="H59" i="8"/>
  <c r="G59" i="8"/>
  <c r="F59" i="8"/>
  <c r="E59" i="8"/>
  <c r="P58" i="8"/>
  <c r="O58" i="8"/>
  <c r="N58" i="8"/>
  <c r="H58" i="8"/>
  <c r="G58" i="8"/>
  <c r="F58" i="8"/>
  <c r="E58" i="8"/>
  <c r="P57" i="8"/>
  <c r="O57" i="8"/>
  <c r="N57" i="8"/>
  <c r="H57" i="8"/>
  <c r="G57" i="8"/>
  <c r="F57" i="8"/>
  <c r="E57" i="8"/>
  <c r="O55" i="8"/>
  <c r="P55" i="8"/>
  <c r="N55" i="8"/>
  <c r="H55" i="8"/>
  <c r="G55" i="8"/>
  <c r="F55" i="8"/>
  <c r="E55" i="8"/>
  <c r="P54" i="8"/>
  <c r="O54" i="8"/>
  <c r="N54" i="8"/>
  <c r="H54" i="8"/>
  <c r="G54" i="8"/>
  <c r="F54" i="8"/>
  <c r="E54" i="8"/>
  <c r="P53" i="8"/>
  <c r="O53" i="8"/>
  <c r="N53" i="8"/>
  <c r="H53" i="8"/>
  <c r="G53" i="8"/>
  <c r="F53" i="8"/>
  <c r="E53" i="8"/>
  <c r="P52" i="8"/>
  <c r="O52" i="8"/>
  <c r="N52" i="8"/>
  <c r="H52" i="8"/>
  <c r="G52" i="8"/>
  <c r="F52" i="8"/>
  <c r="E52" i="8"/>
  <c r="P51" i="8"/>
  <c r="O51" i="8"/>
  <c r="N51" i="8"/>
  <c r="H51" i="8"/>
  <c r="G51" i="8"/>
  <c r="F51" i="8"/>
  <c r="E51" i="8"/>
  <c r="P50" i="8"/>
  <c r="O50" i="8"/>
  <c r="N50" i="8"/>
  <c r="H50" i="8"/>
  <c r="G50" i="8"/>
  <c r="F50" i="8"/>
  <c r="E50" i="8"/>
  <c r="P49" i="8"/>
  <c r="O49" i="8"/>
  <c r="N49" i="8"/>
  <c r="H49" i="8"/>
  <c r="G49" i="8"/>
  <c r="F49" i="8"/>
  <c r="E49" i="8"/>
  <c r="P48" i="8"/>
  <c r="O48" i="8"/>
  <c r="N48" i="8"/>
  <c r="H48" i="8"/>
  <c r="G48" i="8"/>
  <c r="F48" i="8"/>
  <c r="E48" i="8"/>
  <c r="P47" i="8"/>
  <c r="O47" i="8"/>
  <c r="N47" i="8"/>
  <c r="H47" i="8"/>
  <c r="G47" i="8"/>
  <c r="F47" i="8"/>
  <c r="E47" i="8"/>
  <c r="P46" i="8"/>
  <c r="O46" i="8"/>
  <c r="N46" i="8"/>
  <c r="H46" i="8"/>
  <c r="G46" i="8"/>
  <c r="F46" i="8"/>
  <c r="E46" i="8"/>
  <c r="P43" i="8"/>
  <c r="O43" i="8"/>
  <c r="P45" i="8"/>
  <c r="O45" i="8"/>
  <c r="N45" i="8"/>
  <c r="H45" i="8"/>
  <c r="G45" i="8"/>
  <c r="F45" i="8"/>
  <c r="E45" i="8"/>
  <c r="N44" i="8"/>
  <c r="H44" i="8"/>
  <c r="G44" i="8"/>
  <c r="F44" i="8"/>
  <c r="E44" i="8"/>
  <c r="AQ93" i="9"/>
  <c r="AI93" i="9"/>
  <c r="AH93" i="9"/>
  <c r="X93" i="9"/>
  <c r="AA93" i="9" s="1"/>
  <c r="W93" i="9"/>
  <c r="Z93" i="9" s="1"/>
  <c r="AQ92" i="9"/>
  <c r="AI92" i="9"/>
  <c r="AH92" i="9"/>
  <c r="X92" i="9"/>
  <c r="AA92" i="9" s="1"/>
  <c r="W92" i="9"/>
  <c r="Z92" i="9" s="1"/>
  <c r="AQ91" i="9"/>
  <c r="AI91" i="9"/>
  <c r="AH91" i="9"/>
  <c r="X91" i="9"/>
  <c r="AA91" i="9" s="1"/>
  <c r="W91" i="9"/>
  <c r="Z91" i="9" s="1"/>
  <c r="AQ90" i="9"/>
  <c r="X90" i="9"/>
  <c r="AA90" i="9" s="1"/>
  <c r="W90" i="9"/>
  <c r="Z90" i="9" s="1"/>
  <c r="AQ89" i="9"/>
  <c r="X89" i="9"/>
  <c r="AA89" i="9" s="1"/>
  <c r="W89" i="9"/>
  <c r="Z89" i="9" s="1"/>
  <c r="AQ88" i="9"/>
  <c r="X88" i="9"/>
  <c r="AA88" i="9" s="1"/>
  <c r="W88" i="9"/>
  <c r="Z88" i="9" s="1"/>
  <c r="AQ87" i="9"/>
  <c r="AC87" i="9"/>
  <c r="AI87" i="9" s="1"/>
  <c r="X87" i="9"/>
  <c r="BH87" i="9" s="1"/>
  <c r="W87" i="9"/>
  <c r="Z87" i="9" s="1"/>
  <c r="AQ86" i="9"/>
  <c r="AC86" i="9"/>
  <c r="AI86" i="9" s="1"/>
  <c r="X86" i="9"/>
  <c r="AA86" i="9" s="1"/>
  <c r="W86" i="9"/>
  <c r="Z86" i="9" s="1"/>
  <c r="AQ83" i="9"/>
  <c r="X83" i="9"/>
  <c r="AA83" i="9" s="1"/>
  <c r="W83" i="9"/>
  <c r="Z83" i="9" s="1"/>
  <c r="AQ82" i="9"/>
  <c r="X82" i="9"/>
  <c r="AA82" i="9" s="1"/>
  <c r="W82" i="9"/>
  <c r="Z82" i="9" s="1"/>
  <c r="AQ81" i="9"/>
  <c r="X81" i="9"/>
  <c r="AA81" i="9" s="1"/>
  <c r="W81" i="9"/>
  <c r="Z81" i="9" s="1"/>
  <c r="AQ80" i="9"/>
  <c r="X80" i="9"/>
  <c r="AA80" i="9" s="1"/>
  <c r="W80" i="9"/>
  <c r="Z80" i="9" s="1"/>
  <c r="AQ79" i="9"/>
  <c r="AI79" i="9"/>
  <c r="AH79" i="9"/>
  <c r="X79" i="9"/>
  <c r="AA79" i="9" s="1"/>
  <c r="W79" i="9"/>
  <c r="Z79" i="9" s="1"/>
  <c r="AQ78" i="9"/>
  <c r="AI78" i="9"/>
  <c r="AH78" i="9"/>
  <c r="X78" i="9"/>
  <c r="AA78" i="9" s="1"/>
  <c r="W78" i="9"/>
  <c r="Z78" i="9" s="1"/>
  <c r="AQ77" i="9"/>
  <c r="X77" i="9"/>
  <c r="W77" i="9"/>
  <c r="Z77" i="9" s="1"/>
  <c r="AQ75" i="9"/>
  <c r="AI75" i="9"/>
  <c r="AH75" i="9"/>
  <c r="X75" i="9"/>
  <c r="AA75" i="9" s="1"/>
  <c r="W75" i="9"/>
  <c r="Z75" i="9" s="1"/>
  <c r="AQ74" i="9"/>
  <c r="X74" i="9"/>
  <c r="AA74" i="9" s="1"/>
  <c r="W74" i="9"/>
  <c r="Z74" i="9" s="1"/>
  <c r="AQ73" i="9"/>
  <c r="X73" i="9"/>
  <c r="AA73" i="9" s="1"/>
  <c r="W73" i="9"/>
  <c r="Z73" i="9" s="1"/>
  <c r="AQ72" i="9"/>
  <c r="X72" i="9"/>
  <c r="W72" i="9"/>
  <c r="Z72" i="9" s="1"/>
  <c r="X71" i="9"/>
  <c r="W71" i="9"/>
  <c r="AQ70" i="9"/>
  <c r="X70" i="9"/>
  <c r="AA70" i="9" s="1"/>
  <c r="W70" i="9"/>
  <c r="Z70" i="9" s="1"/>
  <c r="AQ69" i="9"/>
  <c r="X69" i="9"/>
  <c r="AA69" i="9" s="1"/>
  <c r="W69" i="9"/>
  <c r="Z69" i="9" s="1"/>
  <c r="AQ68" i="9"/>
  <c r="X68" i="9"/>
  <c r="AA68" i="9" s="1"/>
  <c r="W68" i="9"/>
  <c r="Z68" i="9" s="1"/>
  <c r="AQ67" i="9"/>
  <c r="AI67" i="9"/>
  <c r="AH67" i="9"/>
  <c r="X67" i="9"/>
  <c r="W67" i="9"/>
  <c r="Z67" i="9" s="1"/>
  <c r="AQ66" i="9"/>
  <c r="X66" i="9"/>
  <c r="AA66" i="9" s="1"/>
  <c r="W66" i="9"/>
  <c r="Z66" i="9" s="1"/>
  <c r="AQ65" i="9"/>
  <c r="X65" i="9"/>
  <c r="AA65" i="9" s="1"/>
  <c r="W65" i="9"/>
  <c r="Z65" i="9" s="1"/>
  <c r="AQ64" i="9"/>
  <c r="X64" i="9"/>
  <c r="AA64" i="9" s="1"/>
  <c r="W64" i="9"/>
  <c r="Z64" i="9" s="1"/>
  <c r="AQ63" i="9"/>
  <c r="X63" i="9"/>
  <c r="AA63" i="9" s="1"/>
  <c r="W63" i="9"/>
  <c r="Z63" i="9" s="1"/>
  <c r="AQ62" i="9"/>
  <c r="X62" i="9"/>
  <c r="AA62" i="9" s="1"/>
  <c r="W62" i="9"/>
  <c r="Z62" i="9" s="1"/>
  <c r="AQ61" i="9"/>
  <c r="X61" i="9"/>
  <c r="AA61" i="9" s="1"/>
  <c r="W61" i="9"/>
  <c r="Z61" i="9" s="1"/>
  <c r="AQ60" i="9"/>
  <c r="X60" i="9"/>
  <c r="AA60" i="9" s="1"/>
  <c r="W60" i="9"/>
  <c r="Z60" i="9" s="1"/>
  <c r="AQ59" i="9"/>
  <c r="AI59" i="9"/>
  <c r="AH59" i="9"/>
  <c r="X59" i="9"/>
  <c r="AA59" i="9" s="1"/>
  <c r="W59" i="9"/>
  <c r="Z59" i="9" s="1"/>
  <c r="AQ58" i="9"/>
  <c r="AI58" i="9"/>
  <c r="AH58" i="9"/>
  <c r="X58" i="9"/>
  <c r="AA58" i="9" s="1"/>
  <c r="W58" i="9"/>
  <c r="Z58" i="9" s="1"/>
  <c r="AQ57" i="9"/>
  <c r="AI57" i="9"/>
  <c r="AH57" i="9"/>
  <c r="X57" i="9"/>
  <c r="AA57" i="9" s="1"/>
  <c r="W57" i="9"/>
  <c r="Z57" i="9" s="1"/>
  <c r="A82" i="10"/>
  <c r="B82" i="10"/>
  <c r="A83" i="10"/>
  <c r="B83" i="10"/>
  <c r="A84" i="10"/>
  <c r="B84" i="10"/>
  <c r="A85" i="10"/>
  <c r="B85" i="10"/>
  <c r="A81" i="10"/>
  <c r="B81" i="10"/>
  <c r="A79" i="10"/>
  <c r="B79" i="10"/>
  <c r="A80" i="10"/>
  <c r="B80" i="10"/>
  <c r="A78" i="10"/>
  <c r="B78" i="10"/>
  <c r="A77" i="10"/>
  <c r="B77" i="10"/>
  <c r="A76" i="10"/>
  <c r="B76" i="10"/>
  <c r="A75" i="10"/>
  <c r="B75" i="10"/>
  <c r="A71" i="10"/>
  <c r="B71" i="10"/>
  <c r="A72" i="10"/>
  <c r="B72" i="10"/>
  <c r="A70" i="10"/>
  <c r="B70" i="10"/>
  <c r="A68" i="10"/>
  <c r="B68" i="10"/>
  <c r="A67" i="10"/>
  <c r="B67" i="10"/>
  <c r="A65" i="10"/>
  <c r="B65" i="10"/>
  <c r="A64" i="10"/>
  <c r="B64" i="10"/>
  <c r="A62" i="10"/>
  <c r="B62" i="10"/>
  <c r="A58" i="10"/>
  <c r="B58" i="10"/>
  <c r="A59" i="10"/>
  <c r="B59" i="10"/>
  <c r="A61" i="10"/>
  <c r="B61" i="10"/>
  <c r="B57" i="10"/>
  <c r="A57" i="10"/>
  <c r="A54" i="10"/>
  <c r="B54" i="10"/>
  <c r="A50" i="10"/>
  <c r="B50" i="10"/>
  <c r="A51" i="10"/>
  <c r="B51" i="10"/>
  <c r="A52" i="10"/>
  <c r="B52" i="10"/>
  <c r="A53" i="10"/>
  <c r="B53" i="10"/>
  <c r="A49" i="10"/>
  <c r="B49" i="10"/>
  <c r="A47" i="10"/>
  <c r="B47" i="10"/>
  <c r="A46" i="10"/>
  <c r="B46" i="10"/>
  <c r="A45" i="10"/>
  <c r="B45" i="10"/>
  <c r="A44" i="10"/>
  <c r="B44" i="10"/>
  <c r="A43" i="10"/>
  <c r="B43" i="10"/>
  <c r="A42" i="10"/>
  <c r="B42" i="10"/>
  <c r="A41" i="10"/>
  <c r="B41" i="10"/>
  <c r="A40" i="10"/>
  <c r="B40" i="10"/>
  <c r="A39" i="10"/>
  <c r="B39" i="10"/>
  <c r="A38" i="10"/>
  <c r="B38" i="10"/>
  <c r="A37" i="10"/>
  <c r="B37" i="10"/>
  <c r="A36" i="10"/>
  <c r="B36" i="10"/>
  <c r="A35" i="10"/>
  <c r="B35" i="10"/>
  <c r="A34" i="10"/>
  <c r="B34" i="10"/>
  <c r="A33" i="10"/>
  <c r="B33" i="10"/>
  <c r="A32" i="10"/>
  <c r="B32" i="10"/>
  <c r="A31" i="10"/>
  <c r="B31" i="10"/>
  <c r="A30" i="10"/>
  <c r="B30" i="10"/>
  <c r="A29" i="10"/>
  <c r="B29" i="10"/>
  <c r="A28" i="10"/>
  <c r="B28" i="10"/>
  <c r="A24" i="10"/>
  <c r="B24" i="10"/>
  <c r="A23" i="10"/>
  <c r="B23" i="10"/>
  <c r="A21" i="10"/>
  <c r="B21" i="10"/>
  <c r="A20" i="10"/>
  <c r="B20" i="10"/>
  <c r="A19" i="10"/>
  <c r="B19" i="10"/>
  <c r="A18" i="10"/>
  <c r="B18" i="10"/>
  <c r="A17" i="10"/>
  <c r="B17" i="10"/>
  <c r="A16" i="10"/>
  <c r="B16" i="10"/>
  <c r="A15" i="10"/>
  <c r="B15" i="10"/>
  <c r="A14" i="10"/>
  <c r="B14" i="10"/>
  <c r="A13" i="10"/>
  <c r="B13" i="10"/>
  <c r="A12" i="10"/>
  <c r="B12" i="10"/>
  <c r="A11" i="10"/>
  <c r="B11" i="10"/>
  <c r="A10" i="10"/>
  <c r="B10" i="10"/>
  <c r="A9" i="10"/>
  <c r="B9" i="10"/>
  <c r="A8" i="10"/>
  <c r="B8" i="10"/>
  <c r="A6" i="10"/>
  <c r="B6" i="10"/>
  <c r="A5" i="10"/>
  <c r="B5" i="10"/>
  <c r="P85" i="10"/>
  <c r="O85" i="10"/>
  <c r="N85" i="10"/>
  <c r="H85" i="10"/>
  <c r="G85" i="10"/>
  <c r="F85" i="10"/>
  <c r="E85" i="10"/>
  <c r="P84" i="10"/>
  <c r="O84" i="10"/>
  <c r="N84" i="10"/>
  <c r="H84" i="10"/>
  <c r="G84" i="10"/>
  <c r="F84" i="10"/>
  <c r="E84" i="10"/>
  <c r="P83" i="10"/>
  <c r="O83" i="10"/>
  <c r="N83" i="10"/>
  <c r="H83" i="10"/>
  <c r="G83" i="10"/>
  <c r="F83" i="10"/>
  <c r="E83" i="10"/>
  <c r="P82" i="10"/>
  <c r="O82" i="10"/>
  <c r="N82" i="10"/>
  <c r="H82" i="10"/>
  <c r="G82" i="10"/>
  <c r="F82" i="10"/>
  <c r="E82" i="10"/>
  <c r="P81" i="10"/>
  <c r="O81" i="10"/>
  <c r="N81" i="10"/>
  <c r="H81" i="10"/>
  <c r="G81" i="10"/>
  <c r="F81" i="10"/>
  <c r="E81" i="10"/>
  <c r="P80" i="10"/>
  <c r="O80" i="10"/>
  <c r="N80" i="10"/>
  <c r="H80" i="10"/>
  <c r="G80" i="10"/>
  <c r="F80" i="10"/>
  <c r="E80" i="10"/>
  <c r="P79" i="10"/>
  <c r="O79" i="10"/>
  <c r="N79" i="10"/>
  <c r="H79" i="10"/>
  <c r="G79" i="10"/>
  <c r="F79" i="10"/>
  <c r="E79" i="10"/>
  <c r="P78" i="10"/>
  <c r="O78" i="10"/>
  <c r="N78" i="10"/>
  <c r="H78" i="10"/>
  <c r="G78" i="10"/>
  <c r="F78" i="10"/>
  <c r="E78" i="10"/>
  <c r="P77" i="10"/>
  <c r="O77" i="10"/>
  <c r="N77" i="10"/>
  <c r="H77" i="10"/>
  <c r="G77" i="10"/>
  <c r="F77" i="10"/>
  <c r="E77" i="10"/>
  <c r="P76" i="10"/>
  <c r="O76" i="10"/>
  <c r="N76" i="10"/>
  <c r="H76" i="10"/>
  <c r="G76" i="10"/>
  <c r="F76" i="10"/>
  <c r="E76" i="10"/>
  <c r="P75" i="10"/>
  <c r="O75" i="10"/>
  <c r="N75" i="10"/>
  <c r="H75" i="10"/>
  <c r="G75" i="10"/>
  <c r="F75" i="10"/>
  <c r="E75" i="10"/>
  <c r="P72" i="10"/>
  <c r="O72" i="10"/>
  <c r="N72" i="10"/>
  <c r="H72" i="10"/>
  <c r="G72" i="10"/>
  <c r="F72" i="10"/>
  <c r="E72" i="10"/>
  <c r="P71" i="10"/>
  <c r="O71" i="10"/>
  <c r="N71" i="10"/>
  <c r="H71" i="10"/>
  <c r="G71" i="10"/>
  <c r="F71" i="10"/>
  <c r="E71" i="10"/>
  <c r="P70" i="10"/>
  <c r="O70" i="10"/>
  <c r="N70" i="10"/>
  <c r="H70" i="10"/>
  <c r="G70" i="10"/>
  <c r="F70" i="10"/>
  <c r="E70" i="10"/>
  <c r="P68" i="10"/>
  <c r="O68" i="10"/>
  <c r="N68" i="10"/>
  <c r="F68" i="10"/>
  <c r="G68" i="10"/>
  <c r="H68" i="10"/>
  <c r="E68" i="10"/>
  <c r="P67" i="10"/>
  <c r="O67" i="10"/>
  <c r="N67" i="10"/>
  <c r="H67" i="10"/>
  <c r="G67" i="10"/>
  <c r="F67" i="10"/>
  <c r="E67" i="10"/>
  <c r="P65" i="10"/>
  <c r="O65" i="10"/>
  <c r="N65" i="10"/>
  <c r="H65" i="10"/>
  <c r="G65" i="10"/>
  <c r="F65" i="10"/>
  <c r="E65" i="10"/>
  <c r="P64" i="10"/>
  <c r="O64" i="10"/>
  <c r="N64" i="10"/>
  <c r="H64" i="10"/>
  <c r="G64" i="10"/>
  <c r="F64" i="10"/>
  <c r="E64" i="10"/>
  <c r="P62" i="10"/>
  <c r="O62" i="10"/>
  <c r="N62" i="10"/>
  <c r="H62" i="10"/>
  <c r="G62" i="10"/>
  <c r="F62" i="10"/>
  <c r="E62" i="10"/>
  <c r="P61" i="10"/>
  <c r="O61" i="10"/>
  <c r="N61" i="10"/>
  <c r="H61" i="10"/>
  <c r="G61" i="10"/>
  <c r="F61" i="10"/>
  <c r="E61" i="10"/>
  <c r="P59" i="10"/>
  <c r="O59" i="10"/>
  <c r="N59" i="10"/>
  <c r="H59" i="10"/>
  <c r="G59" i="10"/>
  <c r="F59" i="10"/>
  <c r="E59" i="10"/>
  <c r="P58" i="10"/>
  <c r="O58" i="10"/>
  <c r="N58" i="10"/>
  <c r="H58" i="10"/>
  <c r="G58" i="10"/>
  <c r="F58" i="10"/>
  <c r="E58" i="10"/>
  <c r="P57" i="10"/>
  <c r="O57" i="10"/>
  <c r="N57" i="10"/>
  <c r="H57" i="10"/>
  <c r="G57" i="10"/>
  <c r="F57" i="10"/>
  <c r="E57" i="10"/>
  <c r="P54" i="10"/>
  <c r="O54" i="10"/>
  <c r="N54" i="10"/>
  <c r="H54" i="10"/>
  <c r="G54" i="10"/>
  <c r="F54" i="10"/>
  <c r="E54" i="10"/>
  <c r="P53" i="10"/>
  <c r="O53" i="10"/>
  <c r="N53" i="10"/>
  <c r="H53" i="10"/>
  <c r="G53" i="10"/>
  <c r="F53" i="10"/>
  <c r="E53" i="10"/>
  <c r="P52" i="10"/>
  <c r="O52" i="10"/>
  <c r="N52" i="10"/>
  <c r="H52" i="10"/>
  <c r="G52" i="10"/>
  <c r="F52" i="10"/>
  <c r="E52" i="10"/>
  <c r="P51" i="10"/>
  <c r="O51" i="10"/>
  <c r="N51" i="10"/>
  <c r="H51" i="10"/>
  <c r="G51" i="10"/>
  <c r="F51" i="10"/>
  <c r="E51" i="10"/>
  <c r="P50" i="10"/>
  <c r="O50" i="10"/>
  <c r="N50" i="10"/>
  <c r="H50" i="10"/>
  <c r="G50" i="10"/>
  <c r="F50" i="10"/>
  <c r="E50" i="10"/>
  <c r="E49" i="10"/>
  <c r="F49" i="10"/>
  <c r="P49" i="10"/>
  <c r="O49" i="10"/>
  <c r="N49" i="10"/>
  <c r="H49" i="10"/>
  <c r="G49" i="10"/>
  <c r="E45" i="10"/>
  <c r="P47" i="10"/>
  <c r="O47" i="10"/>
  <c r="N47" i="10"/>
  <c r="H47" i="10"/>
  <c r="G47" i="10"/>
  <c r="F47" i="10"/>
  <c r="E47" i="10"/>
  <c r="P46" i="10"/>
  <c r="O46" i="10"/>
  <c r="N46" i="10"/>
  <c r="H46" i="10"/>
  <c r="G46" i="10"/>
  <c r="F46" i="10"/>
  <c r="E46" i="10"/>
  <c r="P45" i="10"/>
  <c r="O45" i="10"/>
  <c r="N45" i="10"/>
  <c r="H45" i="10"/>
  <c r="G45" i="10"/>
  <c r="F45" i="10"/>
  <c r="P44" i="10"/>
  <c r="O44" i="10"/>
  <c r="N44" i="10"/>
  <c r="H44" i="10"/>
  <c r="G44" i="10"/>
  <c r="F44" i="10"/>
  <c r="E44" i="10"/>
  <c r="P43" i="10"/>
  <c r="O43" i="10"/>
  <c r="N43" i="10"/>
  <c r="H43" i="10"/>
  <c r="G43" i="10"/>
  <c r="F43" i="10"/>
  <c r="E43" i="10"/>
  <c r="P42" i="10"/>
  <c r="O42" i="10"/>
  <c r="N42" i="10"/>
  <c r="H42" i="10"/>
  <c r="G42" i="10"/>
  <c r="F42" i="10"/>
  <c r="E42" i="10"/>
  <c r="P41" i="10"/>
  <c r="O41" i="10"/>
  <c r="N41" i="10"/>
  <c r="H41" i="10"/>
  <c r="G41" i="10"/>
  <c r="F41" i="10"/>
  <c r="E41" i="10"/>
  <c r="H40" i="10"/>
  <c r="P40" i="10"/>
  <c r="O40" i="10"/>
  <c r="N40" i="10"/>
  <c r="G40" i="10"/>
  <c r="F40" i="10"/>
  <c r="E40" i="10"/>
  <c r="P39" i="10"/>
  <c r="O39" i="10"/>
  <c r="N39" i="10"/>
  <c r="H39" i="10"/>
  <c r="G39" i="10"/>
  <c r="F39" i="10"/>
  <c r="E39" i="10"/>
  <c r="P38" i="10"/>
  <c r="O38" i="10"/>
  <c r="N38" i="10"/>
  <c r="H38" i="10"/>
  <c r="G38" i="10"/>
  <c r="F38" i="10"/>
  <c r="E38" i="10"/>
  <c r="P37" i="10"/>
  <c r="O37" i="10"/>
  <c r="N37" i="10"/>
  <c r="H37" i="10"/>
  <c r="G37" i="10"/>
  <c r="F37" i="10"/>
  <c r="E37" i="10"/>
  <c r="P36" i="10"/>
  <c r="O36" i="10"/>
  <c r="N36" i="10"/>
  <c r="H36" i="10"/>
  <c r="G36" i="10"/>
  <c r="F36" i="10"/>
  <c r="E36" i="10"/>
  <c r="P35" i="10"/>
  <c r="O35" i="10"/>
  <c r="N35" i="10"/>
  <c r="H35" i="10"/>
  <c r="G35" i="10"/>
  <c r="F35" i="10"/>
  <c r="E35" i="10"/>
  <c r="P34" i="10"/>
  <c r="O34" i="10"/>
  <c r="N34" i="10"/>
  <c r="H34" i="10"/>
  <c r="G34" i="10"/>
  <c r="F34" i="10"/>
  <c r="E34" i="10"/>
  <c r="P33" i="10"/>
  <c r="O33" i="10"/>
  <c r="N33" i="10"/>
  <c r="H33" i="10"/>
  <c r="G33" i="10"/>
  <c r="F33" i="10"/>
  <c r="E33" i="10"/>
  <c r="P32" i="10"/>
  <c r="O32" i="10"/>
  <c r="N32" i="10"/>
  <c r="H32" i="10"/>
  <c r="G32" i="10"/>
  <c r="F32" i="10"/>
  <c r="E32" i="10"/>
  <c r="P31" i="10"/>
  <c r="O31" i="10"/>
  <c r="N31" i="10"/>
  <c r="H31" i="10"/>
  <c r="G31" i="10"/>
  <c r="F31" i="10"/>
  <c r="E31" i="10"/>
  <c r="P30" i="10"/>
  <c r="O30" i="10"/>
  <c r="N30" i="10"/>
  <c r="H30" i="10"/>
  <c r="G30" i="10"/>
  <c r="F30" i="10"/>
  <c r="E30" i="10"/>
  <c r="P29" i="10"/>
  <c r="O29" i="10"/>
  <c r="N29" i="10"/>
  <c r="H29" i="10"/>
  <c r="G29" i="10"/>
  <c r="F29" i="10"/>
  <c r="E29" i="10"/>
  <c r="P28" i="10"/>
  <c r="O28" i="10"/>
  <c r="N28" i="10"/>
  <c r="H28" i="10"/>
  <c r="G28" i="10"/>
  <c r="F28" i="10"/>
  <c r="E28" i="10"/>
  <c r="P24" i="10"/>
  <c r="O24" i="10"/>
  <c r="N24" i="10"/>
  <c r="H24" i="10"/>
  <c r="G24" i="10"/>
  <c r="F24" i="10"/>
  <c r="E24" i="10"/>
  <c r="P23" i="10"/>
  <c r="O23" i="10"/>
  <c r="N23" i="10"/>
  <c r="H23" i="10"/>
  <c r="G23" i="10"/>
  <c r="F23" i="10"/>
  <c r="E23" i="10"/>
  <c r="P21" i="10"/>
  <c r="O21" i="10"/>
  <c r="N21" i="10"/>
  <c r="F21" i="10"/>
  <c r="G21" i="10"/>
  <c r="H21" i="10"/>
  <c r="E21" i="10"/>
  <c r="P18" i="10"/>
  <c r="P20" i="10"/>
  <c r="O20" i="10"/>
  <c r="N20" i="10"/>
  <c r="H20" i="10"/>
  <c r="G20" i="10"/>
  <c r="F20" i="10"/>
  <c r="E20" i="10"/>
  <c r="P19" i="10"/>
  <c r="O19" i="10"/>
  <c r="N19" i="10"/>
  <c r="H19" i="10"/>
  <c r="G19" i="10"/>
  <c r="F19" i="10"/>
  <c r="E19" i="10"/>
  <c r="F18" i="10"/>
  <c r="O18" i="10"/>
  <c r="N18" i="10"/>
  <c r="H18" i="10"/>
  <c r="G18" i="10"/>
  <c r="E18" i="10"/>
  <c r="E17" i="10"/>
  <c r="P17" i="10"/>
  <c r="O17" i="10"/>
  <c r="N17" i="10"/>
  <c r="H17" i="10"/>
  <c r="G17" i="10"/>
  <c r="F17" i="10"/>
  <c r="P16" i="10"/>
  <c r="O16" i="10"/>
  <c r="N16" i="10"/>
  <c r="H16" i="10"/>
  <c r="G16" i="10"/>
  <c r="F16" i="10"/>
  <c r="E16" i="10"/>
  <c r="P15" i="10"/>
  <c r="O15" i="10"/>
  <c r="N15" i="10"/>
  <c r="H15" i="10"/>
  <c r="G15" i="10"/>
  <c r="F15" i="10"/>
  <c r="E15" i="10"/>
  <c r="P14" i="10"/>
  <c r="O14" i="10"/>
  <c r="N14" i="10"/>
  <c r="H14" i="10"/>
  <c r="G14" i="10"/>
  <c r="F14" i="10"/>
  <c r="E14" i="10"/>
  <c r="P13" i="10"/>
  <c r="O13" i="10"/>
  <c r="N13" i="10"/>
  <c r="H13" i="10"/>
  <c r="G13" i="10"/>
  <c r="F13" i="10"/>
  <c r="E13" i="10"/>
  <c r="AQ11" i="11"/>
  <c r="P12" i="10"/>
  <c r="O12" i="10"/>
  <c r="N12" i="10"/>
  <c r="H12" i="10"/>
  <c r="G12" i="10"/>
  <c r="F12" i="10"/>
  <c r="E12" i="10"/>
  <c r="P11" i="10"/>
  <c r="O11" i="10"/>
  <c r="N11" i="10"/>
  <c r="H11" i="10"/>
  <c r="G11" i="10"/>
  <c r="F11" i="10"/>
  <c r="E11" i="10"/>
  <c r="P10" i="10"/>
  <c r="O10" i="10"/>
  <c r="N10" i="10"/>
  <c r="H10" i="10"/>
  <c r="G10" i="10"/>
  <c r="F10" i="10"/>
  <c r="E10" i="10"/>
  <c r="P9" i="10"/>
  <c r="O9" i="10"/>
  <c r="N9" i="10"/>
  <c r="H9" i="10"/>
  <c r="G9" i="10"/>
  <c r="F9" i="10"/>
  <c r="E9" i="10"/>
  <c r="P8" i="10"/>
  <c r="O8" i="10"/>
  <c r="N8" i="10"/>
  <c r="H8" i="10"/>
  <c r="G8" i="10"/>
  <c r="F8" i="10"/>
  <c r="E8" i="10"/>
  <c r="P6" i="10"/>
  <c r="O6" i="10"/>
  <c r="N6" i="10"/>
  <c r="H6" i="10"/>
  <c r="G6" i="10"/>
  <c r="F6" i="10"/>
  <c r="E6" i="10"/>
  <c r="B4" i="10"/>
  <c r="A4" i="10"/>
  <c r="N5" i="10"/>
  <c r="H5" i="10"/>
  <c r="G5" i="10"/>
  <c r="F5" i="10"/>
  <c r="E5" i="10"/>
  <c r="P4" i="10"/>
  <c r="O4" i="10"/>
  <c r="N4" i="10"/>
  <c r="E4" i="10"/>
  <c r="H4" i="10"/>
  <c r="G4" i="10"/>
  <c r="F4" i="10"/>
  <c r="AQ115" i="11"/>
  <c r="AI115" i="11"/>
  <c r="AH115" i="11"/>
  <c r="X115" i="11"/>
  <c r="AA115" i="11" s="1"/>
  <c r="W115" i="11"/>
  <c r="Z115" i="11" s="1"/>
  <c r="AQ113" i="11"/>
  <c r="AI113" i="11"/>
  <c r="AH113" i="11"/>
  <c r="X113" i="11"/>
  <c r="AA113" i="11" s="1"/>
  <c r="W113" i="11"/>
  <c r="Z113" i="11" s="1"/>
  <c r="AQ114" i="11"/>
  <c r="X114" i="11"/>
  <c r="AA114" i="11" s="1"/>
  <c r="W114" i="11"/>
  <c r="Z114" i="11" s="1"/>
  <c r="AQ112" i="11"/>
  <c r="X112" i="11"/>
  <c r="AA112" i="11" s="1"/>
  <c r="W112" i="11"/>
  <c r="Z112" i="11" s="1"/>
  <c r="AQ111" i="11"/>
  <c r="AI111" i="11"/>
  <c r="AH111" i="11"/>
  <c r="X111" i="11"/>
  <c r="AA111" i="11" s="1"/>
  <c r="W111" i="11"/>
  <c r="Z111" i="11" s="1"/>
  <c r="AQ110" i="11"/>
  <c r="AC110" i="11"/>
  <c r="AI110" i="11" s="1"/>
  <c r="X110" i="11"/>
  <c r="AA110" i="11" s="1"/>
  <c r="W110" i="11"/>
  <c r="Z110" i="11" s="1"/>
  <c r="AQ109" i="11"/>
  <c r="AC109" i="11"/>
  <c r="AI109" i="11" s="1"/>
  <c r="X109" i="11"/>
  <c r="AA109" i="11" s="1"/>
  <c r="W109" i="11"/>
  <c r="Z109" i="11" s="1"/>
  <c r="AQ108" i="11"/>
  <c r="AI108" i="11"/>
  <c r="AH108" i="11"/>
  <c r="X108" i="11"/>
  <c r="AA108" i="11" s="1"/>
  <c r="W108" i="11"/>
  <c r="Z108" i="11" s="1"/>
  <c r="AQ107" i="11"/>
  <c r="X107" i="11"/>
  <c r="AA107" i="11" s="1"/>
  <c r="W107" i="11"/>
  <c r="Z107" i="11" s="1"/>
  <c r="AQ106" i="11"/>
  <c r="X106" i="11"/>
  <c r="W106" i="11"/>
  <c r="Z106" i="11" s="1"/>
  <c r="AQ105" i="11"/>
  <c r="AI105" i="11"/>
  <c r="AH105" i="11"/>
  <c r="X105" i="11"/>
  <c r="AA105" i="11" s="1"/>
  <c r="W105" i="11"/>
  <c r="Z105" i="11" s="1"/>
  <c r="AQ104" i="11"/>
  <c r="AI104" i="11"/>
  <c r="AH104" i="11"/>
  <c r="X104" i="11"/>
  <c r="AA104" i="11" s="1"/>
  <c r="W104" i="11"/>
  <c r="Z104" i="11" s="1"/>
  <c r="AQ103" i="11"/>
  <c r="X103" i="11"/>
  <c r="AA103" i="11" s="1"/>
  <c r="W103" i="11"/>
  <c r="Z103" i="11" s="1"/>
  <c r="AQ102" i="11"/>
  <c r="X102" i="11"/>
  <c r="W102" i="11"/>
  <c r="Z102" i="11" s="1"/>
  <c r="AQ101" i="11"/>
  <c r="X101" i="11"/>
  <c r="W101" i="11"/>
  <c r="Z101" i="11" s="1"/>
  <c r="AQ100" i="11"/>
  <c r="X100" i="11"/>
  <c r="AA100" i="11" s="1"/>
  <c r="W100" i="11"/>
  <c r="Z100" i="11" s="1"/>
  <c r="AQ99" i="11"/>
  <c r="AI99" i="11"/>
  <c r="AH99" i="11"/>
  <c r="X99" i="11"/>
  <c r="AA99" i="11" s="1"/>
  <c r="W99" i="11"/>
  <c r="Z99" i="11" s="1"/>
  <c r="AQ96" i="11"/>
  <c r="X96" i="11"/>
  <c r="AA96" i="11" s="1"/>
  <c r="W96" i="11"/>
  <c r="Z96" i="11" s="1"/>
  <c r="AQ95" i="11"/>
  <c r="X95" i="11"/>
  <c r="AA95" i="11" s="1"/>
  <c r="W95" i="11"/>
  <c r="Z95" i="11" s="1"/>
  <c r="AQ94" i="11"/>
  <c r="X94" i="11"/>
  <c r="AA94" i="11" s="1"/>
  <c r="W94" i="11"/>
  <c r="Z94" i="11" s="1"/>
  <c r="AQ92" i="11"/>
  <c r="X92" i="11"/>
  <c r="AA92" i="11" s="1"/>
  <c r="W92" i="11"/>
  <c r="Z92" i="11" s="1"/>
  <c r="AQ91" i="11"/>
  <c r="X91" i="11"/>
  <c r="AA91" i="11" s="1"/>
  <c r="W91" i="11"/>
  <c r="Z91" i="11" s="1"/>
  <c r="AQ90" i="11"/>
  <c r="X90" i="11"/>
  <c r="AA90" i="11" s="1"/>
  <c r="W90" i="11"/>
  <c r="Z90" i="11" s="1"/>
  <c r="AQ89" i="11"/>
  <c r="AI89" i="11"/>
  <c r="AH89" i="11"/>
  <c r="X89" i="11"/>
  <c r="W89" i="11"/>
  <c r="Z89" i="11" s="1"/>
  <c r="AQ88" i="11"/>
  <c r="AI88" i="11"/>
  <c r="AH88" i="11"/>
  <c r="X88" i="11"/>
  <c r="AA88" i="11" s="1"/>
  <c r="W88" i="11"/>
  <c r="Z88" i="11" s="1"/>
  <c r="AQ86" i="11"/>
  <c r="X86" i="11"/>
  <c r="AA86" i="11" s="1"/>
  <c r="W86" i="11"/>
  <c r="Z86" i="11" s="1"/>
  <c r="AQ85" i="11"/>
  <c r="X85" i="11"/>
  <c r="AA85" i="11" s="1"/>
  <c r="W85" i="11"/>
  <c r="Z85" i="11" s="1"/>
  <c r="AQ84" i="11"/>
  <c r="X84" i="11"/>
  <c r="AA84" i="11" s="1"/>
  <c r="W84" i="11"/>
  <c r="Z84" i="11" s="1"/>
  <c r="AQ82" i="11"/>
  <c r="AI82" i="11"/>
  <c r="AH82" i="11"/>
  <c r="X82" i="11"/>
  <c r="W82" i="11"/>
  <c r="Z82" i="11" s="1"/>
  <c r="AQ81" i="11"/>
  <c r="AI81" i="11"/>
  <c r="AH81" i="11"/>
  <c r="X81" i="11"/>
  <c r="W81" i="11"/>
  <c r="Z81" i="11" s="1"/>
  <c r="AQ80" i="11"/>
  <c r="X80" i="11"/>
  <c r="AA80" i="11" s="1"/>
  <c r="W80" i="11"/>
  <c r="Z80" i="11" s="1"/>
  <c r="AQ78" i="11"/>
  <c r="X78" i="11"/>
  <c r="AA78" i="11" s="1"/>
  <c r="W78" i="11"/>
  <c r="Z78" i="11" s="1"/>
  <c r="AQ76" i="11"/>
  <c r="X76" i="11"/>
  <c r="AA76" i="11" s="1"/>
  <c r="W76" i="11"/>
  <c r="Z76" i="11" s="1"/>
  <c r="AQ75" i="11"/>
  <c r="X75" i="11"/>
  <c r="W75" i="11"/>
  <c r="Z75" i="11" s="1"/>
  <c r="AQ74" i="11"/>
  <c r="X74" i="11"/>
  <c r="W74" i="11"/>
  <c r="Z74" i="11" s="1"/>
  <c r="AQ71" i="11"/>
  <c r="AI71" i="11"/>
  <c r="AH71" i="11"/>
  <c r="X71" i="11"/>
  <c r="AA71" i="11" s="1"/>
  <c r="W71" i="11"/>
  <c r="AQ70" i="11"/>
  <c r="X70" i="11"/>
  <c r="AA70" i="11" s="1"/>
  <c r="W70" i="11"/>
  <c r="Z70" i="11" s="1"/>
  <c r="AQ69" i="11"/>
  <c r="X69" i="11"/>
  <c r="AA69" i="11" s="1"/>
  <c r="W69" i="11"/>
  <c r="Z69" i="11" s="1"/>
  <c r="AQ68" i="11"/>
  <c r="AI68" i="11"/>
  <c r="AH68" i="11"/>
  <c r="X68" i="11"/>
  <c r="W68" i="11"/>
  <c r="Z68" i="11" s="1"/>
  <c r="AQ67" i="11"/>
  <c r="AI67" i="11"/>
  <c r="AH67" i="11"/>
  <c r="X67" i="11"/>
  <c r="W67" i="11"/>
  <c r="AQ66" i="11"/>
  <c r="X66" i="11"/>
  <c r="AA66" i="11" s="1"/>
  <c r="W66" i="11"/>
  <c r="Z66" i="11" s="1"/>
  <c r="AQ64" i="11"/>
  <c r="AI64" i="11"/>
  <c r="AH64" i="11"/>
  <c r="X64" i="11"/>
  <c r="W64" i="11"/>
  <c r="Z64" i="11" s="1"/>
  <c r="AQ63" i="11"/>
  <c r="AI63" i="11"/>
  <c r="AH63" i="11"/>
  <c r="X63" i="11"/>
  <c r="AA63" i="11" s="1"/>
  <c r="W63" i="11"/>
  <c r="Z63" i="11" s="1"/>
  <c r="AQ62" i="11"/>
  <c r="AI62" i="11"/>
  <c r="AH62" i="11"/>
  <c r="X62" i="11"/>
  <c r="AA62" i="11" s="1"/>
  <c r="W62" i="11"/>
  <c r="Z62" i="11" s="1"/>
  <c r="AQ61" i="11"/>
  <c r="AI61" i="11"/>
  <c r="AH61" i="11"/>
  <c r="X61" i="11"/>
  <c r="AA61" i="11" s="1"/>
  <c r="W61" i="11"/>
  <c r="Z61" i="11" s="1"/>
  <c r="AQ60" i="11"/>
  <c r="AI60" i="11"/>
  <c r="AH60" i="11"/>
  <c r="X60" i="11"/>
  <c r="W60" i="11"/>
  <c r="Z60" i="11" s="1"/>
  <c r="AQ59" i="11"/>
  <c r="X59" i="11"/>
  <c r="AA59" i="11" s="1"/>
  <c r="W59" i="11"/>
  <c r="Z59" i="11" s="1"/>
  <c r="AQ58" i="11"/>
  <c r="X58" i="11"/>
  <c r="AA58" i="11" s="1"/>
  <c r="W58" i="11"/>
  <c r="Z58" i="11" s="1"/>
  <c r="AQ57" i="11"/>
  <c r="X57" i="11"/>
  <c r="AA57" i="11" s="1"/>
  <c r="W57" i="11"/>
  <c r="Z57" i="11" s="1"/>
  <c r="AQ56" i="11"/>
  <c r="X56" i="11"/>
  <c r="W56" i="11"/>
  <c r="Z56" i="11" s="1"/>
  <c r="AQ55" i="11"/>
  <c r="X55" i="11"/>
  <c r="AA55" i="11" s="1"/>
  <c r="W55" i="11"/>
  <c r="Z55" i="11" s="1"/>
  <c r="AQ54" i="11"/>
  <c r="X54" i="11"/>
  <c r="AA54" i="11" s="1"/>
  <c r="W54" i="11"/>
  <c r="Z54" i="11" s="1"/>
  <c r="AQ53" i="11"/>
  <c r="X53" i="11"/>
  <c r="AA53" i="11" s="1"/>
  <c r="W53" i="11"/>
  <c r="Z53" i="11" s="1"/>
  <c r="AQ52" i="11"/>
  <c r="X52" i="11"/>
  <c r="W52" i="11"/>
  <c r="Z52" i="11" s="1"/>
  <c r="AQ51" i="11"/>
  <c r="X51" i="11"/>
  <c r="W51" i="11"/>
  <c r="Z51" i="11" s="1"/>
  <c r="AQ50" i="11"/>
  <c r="X50" i="11"/>
  <c r="AA50" i="11" s="1"/>
  <c r="W50" i="11"/>
  <c r="BH50" i="11" s="1"/>
  <c r="AQ49" i="11"/>
  <c r="X49" i="11"/>
  <c r="AA49" i="11" s="1"/>
  <c r="W49" i="11"/>
  <c r="AQ48" i="11"/>
  <c r="X48" i="11"/>
  <c r="W48" i="11"/>
  <c r="Z48" i="11" s="1"/>
  <c r="AQ47" i="11"/>
  <c r="X47" i="11"/>
  <c r="W47" i="11"/>
  <c r="Z47" i="11" s="1"/>
  <c r="AQ46" i="11"/>
  <c r="AI46" i="11"/>
  <c r="AH46" i="11"/>
  <c r="X46" i="11"/>
  <c r="W46" i="11"/>
  <c r="Z46" i="11" s="1"/>
  <c r="AQ45" i="11"/>
  <c r="AI45" i="11"/>
  <c r="AH45" i="11"/>
  <c r="X45" i="11"/>
  <c r="AA45" i="11" s="1"/>
  <c r="W45" i="11"/>
  <c r="Z45" i="11" s="1"/>
  <c r="AQ44" i="11"/>
  <c r="AI44" i="11"/>
  <c r="AH44" i="11"/>
  <c r="X44" i="11"/>
  <c r="AA44" i="11" s="1"/>
  <c r="W44" i="11"/>
  <c r="Z44" i="11" s="1"/>
  <c r="AQ43" i="11"/>
  <c r="AI43" i="11"/>
  <c r="AH43" i="11"/>
  <c r="X43" i="11"/>
  <c r="W43" i="11"/>
  <c r="Z43" i="11" s="1"/>
  <c r="AQ42" i="11"/>
  <c r="X42" i="11"/>
  <c r="W42" i="11"/>
  <c r="Z42" i="11" s="1"/>
  <c r="AQ41" i="11"/>
  <c r="X41" i="11"/>
  <c r="AA41" i="11" s="1"/>
  <c r="W41" i="11"/>
  <c r="Z41" i="11" s="1"/>
  <c r="AQ40" i="11"/>
  <c r="X40" i="11"/>
  <c r="AA40" i="11" s="1"/>
  <c r="W40" i="11"/>
  <c r="Z40" i="11" s="1"/>
  <c r="AQ39" i="11"/>
  <c r="X39" i="11"/>
  <c r="W39" i="11"/>
  <c r="Z39" i="11" s="1"/>
  <c r="AQ38" i="11"/>
  <c r="X38" i="11"/>
  <c r="AA38" i="11" s="1"/>
  <c r="W38" i="11"/>
  <c r="Z38" i="11" s="1"/>
  <c r="AQ37" i="11"/>
  <c r="X37" i="11"/>
  <c r="AA37" i="11" s="1"/>
  <c r="W37" i="11"/>
  <c r="Z37" i="11" s="1"/>
  <c r="AQ36" i="11"/>
  <c r="AI36" i="11"/>
  <c r="AH36" i="11"/>
  <c r="X36" i="11"/>
  <c r="AA36" i="11" s="1"/>
  <c r="W36" i="11"/>
  <c r="AQ35" i="11"/>
  <c r="X35" i="11"/>
  <c r="AA35" i="11" s="1"/>
  <c r="W35" i="11"/>
  <c r="Z35" i="11" s="1"/>
  <c r="AQ31" i="11"/>
  <c r="AC31" i="11"/>
  <c r="AI31" i="11" s="1"/>
  <c r="X31" i="11"/>
  <c r="AA31" i="11" s="1"/>
  <c r="W31" i="11"/>
  <c r="Z31" i="11" s="1"/>
  <c r="AQ27" i="11"/>
  <c r="X27" i="11"/>
  <c r="AA27" i="11" s="1"/>
  <c r="W27" i="11"/>
  <c r="Z27" i="11" s="1"/>
  <c r="AQ26" i="11"/>
  <c r="X26" i="11"/>
  <c r="W26" i="11"/>
  <c r="Z26" i="11" s="1"/>
  <c r="AQ24" i="11"/>
  <c r="X24" i="11"/>
  <c r="AA24" i="11" s="1"/>
  <c r="W24" i="11"/>
  <c r="Z24" i="11" s="1"/>
  <c r="AQ23" i="11"/>
  <c r="X23" i="11"/>
  <c r="AA23" i="11" s="1"/>
  <c r="W23" i="11"/>
  <c r="Z23" i="11" s="1"/>
  <c r="AQ22" i="11"/>
  <c r="X22" i="11"/>
  <c r="AA22" i="11" s="1"/>
  <c r="W22" i="11"/>
  <c r="Z22" i="11" s="1"/>
  <c r="AQ21" i="11"/>
  <c r="X21" i="11"/>
  <c r="W21" i="11"/>
  <c r="Z21" i="11" s="1"/>
  <c r="AQ20" i="11"/>
  <c r="X20" i="11"/>
  <c r="AA20" i="11" s="1"/>
  <c r="W20" i="11"/>
  <c r="Z20" i="11" s="1"/>
  <c r="AQ19" i="11"/>
  <c r="X19" i="11"/>
  <c r="AA19" i="11" s="1"/>
  <c r="W19" i="11"/>
  <c r="Z19" i="11" s="1"/>
  <c r="AQ18" i="11"/>
  <c r="X18" i="11"/>
  <c r="AA18" i="11" s="1"/>
  <c r="W18" i="11"/>
  <c r="AQ17" i="11"/>
  <c r="X17" i="11"/>
  <c r="W17" i="11"/>
  <c r="Z17" i="11" s="1"/>
  <c r="AQ16" i="11"/>
  <c r="X16" i="11"/>
  <c r="AA16" i="11" s="1"/>
  <c r="W16" i="11"/>
  <c r="Z16" i="11" s="1"/>
  <c r="AQ15" i="11"/>
  <c r="X15" i="11"/>
  <c r="AA15" i="11" s="1"/>
  <c r="W15" i="11"/>
  <c r="Z15" i="11" s="1"/>
  <c r="AQ14" i="11"/>
  <c r="X14" i="11"/>
  <c r="AA14" i="11" s="1"/>
  <c r="W14" i="11"/>
  <c r="Z14" i="11" s="1"/>
  <c r="AQ13" i="11"/>
  <c r="X13" i="11"/>
  <c r="W13" i="11"/>
  <c r="Z13" i="11" s="1"/>
  <c r="AQ12" i="11"/>
  <c r="X12" i="11"/>
  <c r="W12" i="11"/>
  <c r="Z12" i="11" s="1"/>
  <c r="X11" i="11"/>
  <c r="AA11" i="11" s="1"/>
  <c r="W11" i="11"/>
  <c r="Z11" i="11" s="1"/>
  <c r="AQ10" i="11"/>
  <c r="X10" i="11"/>
  <c r="AA10" i="11" s="1"/>
  <c r="W10" i="11"/>
  <c r="Z10" i="11" s="1"/>
  <c r="AQ9" i="11"/>
  <c r="X9" i="11"/>
  <c r="W9" i="11"/>
  <c r="Z9" i="11" s="1"/>
  <c r="AQ8" i="11"/>
  <c r="X8" i="11"/>
  <c r="AA8" i="11" s="1"/>
  <c r="W8" i="11"/>
  <c r="Z8" i="11" s="1"/>
  <c r="AQ7" i="11"/>
  <c r="X7" i="11"/>
  <c r="AA7" i="11" s="1"/>
  <c r="W7" i="11"/>
  <c r="Z7" i="11" s="1"/>
  <c r="AQ5" i="11"/>
  <c r="AI5" i="11"/>
  <c r="AH5" i="11"/>
  <c r="X5" i="11"/>
  <c r="W5" i="11"/>
  <c r="Z5" i="11" s="1"/>
  <c r="AQ4" i="11"/>
  <c r="AI4" i="11"/>
  <c r="AH4" i="11"/>
  <c r="Y4" i="11"/>
  <c r="X4" i="11"/>
  <c r="W4" i="11"/>
  <c r="AQ3" i="11"/>
  <c r="AI3" i="11"/>
  <c r="AH3" i="11"/>
  <c r="Y3" i="11"/>
  <c r="X3" i="11"/>
  <c r="W3" i="11"/>
  <c r="AQ2" i="11"/>
  <c r="AI2" i="11"/>
  <c r="AH2" i="11"/>
  <c r="X2" i="11"/>
  <c r="AA2" i="11" s="1"/>
  <c r="W2" i="11"/>
  <c r="P20" i="7"/>
  <c r="O20" i="7"/>
  <c r="H20" i="7"/>
  <c r="G20" i="7"/>
  <c r="F20" i="7"/>
  <c r="E20" i="7"/>
  <c r="AQ59" i="5"/>
  <c r="Z59" i="5"/>
  <c r="X59" i="5"/>
  <c r="AA59" i="5" s="1"/>
  <c r="W59" i="5"/>
  <c r="AQ58" i="5"/>
  <c r="Z58" i="5"/>
  <c r="X58" i="5"/>
  <c r="AA58" i="5" s="1"/>
  <c r="W58" i="5"/>
  <c r="AQ57" i="5"/>
  <c r="AA57" i="5"/>
  <c r="Z57" i="5"/>
  <c r="X57" i="5"/>
  <c r="W57" i="5"/>
  <c r="AQ56" i="5"/>
  <c r="AA56" i="5"/>
  <c r="X56" i="5"/>
  <c r="W56" i="5"/>
  <c r="Z56" i="5" s="1"/>
  <c r="AQ55" i="5"/>
  <c r="X55" i="5"/>
  <c r="AA55" i="5" s="1"/>
  <c r="W55" i="5"/>
  <c r="Z55" i="5" s="1"/>
  <c r="AQ54" i="5"/>
  <c r="Z54" i="5"/>
  <c r="X54" i="5"/>
  <c r="AA54" i="5" s="1"/>
  <c r="W54" i="5"/>
  <c r="AQ53" i="5"/>
  <c r="AA53" i="5"/>
  <c r="Z53" i="5"/>
  <c r="X53" i="5"/>
  <c r="W53" i="5"/>
  <c r="AQ52" i="5"/>
  <c r="Z52" i="5"/>
  <c r="X52" i="5"/>
  <c r="AA52" i="5" s="1"/>
  <c r="W52" i="5"/>
  <c r="AQ50" i="5"/>
  <c r="AA50" i="5"/>
  <c r="X50" i="5"/>
  <c r="W50" i="5"/>
  <c r="Z50" i="5" s="1"/>
  <c r="AQ51" i="5"/>
  <c r="X51" i="5"/>
  <c r="AA51" i="5" s="1"/>
  <c r="W51" i="5"/>
  <c r="Z51" i="5" s="1"/>
  <c r="AQ49" i="5"/>
  <c r="X49" i="5"/>
  <c r="AA49" i="5" s="1"/>
  <c r="W49" i="5"/>
  <c r="Z49" i="5" s="1"/>
  <c r="P19" i="7"/>
  <c r="O19" i="7"/>
  <c r="H19" i="7"/>
  <c r="G19" i="7"/>
  <c r="F19" i="7"/>
  <c r="E19" i="7"/>
  <c r="AQ47" i="5"/>
  <c r="X47" i="5"/>
  <c r="AA47" i="5" s="1"/>
  <c r="W47" i="5"/>
  <c r="Z47" i="5" s="1"/>
  <c r="P18" i="7"/>
  <c r="O18" i="7"/>
  <c r="H18" i="7"/>
  <c r="G18" i="7"/>
  <c r="F18" i="7"/>
  <c r="E18" i="7"/>
  <c r="AQ114" i="5"/>
  <c r="AI114" i="5"/>
  <c r="AH114" i="5"/>
  <c r="AA114" i="5"/>
  <c r="Z114" i="5"/>
  <c r="X114" i="5"/>
  <c r="W114" i="5"/>
  <c r="P17" i="7"/>
  <c r="O17" i="7"/>
  <c r="H17" i="7"/>
  <c r="G17" i="7"/>
  <c r="F17" i="7"/>
  <c r="E17" i="7"/>
  <c r="AQ38" i="5"/>
  <c r="AI38" i="5"/>
  <c r="AH38" i="5"/>
  <c r="AA38" i="5"/>
  <c r="X38" i="5"/>
  <c r="W38" i="5"/>
  <c r="Z38" i="5" s="1"/>
  <c r="P15" i="7"/>
  <c r="O15" i="7"/>
  <c r="H15" i="7"/>
  <c r="G15" i="7"/>
  <c r="F15" i="7"/>
  <c r="E15" i="7"/>
  <c r="AQ112" i="5"/>
  <c r="Z112" i="5"/>
  <c r="X112" i="5"/>
  <c r="AA112" i="5" s="1"/>
  <c r="W112" i="5"/>
  <c r="AQ111" i="5"/>
  <c r="Z111" i="5"/>
  <c r="X111" i="5"/>
  <c r="AA111" i="5" s="1"/>
  <c r="W111" i="5"/>
  <c r="P14" i="7"/>
  <c r="O14" i="7"/>
  <c r="H14" i="7"/>
  <c r="G14" i="7"/>
  <c r="F14" i="7"/>
  <c r="E14" i="7"/>
  <c r="AQ30" i="5"/>
  <c r="X30" i="5"/>
  <c r="AA30" i="5" s="1"/>
  <c r="W30" i="5"/>
  <c r="Z30" i="5" s="1"/>
  <c r="AQ29" i="5"/>
  <c r="X29" i="5"/>
  <c r="AA29" i="5" s="1"/>
  <c r="W29" i="5"/>
  <c r="Z29" i="5" s="1"/>
  <c r="AQ31" i="5"/>
  <c r="X31" i="5"/>
  <c r="AA31" i="5" s="1"/>
  <c r="W31" i="5"/>
  <c r="Z31" i="5" s="1"/>
  <c r="P13" i="7"/>
  <c r="O13" i="7"/>
  <c r="H13" i="7"/>
  <c r="G13" i="7"/>
  <c r="F13" i="7"/>
  <c r="E13" i="7"/>
  <c r="AQ102" i="5"/>
  <c r="X102" i="5"/>
  <c r="AA102" i="5" s="1"/>
  <c r="W102" i="5"/>
  <c r="Z102" i="5" s="1"/>
  <c r="AQ101" i="5"/>
  <c r="X101" i="5"/>
  <c r="AA101" i="5" s="1"/>
  <c r="W101" i="5"/>
  <c r="Z101" i="5" s="1"/>
  <c r="AQ100" i="5"/>
  <c r="Z100" i="5"/>
  <c r="X100" i="5"/>
  <c r="AA100" i="5" s="1"/>
  <c r="W100" i="5"/>
  <c r="P12" i="7"/>
  <c r="O12" i="7"/>
  <c r="F12" i="7"/>
  <c r="E12" i="7"/>
  <c r="H12" i="7"/>
  <c r="G12" i="7"/>
  <c r="AQ90" i="5"/>
  <c r="X90" i="5"/>
  <c r="AA90" i="5" s="1"/>
  <c r="W90" i="5"/>
  <c r="Z90" i="5" s="1"/>
  <c r="P11" i="7"/>
  <c r="O11" i="7"/>
  <c r="AQ20" i="5"/>
  <c r="X20" i="5"/>
  <c r="AA20" i="5" s="1"/>
  <c r="W20" i="5"/>
  <c r="Z20" i="5" s="1"/>
  <c r="AQ19" i="5"/>
  <c r="X19" i="5"/>
  <c r="AA19" i="5" s="1"/>
  <c r="W19" i="5"/>
  <c r="Z19" i="5" s="1"/>
  <c r="AQ18" i="5"/>
  <c r="X18" i="5"/>
  <c r="AA18" i="5" s="1"/>
  <c r="W18" i="5"/>
  <c r="Z18" i="5" s="1"/>
  <c r="AQ17" i="5"/>
  <c r="S17" i="5"/>
  <c r="R17" i="5"/>
  <c r="Q17" i="5"/>
  <c r="AQ16" i="5"/>
  <c r="Z16" i="5"/>
  <c r="X16" i="5"/>
  <c r="W16" i="5"/>
  <c r="P10" i="7"/>
  <c r="O10" i="7"/>
  <c r="F10" i="7"/>
  <c r="H10" i="7"/>
  <c r="G10" i="7"/>
  <c r="E10" i="7"/>
  <c r="AQ88" i="5"/>
  <c r="X88" i="5"/>
  <c r="AA88" i="5" s="1"/>
  <c r="W88" i="5"/>
  <c r="Z88" i="5" s="1"/>
  <c r="AQ87" i="5"/>
  <c r="Z87" i="5"/>
  <c r="X87" i="5"/>
  <c r="AA87" i="5" s="1"/>
  <c r="W87" i="5"/>
  <c r="AQ86" i="5"/>
  <c r="X86" i="5"/>
  <c r="AA86" i="5" s="1"/>
  <c r="W86" i="5"/>
  <c r="Z86" i="5" s="1"/>
  <c r="AQ85" i="5"/>
  <c r="X85" i="5"/>
  <c r="AA85" i="5" s="1"/>
  <c r="W85" i="5"/>
  <c r="Z85" i="5" s="1"/>
  <c r="AQ84" i="5"/>
  <c r="X84" i="5"/>
  <c r="AA84" i="5" s="1"/>
  <c r="W84" i="5"/>
  <c r="Z84" i="5" s="1"/>
  <c r="AQ83" i="5"/>
  <c r="X83" i="5"/>
  <c r="AA83" i="5" s="1"/>
  <c r="W83" i="5"/>
  <c r="Z83" i="5" s="1"/>
  <c r="AQ82" i="5"/>
  <c r="X82" i="5"/>
  <c r="AA82" i="5" s="1"/>
  <c r="W82" i="5"/>
  <c r="Z82" i="5" s="1"/>
  <c r="AQ81" i="5"/>
  <c r="X81" i="5"/>
  <c r="AA81" i="5" s="1"/>
  <c r="W81" i="5"/>
  <c r="Z81" i="5" s="1"/>
  <c r="AQ80" i="5"/>
  <c r="X80" i="5"/>
  <c r="AA80" i="5" s="1"/>
  <c r="W80" i="5"/>
  <c r="Z80" i="5" s="1"/>
  <c r="AQ79" i="5"/>
  <c r="X79" i="5"/>
  <c r="AA79" i="5" s="1"/>
  <c r="W79" i="5"/>
  <c r="Z79" i="5" s="1"/>
  <c r="AQ78" i="5"/>
  <c r="X78" i="5"/>
  <c r="AA78" i="5" s="1"/>
  <c r="W78" i="5"/>
  <c r="Z78" i="5" s="1"/>
  <c r="O5" i="7"/>
  <c r="P5" i="7"/>
  <c r="P7" i="7"/>
  <c r="O7" i="7"/>
  <c r="P9" i="7"/>
  <c r="O9" i="7"/>
  <c r="H9" i="7"/>
  <c r="G9" i="7"/>
  <c r="F9" i="7"/>
  <c r="E9" i="7"/>
  <c r="AQ76" i="5"/>
  <c r="X76" i="5"/>
  <c r="AA76" i="5" s="1"/>
  <c r="W76" i="5"/>
  <c r="Z76" i="5" s="1"/>
  <c r="AQ75" i="5"/>
  <c r="X75" i="5"/>
  <c r="AA75" i="5" s="1"/>
  <c r="W75" i="5"/>
  <c r="Z75" i="5" s="1"/>
  <c r="AQ74" i="5"/>
  <c r="X74" i="5"/>
  <c r="AA74" i="5" s="1"/>
  <c r="W74" i="5"/>
  <c r="Z74" i="5" s="1"/>
  <c r="AQ73" i="5"/>
  <c r="X73" i="5"/>
  <c r="AA73" i="5" s="1"/>
  <c r="W73" i="5"/>
  <c r="Z73" i="5" s="1"/>
  <c r="AQ72" i="5"/>
  <c r="X72" i="5"/>
  <c r="AA72" i="5" s="1"/>
  <c r="W72" i="5"/>
  <c r="Z72" i="5" s="1"/>
  <c r="AQ71" i="5"/>
  <c r="X71" i="5"/>
  <c r="AA71" i="5" s="1"/>
  <c r="W71" i="5"/>
  <c r="Z71" i="5" s="1"/>
  <c r="AQ70" i="5"/>
  <c r="X70" i="5"/>
  <c r="AA70" i="5" s="1"/>
  <c r="W70" i="5"/>
  <c r="Z70" i="5" s="1"/>
  <c r="AQ69" i="5"/>
  <c r="X69" i="5"/>
  <c r="AA69" i="5" s="1"/>
  <c r="W69" i="5"/>
  <c r="Z69" i="5" s="1"/>
  <c r="AQ68" i="5"/>
  <c r="X68" i="5"/>
  <c r="AA68" i="5" s="1"/>
  <c r="W68" i="5"/>
  <c r="Z68" i="5" s="1"/>
  <c r="AQ67" i="5"/>
  <c r="X67" i="5"/>
  <c r="AA67" i="5" s="1"/>
  <c r="W67" i="5"/>
  <c r="Z67" i="5" s="1"/>
  <c r="AQ66" i="5"/>
  <c r="X66" i="5"/>
  <c r="AA66" i="5" s="1"/>
  <c r="W66" i="5"/>
  <c r="Z66" i="5" s="1"/>
  <c r="AQ65" i="5"/>
  <c r="X65" i="5"/>
  <c r="AA65" i="5" s="1"/>
  <c r="W65" i="5"/>
  <c r="Z65" i="5" s="1"/>
  <c r="AQ64" i="5"/>
  <c r="X64" i="5"/>
  <c r="AA64" i="5" s="1"/>
  <c r="W64" i="5"/>
  <c r="Z64" i="5" s="1"/>
  <c r="AQ63" i="5"/>
  <c r="X63" i="5"/>
  <c r="AA63" i="5" s="1"/>
  <c r="W63" i="5"/>
  <c r="Z63" i="5" s="1"/>
  <c r="AQ62" i="5"/>
  <c r="X62" i="5"/>
  <c r="W62" i="5"/>
  <c r="Z62" i="5" s="1"/>
  <c r="AQ61" i="5"/>
  <c r="X61" i="5"/>
  <c r="AA61" i="5" s="1"/>
  <c r="W61" i="5"/>
  <c r="Z61" i="5" s="1"/>
  <c r="H7" i="7"/>
  <c r="G7" i="7"/>
  <c r="F7" i="7"/>
  <c r="E7" i="7"/>
  <c r="AQ12" i="5"/>
  <c r="X12" i="5"/>
  <c r="AA12" i="5" s="1"/>
  <c r="W12" i="5"/>
  <c r="Z12" i="5" s="1"/>
  <c r="H5" i="7"/>
  <c r="G5" i="7"/>
  <c r="F5" i="7"/>
  <c r="E5" i="7"/>
  <c r="AQ9" i="5"/>
  <c r="X9" i="5"/>
  <c r="AA9" i="5" s="1"/>
  <c r="W9" i="5"/>
  <c r="Z9" i="5" s="1"/>
  <c r="AQ3" i="5"/>
  <c r="X3" i="5"/>
  <c r="AA3" i="5" s="1"/>
  <c r="W3" i="5"/>
  <c r="Z3" i="5" s="1"/>
  <c r="B41" i="8"/>
  <c r="A15" i="8"/>
  <c r="B15" i="8"/>
  <c r="B14" i="8"/>
  <c r="N15" i="8"/>
  <c r="H15" i="8"/>
  <c r="G15" i="8"/>
  <c r="F15" i="8"/>
  <c r="E15" i="8"/>
  <c r="P4" i="8"/>
  <c r="O4" i="8"/>
  <c r="N4" i="8"/>
  <c r="H4" i="8"/>
  <c r="G4" i="8"/>
  <c r="F4" i="8"/>
  <c r="E4" i="8"/>
  <c r="B4" i="8"/>
  <c r="A4" i="8"/>
  <c r="X19" i="9"/>
  <c r="W19" i="9"/>
  <c r="X3" i="9"/>
  <c r="W3" i="9"/>
  <c r="A14" i="8"/>
  <c r="A41" i="8"/>
  <c r="P41" i="8"/>
  <c r="O41" i="8"/>
  <c r="N41" i="8"/>
  <c r="H41" i="8"/>
  <c r="G41" i="8"/>
  <c r="F41" i="8"/>
  <c r="E41" i="8"/>
  <c r="X50" i="9"/>
  <c r="W50" i="9"/>
  <c r="M44" i="6" l="1"/>
  <c r="J44" i="6"/>
  <c r="N44" i="6"/>
  <c r="L113" i="10"/>
  <c r="K113" i="10"/>
  <c r="J113" i="10"/>
  <c r="M113" i="10"/>
  <c r="I113" i="10"/>
  <c r="J86" i="10"/>
  <c r="M86" i="10"/>
  <c r="I86" i="10"/>
  <c r="L86" i="10"/>
  <c r="K86" i="10"/>
  <c r="BH45" i="11"/>
  <c r="BH58" i="11"/>
  <c r="BH112" i="11"/>
  <c r="BH76" i="11"/>
  <c r="AA148" i="11"/>
  <c r="AA150" i="11"/>
  <c r="Z160" i="11"/>
  <c r="AA204" i="11"/>
  <c r="BH206" i="11"/>
  <c r="BH201" i="11"/>
  <c r="BH196" i="11"/>
  <c r="BH191" i="11"/>
  <c r="BH185" i="11"/>
  <c r="BH170" i="11"/>
  <c r="BH166" i="11"/>
  <c r="BH144" i="11"/>
  <c r="BH139" i="11"/>
  <c r="BH131" i="11"/>
  <c r="BH126" i="11"/>
  <c r="BH119" i="11"/>
  <c r="BH49" i="11"/>
  <c r="BH78" i="11"/>
  <c r="BH111" i="11"/>
  <c r="AA116" i="11"/>
  <c r="BH195" i="11"/>
  <c r="BH190" i="11"/>
  <c r="BH181" i="11"/>
  <c r="BH175" i="11"/>
  <c r="BH169" i="11"/>
  <c r="BH165" i="11"/>
  <c r="BH153" i="11"/>
  <c r="BH149" i="11"/>
  <c r="BH143" i="11"/>
  <c r="BH138" i="11"/>
  <c r="BH129" i="11"/>
  <c r="BH125" i="11"/>
  <c r="BH118" i="11"/>
  <c r="BH46" i="11"/>
  <c r="BH7" i="11"/>
  <c r="BH53" i="11"/>
  <c r="I41" i="10" s="1"/>
  <c r="BH88" i="11"/>
  <c r="BH107" i="11"/>
  <c r="I78" i="10" s="1"/>
  <c r="AA145" i="11"/>
  <c r="AA163" i="11"/>
  <c r="AA192" i="11"/>
  <c r="AA203" i="11"/>
  <c r="BH194" i="11"/>
  <c r="BH189" i="11"/>
  <c r="BH180" i="11"/>
  <c r="BH172" i="11"/>
  <c r="BH168" i="11"/>
  <c r="BH164" i="11"/>
  <c r="BH152" i="11"/>
  <c r="BH142" i="11"/>
  <c r="BH137" i="11"/>
  <c r="BH128" i="11"/>
  <c r="BH124" i="11"/>
  <c r="BH117" i="11"/>
  <c r="BH2" i="11"/>
  <c r="BH4" i="11"/>
  <c r="BH67" i="11"/>
  <c r="BH89" i="11"/>
  <c r="K67" i="10" s="1"/>
  <c r="BH11" i="11"/>
  <c r="BH41" i="11"/>
  <c r="BH57" i="11"/>
  <c r="BH115" i="11"/>
  <c r="BH103" i="11"/>
  <c r="BH210" i="11"/>
  <c r="BH198" i="11"/>
  <c r="BH186" i="11"/>
  <c r="BH178" i="11"/>
  <c r="BH171" i="11"/>
  <c r="BH167" i="11"/>
  <c r="BH151" i="11"/>
  <c r="BH141" i="11"/>
  <c r="BH132" i="11"/>
  <c r="BH127" i="11"/>
  <c r="BH122" i="11"/>
  <c r="K36" i="10"/>
  <c r="M36" i="10"/>
  <c r="I36" i="10"/>
  <c r="L36" i="10"/>
  <c r="J36" i="10"/>
  <c r="M4" i="10"/>
  <c r="I4" i="10"/>
  <c r="L4" i="10"/>
  <c r="K4" i="10"/>
  <c r="J4" i="10"/>
  <c r="J50" i="10"/>
  <c r="L50" i="10"/>
  <c r="K50" i="10"/>
  <c r="I50" i="10"/>
  <c r="M50" i="10"/>
  <c r="AA47" i="11"/>
  <c r="BH47" i="11"/>
  <c r="AA74" i="11"/>
  <c r="BH74" i="11"/>
  <c r="AA13" i="11"/>
  <c r="BH13" i="11"/>
  <c r="AA17" i="11"/>
  <c r="BH17" i="11"/>
  <c r="AA21" i="11"/>
  <c r="BH21" i="11"/>
  <c r="AA39" i="11"/>
  <c r="BH39" i="11"/>
  <c r="AA64" i="11"/>
  <c r="BH64" i="11"/>
  <c r="AA81" i="11"/>
  <c r="BH81" i="11"/>
  <c r="J12" i="10"/>
  <c r="M12" i="10"/>
  <c r="I12" i="10"/>
  <c r="BH20" i="11"/>
  <c r="BH40" i="11"/>
  <c r="L39" i="10"/>
  <c r="J39" i="10"/>
  <c r="M39" i="10"/>
  <c r="K39" i="10"/>
  <c r="L43" i="10"/>
  <c r="J43" i="10"/>
  <c r="I43" i="10"/>
  <c r="BH66" i="11"/>
  <c r="J61" i="10"/>
  <c r="L61" i="10"/>
  <c r="K61" i="10"/>
  <c r="I61" i="10"/>
  <c r="BH91" i="11"/>
  <c r="J82" i="10"/>
  <c r="L82" i="10"/>
  <c r="K82" i="10"/>
  <c r="I82" i="10"/>
  <c r="BH104" i="11"/>
  <c r="K59" i="10"/>
  <c r="M59" i="10"/>
  <c r="I59" i="10"/>
  <c r="K12" i="10"/>
  <c r="I29" i="10"/>
  <c r="M61" i="10"/>
  <c r="I67" i="10"/>
  <c r="M82" i="10"/>
  <c r="AA9" i="11"/>
  <c r="BH9" i="11"/>
  <c r="AA12" i="11"/>
  <c r="BH12" i="11"/>
  <c r="BH42" i="11"/>
  <c r="BH68" i="11"/>
  <c r="AA82" i="11"/>
  <c r="BH82" i="11"/>
  <c r="AA89" i="11"/>
  <c r="BH5" i="11"/>
  <c r="BH15" i="11"/>
  <c r="BH23" i="11"/>
  <c r="K44" i="10"/>
  <c r="M44" i="10"/>
  <c r="I44" i="10"/>
  <c r="L44" i="10"/>
  <c r="J44" i="10"/>
  <c r="BH80" i="11"/>
  <c r="BH92" i="11"/>
  <c r="K81" i="10"/>
  <c r="M81" i="10"/>
  <c r="I81" i="10"/>
  <c r="L81" i="10"/>
  <c r="BH85" i="11"/>
  <c r="L12" i="10"/>
  <c r="I39" i="10"/>
  <c r="BH3" i="11"/>
  <c r="J8" i="10"/>
  <c r="M8" i="10"/>
  <c r="I8" i="10"/>
  <c r="BH16" i="11"/>
  <c r="BH24" i="11"/>
  <c r="BH36" i="11"/>
  <c r="K41" i="10"/>
  <c r="M41" i="10"/>
  <c r="L41" i="10"/>
  <c r="J41" i="10"/>
  <c r="BH61" i="11"/>
  <c r="BH70" i="11"/>
  <c r="BH86" i="11"/>
  <c r="BH96" i="11"/>
  <c r="BH108" i="11"/>
  <c r="BH100" i="11"/>
  <c r="K8" i="10"/>
  <c r="K43" i="10"/>
  <c r="J59" i="10"/>
  <c r="AA26" i="11"/>
  <c r="BH26" i="11"/>
  <c r="AA43" i="11"/>
  <c r="BH43" i="11"/>
  <c r="AA51" i="11"/>
  <c r="BH51" i="11"/>
  <c r="M40" i="10" s="1"/>
  <c r="AA75" i="11"/>
  <c r="BH75" i="11"/>
  <c r="AA101" i="11"/>
  <c r="BH101" i="11"/>
  <c r="AA48" i="11"/>
  <c r="BH48" i="11"/>
  <c r="AA52" i="11"/>
  <c r="BH52" i="11"/>
  <c r="AA56" i="11"/>
  <c r="BH56" i="11"/>
  <c r="AA60" i="11"/>
  <c r="BH60" i="11"/>
  <c r="AA102" i="11"/>
  <c r="BH102" i="11"/>
  <c r="AA106" i="11"/>
  <c r="BH106" i="11"/>
  <c r="BH10" i="11"/>
  <c r="BH19" i="11"/>
  <c r="J29" i="10"/>
  <c r="K28" i="10"/>
  <c r="L29" i="10"/>
  <c r="M28" i="10"/>
  <c r="I28" i="10"/>
  <c r="L28" i="10"/>
  <c r="M29" i="10"/>
  <c r="J28" i="10"/>
  <c r="BH37" i="11"/>
  <c r="BH54" i="11"/>
  <c r="BH62" i="11"/>
  <c r="BH71" i="11"/>
  <c r="J67" i="10"/>
  <c r="L67" i="10"/>
  <c r="M67" i="10"/>
  <c r="K85" i="10"/>
  <c r="M85" i="10"/>
  <c r="I85" i="10"/>
  <c r="L85" i="10"/>
  <c r="J85" i="10"/>
  <c r="J78" i="10"/>
  <c r="L78" i="10"/>
  <c r="M78" i="10"/>
  <c r="K78" i="10"/>
  <c r="BH99" i="11"/>
  <c r="L8" i="10"/>
  <c r="M43" i="10"/>
  <c r="L59" i="10"/>
  <c r="J81" i="10"/>
  <c r="BH8" i="11"/>
  <c r="BH27" i="11"/>
  <c r="BH38" i="11"/>
  <c r="BH55" i="11"/>
  <c r="BH59" i="11"/>
  <c r="BH63" i="11"/>
  <c r="BH94" i="11"/>
  <c r="BH114" i="11"/>
  <c r="BH110" i="11"/>
  <c r="BH84" i="11"/>
  <c r="Z3" i="11"/>
  <c r="BH18" i="11"/>
  <c r="BH22" i="11"/>
  <c r="BH31" i="11"/>
  <c r="BH35" i="11"/>
  <c r="BH44" i="11"/>
  <c r="BH69" i="11"/>
  <c r="BH90" i="11"/>
  <c r="BH95" i="11"/>
  <c r="BH113" i="11"/>
  <c r="BH109" i="11"/>
  <c r="BH105" i="11"/>
  <c r="Z150" i="11"/>
  <c r="Z205" i="11"/>
  <c r="AA200" i="11"/>
  <c r="AA205" i="11"/>
  <c r="AA199" i="11"/>
  <c r="O148" i="8"/>
  <c r="BH107" i="9"/>
  <c r="L78" i="8" s="1"/>
  <c r="E105" i="8"/>
  <c r="F105" i="8"/>
  <c r="G105" i="8"/>
  <c r="O106" i="8"/>
  <c r="BH216" i="9"/>
  <c r="BH232" i="9"/>
  <c r="BH202" i="9"/>
  <c r="BH67" i="9"/>
  <c r="BH72" i="9"/>
  <c r="AA202" i="9"/>
  <c r="BH198" i="9"/>
  <c r="BH214" i="9"/>
  <c r="BH238" i="9"/>
  <c r="BH239" i="9"/>
  <c r="BH240" i="9"/>
  <c r="BH120" i="9"/>
  <c r="BH122" i="9"/>
  <c r="BH211" i="9"/>
  <c r="BH226" i="9"/>
  <c r="BH234" i="9"/>
  <c r="BH235" i="9"/>
  <c r="BH236" i="9"/>
  <c r="M78" i="8"/>
  <c r="BH108" i="9"/>
  <c r="BH119" i="9"/>
  <c r="BH146" i="9"/>
  <c r="Z198" i="9"/>
  <c r="AA236" i="9"/>
  <c r="BH237" i="9"/>
  <c r="K78" i="8"/>
  <c r="O78" i="8"/>
  <c r="O79" i="8"/>
  <c r="BH50" i="9"/>
  <c r="BH71" i="9"/>
  <c r="I53" i="8" s="1"/>
  <c r="BH77" i="9"/>
  <c r="BH121" i="9"/>
  <c r="BH205" i="9"/>
  <c r="BH212" i="9"/>
  <c r="AA216" i="9"/>
  <c r="BH219" i="9"/>
  <c r="AA232" i="9"/>
  <c r="BH233" i="9"/>
  <c r="AA240" i="9"/>
  <c r="BH242" i="9"/>
  <c r="BH243" i="9"/>
  <c r="AA198" i="9"/>
  <c r="AA214" i="9"/>
  <c r="AA226" i="9"/>
  <c r="AA235" i="9"/>
  <c r="AA239" i="9"/>
  <c r="AA243" i="9"/>
  <c r="BH265" i="9"/>
  <c r="BH261" i="9"/>
  <c r="BH253" i="9"/>
  <c r="BH246" i="9"/>
  <c r="BH241" i="9"/>
  <c r="BH227" i="9"/>
  <c r="BH194" i="9"/>
  <c r="BH181" i="9"/>
  <c r="BH176" i="9"/>
  <c r="BH171" i="9"/>
  <c r="BH167" i="9"/>
  <c r="BH163" i="9"/>
  <c r="BH152" i="9"/>
  <c r="BH145" i="9"/>
  <c r="BH139" i="9"/>
  <c r="BH132" i="9"/>
  <c r="BH118" i="9"/>
  <c r="BH113" i="9"/>
  <c r="BH109" i="9"/>
  <c r="BH103" i="9"/>
  <c r="BH98" i="9"/>
  <c r="BH93" i="9"/>
  <c r="BH89" i="9"/>
  <c r="BH83" i="9"/>
  <c r="BH79" i="9"/>
  <c r="BH74" i="9"/>
  <c r="BH70" i="9"/>
  <c r="BH66" i="9"/>
  <c r="BH62" i="9"/>
  <c r="BH58" i="9"/>
  <c r="BH264" i="9"/>
  <c r="BH259" i="9"/>
  <c r="BH251" i="9"/>
  <c r="BH244" i="9"/>
  <c r="BH218" i="9"/>
  <c r="BH201" i="9"/>
  <c r="BH187" i="9"/>
  <c r="BH179" i="9"/>
  <c r="BH175" i="9"/>
  <c r="BH170" i="9"/>
  <c r="BH166" i="9"/>
  <c r="BH157" i="9"/>
  <c r="BH151" i="9"/>
  <c r="BH137" i="9"/>
  <c r="BH131" i="9"/>
  <c r="BH117" i="9"/>
  <c r="BH112" i="9"/>
  <c r="BH101" i="9"/>
  <c r="BH97" i="9"/>
  <c r="BH92" i="9"/>
  <c r="BH88" i="9"/>
  <c r="BH82" i="9"/>
  <c r="BH78" i="9"/>
  <c r="BH73" i="9"/>
  <c r="BH69" i="9"/>
  <c r="BH65" i="9"/>
  <c r="BH61" i="9"/>
  <c r="BH57" i="9"/>
  <c r="BH263" i="9"/>
  <c r="BH258" i="9"/>
  <c r="BH249" i="9"/>
  <c r="BH229" i="9"/>
  <c r="BH224" i="9"/>
  <c r="BH217" i="9"/>
  <c r="BH200" i="9"/>
  <c r="BH184" i="9"/>
  <c r="BH178" i="9"/>
  <c r="BH173" i="9"/>
  <c r="BH169" i="9"/>
  <c r="BH165" i="9"/>
  <c r="BH156" i="9"/>
  <c r="BH149" i="9"/>
  <c r="BH141" i="9"/>
  <c r="BH134" i="9"/>
  <c r="BH128" i="9"/>
  <c r="BH116" i="9"/>
  <c r="BH111" i="9"/>
  <c r="BH102" i="9"/>
  <c r="BH95" i="9"/>
  <c r="BH91" i="9"/>
  <c r="BH81" i="9"/>
  <c r="BH68" i="9"/>
  <c r="BH64" i="9"/>
  <c r="BH60" i="9"/>
  <c r="AA108" i="9"/>
  <c r="AA205" i="9"/>
  <c r="AA234" i="9"/>
  <c r="AA238" i="9"/>
  <c r="AA242" i="9"/>
  <c r="BH262" i="9"/>
  <c r="BH254" i="9"/>
  <c r="BH247" i="9"/>
  <c r="BH228" i="9"/>
  <c r="BH222" i="9"/>
  <c r="BH182" i="9"/>
  <c r="BH177" i="9"/>
  <c r="BH172" i="9"/>
  <c r="BH168" i="9"/>
  <c r="BH164" i="9"/>
  <c r="BH153" i="9"/>
  <c r="BH140" i="9"/>
  <c r="BH133" i="9"/>
  <c r="BH124" i="9"/>
  <c r="BH115" i="9"/>
  <c r="BH110" i="9"/>
  <c r="BH106" i="9"/>
  <c r="BH99" i="9"/>
  <c r="BH94" i="9"/>
  <c r="BH90" i="9"/>
  <c r="BH86" i="9"/>
  <c r="I63" i="8" s="1"/>
  <c r="BH80" i="9"/>
  <c r="BH75" i="9"/>
  <c r="M55" i="8" s="1"/>
  <c r="BH63" i="9"/>
  <c r="BH59" i="9"/>
  <c r="AH243" i="9"/>
  <c r="AH244" i="9"/>
  <c r="AH239" i="9"/>
  <c r="AH240" i="9"/>
  <c r="AH241" i="9"/>
  <c r="AH242" i="9"/>
  <c r="AH238" i="9"/>
  <c r="AH235" i="9"/>
  <c r="AH236" i="9"/>
  <c r="AH237" i="9"/>
  <c r="AH232" i="9"/>
  <c r="AH233" i="9"/>
  <c r="AH234" i="9"/>
  <c r="AA146" i="9"/>
  <c r="Z108" i="9"/>
  <c r="K64" i="8"/>
  <c r="BH19" i="9"/>
  <c r="J15" i="8" s="1"/>
  <c r="Z146" i="9"/>
  <c r="BH3" i="9"/>
  <c r="M4" i="8" s="1"/>
  <c r="AA107" i="9"/>
  <c r="K41" i="8"/>
  <c r="AA72" i="9"/>
  <c r="AA87" i="9"/>
  <c r="L64" i="8"/>
  <c r="K15" i="8"/>
  <c r="AA67" i="9"/>
  <c r="K66" i="8"/>
  <c r="J66" i="8"/>
  <c r="M66" i="8"/>
  <c r="I66" i="8"/>
  <c r="AA119" i="9"/>
  <c r="AA77" i="9"/>
  <c r="L66" i="8"/>
  <c r="Z107" i="9"/>
  <c r="W144" i="9"/>
  <c r="Z144" i="9" s="1"/>
  <c r="X144" i="9"/>
  <c r="AA122" i="9"/>
  <c r="AA121" i="9"/>
  <c r="AA120" i="9"/>
  <c r="AH87" i="9"/>
  <c r="AH86" i="9"/>
  <c r="AA42" i="11"/>
  <c r="AA68" i="11"/>
  <c r="Z71" i="11"/>
  <c r="Z67" i="11"/>
  <c r="AA5" i="11"/>
  <c r="Z36" i="11"/>
  <c r="AA46" i="11"/>
  <c r="Z49" i="11"/>
  <c r="Z50" i="11"/>
  <c r="AA67" i="11"/>
  <c r="Z2" i="11"/>
  <c r="AA4" i="11"/>
  <c r="Z18" i="11"/>
  <c r="P5" i="10"/>
  <c r="O5" i="10"/>
  <c r="AH109" i="11"/>
  <c r="AH110" i="11"/>
  <c r="AA3" i="11"/>
  <c r="Z4" i="11"/>
  <c r="AH31" i="11"/>
  <c r="X17" i="5"/>
  <c r="AA17" i="5" s="1"/>
  <c r="AA16" i="5"/>
  <c r="F11" i="7"/>
  <c r="G11" i="7"/>
  <c r="E11" i="7"/>
  <c r="H11" i="7"/>
  <c r="W17" i="5"/>
  <c r="J10" i="4" s="1"/>
  <c r="AA62" i="5"/>
  <c r="H14" i="8"/>
  <c r="G14" i="8"/>
  <c r="F14" i="8"/>
  <c r="E14" i="8"/>
  <c r="W18" i="9"/>
  <c r="X18" i="9"/>
  <c r="B5" i="8"/>
  <c r="B43" i="8"/>
  <c r="B42" i="8"/>
  <c r="B40" i="8"/>
  <c r="B39" i="8"/>
  <c r="B38" i="8"/>
  <c r="B37" i="8"/>
  <c r="B36" i="8"/>
  <c r="B34" i="8"/>
  <c r="B33" i="8"/>
  <c r="B32" i="8"/>
  <c r="B31" i="8"/>
  <c r="B30" i="8"/>
  <c r="B29" i="8"/>
  <c r="B28" i="8"/>
  <c r="B27" i="8"/>
  <c r="B25" i="8"/>
  <c r="B24" i="8"/>
  <c r="B23" i="8"/>
  <c r="B21" i="8"/>
  <c r="B19" i="8"/>
  <c r="B18" i="8"/>
  <c r="B17" i="8"/>
  <c r="B16" i="8"/>
  <c r="B13" i="8"/>
  <c r="B12" i="8"/>
  <c r="B9" i="8"/>
  <c r="B8" i="8"/>
  <c r="B7" i="8"/>
  <c r="B6" i="8"/>
  <c r="A43" i="8"/>
  <c r="A42" i="8"/>
  <c r="A37" i="8"/>
  <c r="A38" i="8"/>
  <c r="A39" i="8"/>
  <c r="A40" i="8"/>
  <c r="A36" i="8"/>
  <c r="A34" i="8"/>
  <c r="A28" i="8"/>
  <c r="A29" i="8"/>
  <c r="A30" i="8"/>
  <c r="A31" i="8"/>
  <c r="A32" i="8"/>
  <c r="A33" i="8"/>
  <c r="A27" i="8"/>
  <c r="A25" i="8"/>
  <c r="A24" i="8"/>
  <c r="A23" i="8"/>
  <c r="A21" i="8"/>
  <c r="A18" i="8"/>
  <c r="A19" i="8"/>
  <c r="A17" i="8"/>
  <c r="A16" i="8"/>
  <c r="A13" i="8"/>
  <c r="A12" i="8"/>
  <c r="A9" i="8"/>
  <c r="A8" i="8"/>
  <c r="A7" i="8"/>
  <c r="A6" i="8"/>
  <c r="A5" i="8"/>
  <c r="N43" i="8"/>
  <c r="H43" i="8"/>
  <c r="G43" i="8"/>
  <c r="F43" i="8"/>
  <c r="E43" i="8"/>
  <c r="P42" i="8"/>
  <c r="O42" i="8"/>
  <c r="N42" i="8"/>
  <c r="H42" i="8"/>
  <c r="G42" i="8"/>
  <c r="F42" i="8"/>
  <c r="E42" i="8"/>
  <c r="P40" i="8"/>
  <c r="O40" i="8"/>
  <c r="N40" i="8"/>
  <c r="H40" i="8"/>
  <c r="G40" i="8"/>
  <c r="F40" i="8"/>
  <c r="E40" i="8"/>
  <c r="P39" i="8"/>
  <c r="O39" i="8"/>
  <c r="N39" i="8"/>
  <c r="H39" i="8"/>
  <c r="G39" i="8"/>
  <c r="F39" i="8"/>
  <c r="E39" i="8"/>
  <c r="P38" i="8"/>
  <c r="O38" i="8"/>
  <c r="N38" i="8"/>
  <c r="H38" i="8"/>
  <c r="G38" i="8"/>
  <c r="F38" i="8"/>
  <c r="E38" i="8"/>
  <c r="P37" i="8"/>
  <c r="O37" i="8"/>
  <c r="N37" i="8"/>
  <c r="H37" i="8"/>
  <c r="G37" i="8"/>
  <c r="F37" i="8"/>
  <c r="E37" i="8"/>
  <c r="P36" i="8"/>
  <c r="O36" i="8"/>
  <c r="N36" i="8"/>
  <c r="H36" i="8"/>
  <c r="G36" i="8"/>
  <c r="F36" i="8"/>
  <c r="E36" i="8"/>
  <c r="P34" i="8"/>
  <c r="O34" i="8"/>
  <c r="N34" i="8"/>
  <c r="H34" i="8"/>
  <c r="G34" i="8"/>
  <c r="F34" i="8"/>
  <c r="E34" i="8"/>
  <c r="E33" i="8"/>
  <c r="P33" i="8"/>
  <c r="O33" i="8"/>
  <c r="N33" i="8"/>
  <c r="H33" i="8"/>
  <c r="G33" i="8"/>
  <c r="F33" i="8"/>
  <c r="P32" i="8"/>
  <c r="O32" i="8"/>
  <c r="N32" i="8"/>
  <c r="H32" i="8"/>
  <c r="G32" i="8"/>
  <c r="F32" i="8"/>
  <c r="E32" i="8"/>
  <c r="P24" i="8"/>
  <c r="P31" i="8"/>
  <c r="O31" i="8"/>
  <c r="N31" i="8"/>
  <c r="H31" i="8"/>
  <c r="G31" i="8"/>
  <c r="F31" i="8"/>
  <c r="E31" i="8"/>
  <c r="P30" i="8"/>
  <c r="O30" i="8"/>
  <c r="N30" i="8"/>
  <c r="H30" i="8"/>
  <c r="G30" i="8"/>
  <c r="F30" i="8"/>
  <c r="E30" i="8"/>
  <c r="P29" i="8"/>
  <c r="O29" i="8"/>
  <c r="N29" i="8"/>
  <c r="H29" i="8"/>
  <c r="G29" i="8"/>
  <c r="F29" i="8"/>
  <c r="E29" i="8"/>
  <c r="P28" i="8"/>
  <c r="O28" i="8"/>
  <c r="N28" i="8"/>
  <c r="H28" i="8"/>
  <c r="G28" i="8"/>
  <c r="F28" i="8"/>
  <c r="E28" i="8"/>
  <c r="P27" i="8"/>
  <c r="O27" i="8"/>
  <c r="N27" i="8"/>
  <c r="H27" i="8"/>
  <c r="G27" i="8"/>
  <c r="F27" i="8"/>
  <c r="E27" i="8"/>
  <c r="P25" i="8"/>
  <c r="O25" i="8"/>
  <c r="N25" i="8"/>
  <c r="H25" i="8"/>
  <c r="G25" i="8"/>
  <c r="F25" i="8"/>
  <c r="E25" i="8"/>
  <c r="O24" i="8"/>
  <c r="N24" i="8"/>
  <c r="H24" i="8"/>
  <c r="G24" i="8"/>
  <c r="F24" i="8"/>
  <c r="E24" i="8"/>
  <c r="P23" i="8"/>
  <c r="O23" i="8"/>
  <c r="N23" i="8"/>
  <c r="H23" i="8"/>
  <c r="G23" i="8"/>
  <c r="F23" i="8"/>
  <c r="E23" i="8"/>
  <c r="P21" i="8"/>
  <c r="O21" i="8"/>
  <c r="N21" i="8"/>
  <c r="H21" i="8"/>
  <c r="G21" i="8"/>
  <c r="F21" i="8"/>
  <c r="E21" i="8"/>
  <c r="P19" i="8"/>
  <c r="O19" i="8"/>
  <c r="N19" i="8"/>
  <c r="H19" i="8"/>
  <c r="G19" i="8"/>
  <c r="F19" i="8"/>
  <c r="E19" i="8"/>
  <c r="P18" i="8"/>
  <c r="O18" i="8"/>
  <c r="N18" i="8"/>
  <c r="H18" i="8"/>
  <c r="G18" i="8"/>
  <c r="F18" i="8"/>
  <c r="E18" i="8"/>
  <c r="P17" i="8"/>
  <c r="O17" i="8"/>
  <c r="N17" i="8"/>
  <c r="H17" i="8"/>
  <c r="G17" i="8"/>
  <c r="F17" i="8"/>
  <c r="E17" i="8"/>
  <c r="E16" i="8"/>
  <c r="P16" i="8"/>
  <c r="O16" i="8"/>
  <c r="N16" i="8"/>
  <c r="H16" i="8"/>
  <c r="G16" i="8"/>
  <c r="F16" i="8"/>
  <c r="P13" i="8"/>
  <c r="O13" i="8"/>
  <c r="N13" i="8"/>
  <c r="H13" i="8"/>
  <c r="G13" i="8"/>
  <c r="F13" i="8"/>
  <c r="E13" i="8"/>
  <c r="P12" i="8"/>
  <c r="O12" i="8"/>
  <c r="N12" i="8"/>
  <c r="H12" i="8"/>
  <c r="G12" i="8"/>
  <c r="F12" i="8"/>
  <c r="E12" i="8"/>
  <c r="P9" i="8"/>
  <c r="O9" i="8"/>
  <c r="N9" i="8"/>
  <c r="H9" i="8"/>
  <c r="G9" i="8"/>
  <c r="F9" i="8"/>
  <c r="E9" i="8"/>
  <c r="AQ13" i="9"/>
  <c r="X13" i="9"/>
  <c r="W13" i="9"/>
  <c r="Z13" i="9" s="1"/>
  <c r="AQ12" i="9"/>
  <c r="X12" i="9"/>
  <c r="W12" i="9"/>
  <c r="Z12" i="9" s="1"/>
  <c r="AQ11" i="9"/>
  <c r="X11" i="9"/>
  <c r="W11" i="9"/>
  <c r="Z11" i="9" s="1"/>
  <c r="P8" i="8"/>
  <c r="O8" i="8"/>
  <c r="N8" i="8"/>
  <c r="H8" i="8"/>
  <c r="G8" i="8"/>
  <c r="F8" i="8"/>
  <c r="E8" i="8"/>
  <c r="P7" i="8"/>
  <c r="O7" i="8"/>
  <c r="N7" i="8"/>
  <c r="H7" i="8"/>
  <c r="G7" i="8"/>
  <c r="F7" i="8"/>
  <c r="E7" i="8"/>
  <c r="P6" i="8"/>
  <c r="O6" i="8"/>
  <c r="N6" i="8"/>
  <c r="H6" i="8"/>
  <c r="G6" i="8"/>
  <c r="E6" i="8"/>
  <c r="F6" i="8"/>
  <c r="N5" i="8"/>
  <c r="H5" i="8"/>
  <c r="G5" i="8"/>
  <c r="F5" i="8"/>
  <c r="E5" i="8"/>
  <c r="W56" i="9"/>
  <c r="Z56" i="9" s="1"/>
  <c r="X56" i="9"/>
  <c r="BH56" i="9" s="1"/>
  <c r="AQ56" i="9"/>
  <c r="AQ55" i="9"/>
  <c r="X55" i="9"/>
  <c r="W55" i="9"/>
  <c r="Z55" i="9" s="1"/>
  <c r="AQ54" i="9"/>
  <c r="X54" i="9"/>
  <c r="W54" i="9"/>
  <c r="Z54" i="9" s="1"/>
  <c r="AQ53" i="9"/>
  <c r="X53" i="9"/>
  <c r="W53" i="9"/>
  <c r="Z53" i="9" s="1"/>
  <c r="AQ52" i="9"/>
  <c r="X52" i="9"/>
  <c r="W52" i="9"/>
  <c r="Z52" i="9" s="1"/>
  <c r="AQ51" i="9"/>
  <c r="X51" i="9"/>
  <c r="W51" i="9"/>
  <c r="Z51" i="9" s="1"/>
  <c r="AQ49" i="9"/>
  <c r="X49" i="9"/>
  <c r="W49" i="9"/>
  <c r="Z49" i="9" s="1"/>
  <c r="AQ48" i="9"/>
  <c r="AI48" i="9"/>
  <c r="AH48" i="9"/>
  <c r="X48" i="9"/>
  <c r="W48" i="9"/>
  <c r="Z48" i="9" s="1"/>
  <c r="AQ47" i="9"/>
  <c r="X47" i="9"/>
  <c r="W47" i="9"/>
  <c r="Z47" i="9" s="1"/>
  <c r="AQ46" i="9"/>
  <c r="X46" i="9"/>
  <c r="W46" i="9"/>
  <c r="Z46" i="9" s="1"/>
  <c r="AQ45" i="9"/>
  <c r="X45" i="9"/>
  <c r="W45" i="9"/>
  <c r="Z45" i="9" s="1"/>
  <c r="AQ44" i="9"/>
  <c r="AI44" i="9"/>
  <c r="AH44" i="9"/>
  <c r="X44" i="9"/>
  <c r="W44" i="9"/>
  <c r="Z44" i="9" s="1"/>
  <c r="AQ42" i="9"/>
  <c r="AI42" i="9"/>
  <c r="AH42" i="9"/>
  <c r="X42" i="9"/>
  <c r="W42" i="9"/>
  <c r="Z42" i="9" s="1"/>
  <c r="AQ41" i="9"/>
  <c r="X41" i="9"/>
  <c r="W41" i="9"/>
  <c r="Z41" i="9" s="1"/>
  <c r="AQ40" i="9"/>
  <c r="AI40" i="9"/>
  <c r="AH40" i="9"/>
  <c r="X40" i="9"/>
  <c r="W40" i="9"/>
  <c r="Z40" i="9" s="1"/>
  <c r="AQ39" i="9"/>
  <c r="AI39" i="9"/>
  <c r="AH39" i="9"/>
  <c r="X39" i="9"/>
  <c r="W39" i="9"/>
  <c r="Z39" i="9" s="1"/>
  <c r="AQ38" i="9"/>
  <c r="AI38" i="9"/>
  <c r="AH38" i="9"/>
  <c r="X38" i="9"/>
  <c r="W38" i="9"/>
  <c r="Z38" i="9" s="1"/>
  <c r="AQ37" i="9"/>
  <c r="AI37" i="9"/>
  <c r="AH37" i="9"/>
  <c r="X37" i="9"/>
  <c r="W37" i="9"/>
  <c r="Z37" i="9" s="1"/>
  <c r="AQ36" i="9"/>
  <c r="X36" i="9"/>
  <c r="W36" i="9"/>
  <c r="Z36" i="9" s="1"/>
  <c r="AQ35" i="9"/>
  <c r="X35" i="9"/>
  <c r="W35" i="9"/>
  <c r="Z35" i="9" s="1"/>
  <c r="AQ34" i="9"/>
  <c r="X34" i="9"/>
  <c r="W34" i="9"/>
  <c r="Z34" i="9" s="1"/>
  <c r="AQ32" i="9"/>
  <c r="AI32" i="9"/>
  <c r="AH32" i="9"/>
  <c r="X32" i="9"/>
  <c r="W32" i="9"/>
  <c r="Z32" i="9" s="1"/>
  <c r="AQ31" i="9"/>
  <c r="X31" i="9"/>
  <c r="W31" i="9"/>
  <c r="Z31" i="9" s="1"/>
  <c r="AQ30" i="9"/>
  <c r="AI30" i="9"/>
  <c r="AH30" i="9"/>
  <c r="X30" i="9"/>
  <c r="W30" i="9"/>
  <c r="Z30" i="9" s="1"/>
  <c r="AQ29" i="9"/>
  <c r="AI29" i="9"/>
  <c r="AH29" i="9"/>
  <c r="X29" i="9"/>
  <c r="W29" i="9"/>
  <c r="Z29" i="9" s="1"/>
  <c r="AQ27" i="9"/>
  <c r="AI27" i="9"/>
  <c r="AH27" i="9"/>
  <c r="X27" i="9"/>
  <c r="W27" i="9"/>
  <c r="Z27" i="9" s="1"/>
  <c r="AQ25" i="9"/>
  <c r="X25" i="9"/>
  <c r="W25" i="9"/>
  <c r="Z25" i="9" s="1"/>
  <c r="AQ24" i="9"/>
  <c r="X24" i="9"/>
  <c r="W24" i="9"/>
  <c r="Z24" i="9" s="1"/>
  <c r="AQ23" i="9"/>
  <c r="X23" i="9"/>
  <c r="W23" i="9"/>
  <c r="Z23" i="9" s="1"/>
  <c r="AQ22" i="9"/>
  <c r="X22" i="9"/>
  <c r="W22" i="9"/>
  <c r="Z22" i="9" s="1"/>
  <c r="AQ21" i="9"/>
  <c r="AI21" i="9"/>
  <c r="AH21" i="9"/>
  <c r="X21" i="9"/>
  <c r="W21" i="9"/>
  <c r="Z21" i="9" s="1"/>
  <c r="AQ20" i="9"/>
  <c r="X20" i="9"/>
  <c r="W20" i="9"/>
  <c r="Z20" i="9" s="1"/>
  <c r="AQ17" i="9"/>
  <c r="X17" i="9"/>
  <c r="W17" i="9"/>
  <c r="Z17" i="9" s="1"/>
  <c r="AQ16" i="9"/>
  <c r="AI16" i="9"/>
  <c r="AH16" i="9"/>
  <c r="X16" i="9"/>
  <c r="W16" i="9"/>
  <c r="Z16" i="9" s="1"/>
  <c r="AQ15" i="9"/>
  <c r="AI15" i="9"/>
  <c r="AH15" i="9"/>
  <c r="X15" i="9"/>
  <c r="W15" i="9"/>
  <c r="Z15" i="9" s="1"/>
  <c r="AQ10" i="9"/>
  <c r="AI10" i="9"/>
  <c r="AH10" i="9"/>
  <c r="X10" i="9"/>
  <c r="W10" i="9"/>
  <c r="Z10" i="9" s="1"/>
  <c r="AQ9" i="9"/>
  <c r="AI9" i="9"/>
  <c r="AH9" i="9"/>
  <c r="X9" i="9"/>
  <c r="W9" i="9"/>
  <c r="Z9" i="9" s="1"/>
  <c r="AQ8" i="9"/>
  <c r="AI8" i="9"/>
  <c r="AH8" i="9"/>
  <c r="X8" i="9"/>
  <c r="W8" i="9"/>
  <c r="Z8" i="9" s="1"/>
  <c r="AQ7" i="9"/>
  <c r="AI7" i="9"/>
  <c r="AH7" i="9"/>
  <c r="X7" i="9"/>
  <c r="W7" i="9"/>
  <c r="Z7" i="9" s="1"/>
  <c r="AQ6" i="9"/>
  <c r="X6" i="9"/>
  <c r="W6" i="9"/>
  <c r="Z6" i="9" s="1"/>
  <c r="AQ5" i="9"/>
  <c r="AI5" i="9"/>
  <c r="AH5" i="9"/>
  <c r="X5" i="9"/>
  <c r="W5" i="9"/>
  <c r="Z5" i="9" s="1"/>
  <c r="AQ4" i="9"/>
  <c r="AI4" i="9"/>
  <c r="AH4" i="9"/>
  <c r="X4" i="9"/>
  <c r="W4" i="9"/>
  <c r="Z4" i="9" s="1"/>
  <c r="AQ2" i="9"/>
  <c r="AI2" i="9"/>
  <c r="AH2" i="9"/>
  <c r="Y2" i="9"/>
  <c r="P5" i="8" s="1"/>
  <c r="X2" i="9"/>
  <c r="W2" i="9"/>
  <c r="P16" i="7"/>
  <c r="O16" i="7"/>
  <c r="H16" i="7"/>
  <c r="G16" i="7"/>
  <c r="F16" i="7"/>
  <c r="E16" i="7"/>
  <c r="P8" i="7"/>
  <c r="O8" i="7"/>
  <c r="H8" i="7"/>
  <c r="G8" i="7"/>
  <c r="F8" i="7"/>
  <c r="E8" i="7"/>
  <c r="P6" i="7"/>
  <c r="O6" i="7"/>
  <c r="H6" i="7"/>
  <c r="G6" i="7"/>
  <c r="F6" i="7"/>
  <c r="E6" i="7"/>
  <c r="P4" i="7"/>
  <c r="O4" i="7"/>
  <c r="H4" i="7"/>
  <c r="G4" i="7"/>
  <c r="F4" i="7"/>
  <c r="E4" i="7"/>
  <c r="AE20" i="4"/>
  <c r="AF20" i="4" s="1"/>
  <c r="AE19" i="4"/>
  <c r="AF19" i="4" s="1"/>
  <c r="AE17" i="4"/>
  <c r="AF17" i="4" s="1"/>
  <c r="AE16" i="4"/>
  <c r="AF16" i="4" s="1"/>
  <c r="AE15" i="4"/>
  <c r="AF15" i="4" s="1"/>
  <c r="AE14" i="4"/>
  <c r="AF14" i="4" s="1"/>
  <c r="AE13" i="4"/>
  <c r="AF13" i="4" s="1"/>
  <c r="AE11" i="4"/>
  <c r="AF11" i="4" s="1"/>
  <c r="AE10" i="4"/>
  <c r="AF10" i="4" s="1"/>
  <c r="AE8" i="4"/>
  <c r="AF8" i="4" s="1"/>
  <c r="AE7" i="4"/>
  <c r="AF7" i="4" s="1"/>
  <c r="AE6" i="4"/>
  <c r="AF6" i="4" s="1"/>
  <c r="AE5" i="4"/>
  <c r="AF5" i="4" s="1"/>
  <c r="AE4" i="4"/>
  <c r="AF4" i="4" s="1"/>
  <c r="AC20" i="4"/>
  <c r="AD20" i="4" s="1"/>
  <c r="AC19" i="4"/>
  <c r="AD19" i="4" s="1"/>
  <c r="AC17" i="4"/>
  <c r="AD17" i="4" s="1"/>
  <c r="AC16" i="4"/>
  <c r="AD16" i="4" s="1"/>
  <c r="AC15" i="4"/>
  <c r="AD15" i="4" s="1"/>
  <c r="AC14" i="4"/>
  <c r="AD14" i="4" s="1"/>
  <c r="AC13" i="4"/>
  <c r="AD13" i="4" s="1"/>
  <c r="AC11" i="4"/>
  <c r="AD11" i="4" s="1"/>
  <c r="AC10" i="4"/>
  <c r="AD10" i="4" s="1"/>
  <c r="AC8" i="4"/>
  <c r="AD8" i="4" s="1"/>
  <c r="AC7" i="4"/>
  <c r="AD7" i="4" s="1"/>
  <c r="AC6" i="4"/>
  <c r="AD6" i="4" s="1"/>
  <c r="AC5" i="4"/>
  <c r="AD5" i="4" s="1"/>
  <c r="AC4" i="4"/>
  <c r="AD4" i="4" s="1"/>
  <c r="AG8" i="1"/>
  <c r="AG10" i="1"/>
  <c r="AG11" i="1"/>
  <c r="AG14" i="1"/>
  <c r="AG15" i="1"/>
  <c r="AG16" i="1"/>
  <c r="AG18" i="1"/>
  <c r="AG19" i="1"/>
  <c r="AG21" i="1"/>
  <c r="AG23" i="1"/>
  <c r="AG25" i="1"/>
  <c r="AG28" i="1"/>
  <c r="AG32" i="1"/>
  <c r="AG33" i="1"/>
  <c r="AG34" i="1"/>
  <c r="AG37" i="1"/>
  <c r="AG38" i="1"/>
  <c r="AG39" i="1"/>
  <c r="AG41" i="1"/>
  <c r="AG42" i="1"/>
  <c r="AF43" i="1"/>
  <c r="AG43" i="1" s="1"/>
  <c r="AF42" i="1"/>
  <c r="AF41" i="1"/>
  <c r="AF40" i="1"/>
  <c r="AG40" i="1" s="1"/>
  <c r="AF39" i="1"/>
  <c r="AF38" i="1"/>
  <c r="AF37" i="1"/>
  <c r="AF36" i="1"/>
  <c r="AG36" i="1" s="1"/>
  <c r="AF35" i="1"/>
  <c r="AG35" i="1" s="1"/>
  <c r="AF34" i="1"/>
  <c r="AF33" i="1"/>
  <c r="AF32" i="1"/>
  <c r="AF31" i="1"/>
  <c r="AG31" i="1" s="1"/>
  <c r="AF30" i="1"/>
  <c r="AG30" i="1" s="1"/>
  <c r="AF29" i="1"/>
  <c r="AG29" i="1" s="1"/>
  <c r="AF28" i="1"/>
  <c r="AF27" i="1"/>
  <c r="AG27" i="1" s="1"/>
  <c r="AF26" i="1"/>
  <c r="AG26" i="1" s="1"/>
  <c r="AF25" i="1"/>
  <c r="AF24" i="1"/>
  <c r="AG24" i="1" s="1"/>
  <c r="AF23" i="1"/>
  <c r="AF22" i="1"/>
  <c r="AG22" i="1" s="1"/>
  <c r="AF21" i="1"/>
  <c r="AF20" i="1"/>
  <c r="AG20" i="1" s="1"/>
  <c r="AF19" i="1"/>
  <c r="AF4" i="1"/>
  <c r="AG4" i="1" s="1"/>
  <c r="AF5" i="1"/>
  <c r="AG5" i="1" s="1"/>
  <c r="AF7" i="1"/>
  <c r="AG7" i="1" s="1"/>
  <c r="AF8" i="1"/>
  <c r="AF9" i="1"/>
  <c r="AG9" i="1" s="1"/>
  <c r="AF10" i="1"/>
  <c r="AF11" i="1"/>
  <c r="AF12" i="1"/>
  <c r="AG12" i="1" s="1"/>
  <c r="AF13" i="1"/>
  <c r="AG13" i="1" s="1"/>
  <c r="AF14" i="1"/>
  <c r="AF15" i="1"/>
  <c r="AF16" i="1"/>
  <c r="AF17" i="1"/>
  <c r="AG17" i="1" s="1"/>
  <c r="AF18" i="1"/>
  <c r="AE8" i="1"/>
  <c r="AE10" i="1"/>
  <c r="AE11" i="1"/>
  <c r="AE14" i="1"/>
  <c r="AE15" i="1"/>
  <c r="AE16" i="1"/>
  <c r="AE18" i="1"/>
  <c r="AE19" i="1"/>
  <c r="AE21" i="1"/>
  <c r="AE23" i="1"/>
  <c r="AE25" i="1"/>
  <c r="AE28" i="1"/>
  <c r="AE32" i="1"/>
  <c r="AE33" i="1"/>
  <c r="AE34" i="1"/>
  <c r="AE37" i="1"/>
  <c r="AE38" i="1"/>
  <c r="AE39" i="1"/>
  <c r="AE41" i="1"/>
  <c r="AE42" i="1"/>
  <c r="AD43" i="1"/>
  <c r="AE43" i="1" s="1"/>
  <c r="AD42" i="1"/>
  <c r="AD41" i="1"/>
  <c r="AD40" i="1"/>
  <c r="AE40" i="1" s="1"/>
  <c r="AD39" i="1"/>
  <c r="AD38" i="1"/>
  <c r="AD37" i="1"/>
  <c r="AD36" i="1"/>
  <c r="AE36" i="1" s="1"/>
  <c r="AD35" i="1"/>
  <c r="AE35" i="1" s="1"/>
  <c r="AD34" i="1"/>
  <c r="AD33" i="1"/>
  <c r="AD32" i="1"/>
  <c r="AD31" i="1"/>
  <c r="AE31" i="1" s="1"/>
  <c r="AD30" i="1"/>
  <c r="AE30" i="1" s="1"/>
  <c r="AD29" i="1"/>
  <c r="AE29" i="1" s="1"/>
  <c r="AD28" i="1"/>
  <c r="AD27" i="1"/>
  <c r="AE27" i="1" s="1"/>
  <c r="AD26" i="1"/>
  <c r="AE26" i="1" s="1"/>
  <c r="AD25" i="1"/>
  <c r="AD24" i="1"/>
  <c r="AE24" i="1" s="1"/>
  <c r="AD23" i="1"/>
  <c r="AD22" i="1"/>
  <c r="AE22" i="1" s="1"/>
  <c r="AD21" i="1"/>
  <c r="AD20" i="1"/>
  <c r="AE20" i="1" s="1"/>
  <c r="AD19" i="1"/>
  <c r="AD18" i="1"/>
  <c r="AD17" i="1"/>
  <c r="AE17" i="1" s="1"/>
  <c r="AD16" i="1"/>
  <c r="AD15" i="1"/>
  <c r="AD14" i="1"/>
  <c r="AD13" i="1"/>
  <c r="AE13" i="1" s="1"/>
  <c r="AD12" i="1"/>
  <c r="AE12" i="1" s="1"/>
  <c r="AD11" i="1"/>
  <c r="AD10" i="1"/>
  <c r="AD9" i="1"/>
  <c r="AE9" i="1" s="1"/>
  <c r="AD8" i="1"/>
  <c r="AD7" i="1"/>
  <c r="AE7" i="1" s="1"/>
  <c r="AD5" i="1"/>
  <c r="AE5" i="1" s="1"/>
  <c r="AD4" i="1"/>
  <c r="AE4" i="1" s="1"/>
  <c r="AB20" i="4"/>
  <c r="AA20" i="4"/>
  <c r="Z20" i="4"/>
  <c r="X20" i="4"/>
  <c r="W20" i="4"/>
  <c r="V20" i="4"/>
  <c r="U20" i="4"/>
  <c r="T20" i="4"/>
  <c r="S20" i="4"/>
  <c r="R20" i="4"/>
  <c r="Q20" i="4"/>
  <c r="H20" i="4"/>
  <c r="G20" i="4"/>
  <c r="F20" i="4"/>
  <c r="E20" i="4"/>
  <c r="E19" i="4"/>
  <c r="AB19" i="4"/>
  <c r="AA19" i="4"/>
  <c r="Z19" i="4"/>
  <c r="X19" i="4"/>
  <c r="W19" i="4"/>
  <c r="V19" i="4"/>
  <c r="U19" i="4"/>
  <c r="T19" i="4"/>
  <c r="S19" i="4"/>
  <c r="R19" i="4"/>
  <c r="Q19" i="4"/>
  <c r="H19" i="4"/>
  <c r="G19" i="4"/>
  <c r="F19" i="4"/>
  <c r="AA17" i="4"/>
  <c r="Z17" i="4"/>
  <c r="X17" i="4"/>
  <c r="W17" i="4"/>
  <c r="V17" i="4"/>
  <c r="U17" i="4"/>
  <c r="T17" i="4"/>
  <c r="S17" i="4"/>
  <c r="R17" i="4"/>
  <c r="Q17" i="4"/>
  <c r="H17" i="4"/>
  <c r="G17" i="4"/>
  <c r="F17" i="4"/>
  <c r="E17" i="4"/>
  <c r="R16" i="4"/>
  <c r="F16" i="4"/>
  <c r="AB16" i="4"/>
  <c r="AA16" i="4"/>
  <c r="Z16" i="4"/>
  <c r="X16" i="4"/>
  <c r="W16" i="4"/>
  <c r="V16" i="4"/>
  <c r="U16" i="4"/>
  <c r="T16" i="4"/>
  <c r="S16" i="4"/>
  <c r="Q16" i="4"/>
  <c r="H16" i="4"/>
  <c r="G16" i="4"/>
  <c r="E16" i="4"/>
  <c r="AB15" i="4"/>
  <c r="AA15" i="4"/>
  <c r="Z15" i="4"/>
  <c r="X15" i="4"/>
  <c r="W15" i="4"/>
  <c r="V15" i="4"/>
  <c r="U15" i="4"/>
  <c r="T15" i="4"/>
  <c r="S15" i="4"/>
  <c r="R15" i="4"/>
  <c r="Q15" i="4"/>
  <c r="H15" i="4"/>
  <c r="G15" i="4"/>
  <c r="F15" i="4"/>
  <c r="E15" i="4"/>
  <c r="AB14" i="4"/>
  <c r="AA14" i="4"/>
  <c r="Z14" i="4"/>
  <c r="X14" i="4"/>
  <c r="W14" i="4"/>
  <c r="V14" i="4"/>
  <c r="U14" i="4"/>
  <c r="T14" i="4"/>
  <c r="S14" i="4"/>
  <c r="R14" i="4"/>
  <c r="Q14" i="4"/>
  <c r="H14" i="4"/>
  <c r="G14" i="4"/>
  <c r="F14" i="4"/>
  <c r="E14" i="4"/>
  <c r="AB4" i="4"/>
  <c r="AA4" i="4"/>
  <c r="Z4" i="4"/>
  <c r="W6" i="4"/>
  <c r="W5" i="4"/>
  <c r="W4" i="4"/>
  <c r="X13" i="4"/>
  <c r="X11" i="4"/>
  <c r="X10" i="4"/>
  <c r="X6" i="4"/>
  <c r="X5" i="4"/>
  <c r="X4" i="4"/>
  <c r="W13" i="4"/>
  <c r="W11" i="4"/>
  <c r="W10" i="4"/>
  <c r="AB13" i="4"/>
  <c r="AA13" i="4"/>
  <c r="Z13" i="4"/>
  <c r="V13" i="4"/>
  <c r="U13" i="4"/>
  <c r="T13" i="4"/>
  <c r="S13" i="4"/>
  <c r="R13" i="4"/>
  <c r="Q13" i="4"/>
  <c r="H13" i="4"/>
  <c r="G13" i="4"/>
  <c r="F13" i="4"/>
  <c r="E13" i="4"/>
  <c r="AB11" i="4"/>
  <c r="AA11" i="4"/>
  <c r="Z11" i="4"/>
  <c r="V11" i="4"/>
  <c r="U11" i="4"/>
  <c r="T11" i="4"/>
  <c r="S11" i="4"/>
  <c r="R11" i="4"/>
  <c r="Q11" i="4"/>
  <c r="P10" i="4"/>
  <c r="AB10" i="4"/>
  <c r="AA10" i="4"/>
  <c r="Z10" i="4"/>
  <c r="V10" i="4"/>
  <c r="U10" i="4"/>
  <c r="T10" i="4"/>
  <c r="S10" i="4"/>
  <c r="R10" i="4"/>
  <c r="Q10" i="4"/>
  <c r="O10" i="4"/>
  <c r="M10" i="4"/>
  <c r="L10" i="4"/>
  <c r="K10" i="4"/>
  <c r="H10" i="4"/>
  <c r="G10" i="4"/>
  <c r="F10" i="4"/>
  <c r="E10" i="4"/>
  <c r="AB8" i="4"/>
  <c r="AA8" i="4"/>
  <c r="Z8" i="4"/>
  <c r="X8" i="4"/>
  <c r="W8" i="4"/>
  <c r="V8" i="4"/>
  <c r="U8" i="4"/>
  <c r="T8" i="4"/>
  <c r="S8" i="4"/>
  <c r="R8" i="4"/>
  <c r="Q8" i="4"/>
  <c r="H8" i="4"/>
  <c r="G8" i="4"/>
  <c r="F8" i="4"/>
  <c r="E8" i="4"/>
  <c r="AA7" i="4"/>
  <c r="T7" i="4"/>
  <c r="AB7" i="4"/>
  <c r="Z7" i="4"/>
  <c r="X7" i="4"/>
  <c r="W7" i="4"/>
  <c r="V7" i="4"/>
  <c r="U7" i="4"/>
  <c r="S7" i="4"/>
  <c r="R7" i="4"/>
  <c r="Q7" i="4"/>
  <c r="H7" i="4"/>
  <c r="G7" i="4"/>
  <c r="F7" i="4"/>
  <c r="E7" i="4"/>
  <c r="Q4" i="4"/>
  <c r="R4" i="4"/>
  <c r="S4" i="4"/>
  <c r="T4" i="4"/>
  <c r="T5" i="4"/>
  <c r="E6" i="4"/>
  <c r="AB6" i="4"/>
  <c r="AA6" i="4"/>
  <c r="Z6" i="4"/>
  <c r="V6" i="4"/>
  <c r="U6" i="4"/>
  <c r="T6" i="4"/>
  <c r="S6" i="4"/>
  <c r="R6" i="4"/>
  <c r="Q6" i="4"/>
  <c r="H6" i="4"/>
  <c r="G6" i="4"/>
  <c r="F6" i="4"/>
  <c r="AQ11" i="5"/>
  <c r="X11" i="5"/>
  <c r="AA11" i="5" s="1"/>
  <c r="W11" i="5"/>
  <c r="Z11" i="5" s="1"/>
  <c r="AQ10" i="5"/>
  <c r="X10" i="5"/>
  <c r="AA10" i="5" s="1"/>
  <c r="W10" i="5"/>
  <c r="Z10" i="5" s="1"/>
  <c r="V4" i="4"/>
  <c r="U4" i="4"/>
  <c r="V5" i="4"/>
  <c r="U5" i="4"/>
  <c r="H5" i="4"/>
  <c r="G5" i="4"/>
  <c r="F5" i="4"/>
  <c r="E5" i="4"/>
  <c r="H4" i="4"/>
  <c r="G4" i="4"/>
  <c r="F4" i="4"/>
  <c r="E4" i="4"/>
  <c r="AA5" i="4"/>
  <c r="Z5" i="4"/>
  <c r="AB5" i="4"/>
  <c r="S5" i="4"/>
  <c r="R5" i="4"/>
  <c r="Q5" i="4"/>
  <c r="AQ42" i="5"/>
  <c r="X42" i="5"/>
  <c r="AA42" i="5" s="1"/>
  <c r="W42" i="5"/>
  <c r="Z42" i="5" s="1"/>
  <c r="AQ110" i="5"/>
  <c r="X110" i="5"/>
  <c r="AA110" i="5" s="1"/>
  <c r="W110" i="5"/>
  <c r="Z110" i="5" s="1"/>
  <c r="AQ107" i="5"/>
  <c r="X107" i="5"/>
  <c r="AA107" i="5" s="1"/>
  <c r="W107" i="5"/>
  <c r="Z107" i="5" s="1"/>
  <c r="AQ48" i="5"/>
  <c r="X48" i="5"/>
  <c r="AA48" i="5" s="1"/>
  <c r="W48" i="5"/>
  <c r="Z48" i="5" s="1"/>
  <c r="AQ34" i="5"/>
  <c r="X34" i="5"/>
  <c r="AA34" i="5" s="1"/>
  <c r="W34" i="5"/>
  <c r="Z34" i="5" s="1"/>
  <c r="AQ41" i="5"/>
  <c r="X41" i="5"/>
  <c r="AA41" i="5" s="1"/>
  <c r="W41" i="5"/>
  <c r="Z41" i="5" s="1"/>
  <c r="AQ40" i="5"/>
  <c r="X40" i="5"/>
  <c r="AA40" i="5" s="1"/>
  <c r="W40" i="5"/>
  <c r="Z40" i="5" s="1"/>
  <c r="AQ39" i="5"/>
  <c r="X39" i="5"/>
  <c r="AA39" i="5" s="1"/>
  <c r="W39" i="5"/>
  <c r="Z39" i="5" s="1"/>
  <c r="AQ46" i="5"/>
  <c r="X46" i="5"/>
  <c r="AA46" i="5" s="1"/>
  <c r="W46" i="5"/>
  <c r="Z46" i="5" s="1"/>
  <c r="AC43" i="1"/>
  <c r="AB43" i="1"/>
  <c r="AA43" i="1"/>
  <c r="Y43" i="1"/>
  <c r="X43" i="1"/>
  <c r="W43" i="1"/>
  <c r="V43" i="1"/>
  <c r="U43" i="1"/>
  <c r="T43" i="1"/>
  <c r="S43" i="1"/>
  <c r="R43" i="1"/>
  <c r="Q43" i="1"/>
  <c r="P43" i="1"/>
  <c r="O43" i="1"/>
  <c r="N43" i="1"/>
  <c r="M43" i="1"/>
  <c r="L43" i="1"/>
  <c r="K43" i="1"/>
  <c r="J43" i="1"/>
  <c r="I43" i="1"/>
  <c r="H43" i="1"/>
  <c r="G43" i="1"/>
  <c r="F43" i="1"/>
  <c r="AQ137" i="3"/>
  <c r="AA137" i="3"/>
  <c r="X137" i="3"/>
  <c r="W137" i="3"/>
  <c r="Z137" i="3" s="1"/>
  <c r="AQ21" i="5"/>
  <c r="X21" i="5"/>
  <c r="AA21" i="5" s="1"/>
  <c r="W21" i="5"/>
  <c r="Z21" i="5" s="1"/>
  <c r="AQ33" i="5"/>
  <c r="X33" i="5"/>
  <c r="AA33" i="5" s="1"/>
  <c r="W33" i="5"/>
  <c r="Z33" i="5" s="1"/>
  <c r="AQ32" i="5"/>
  <c r="X32" i="5"/>
  <c r="AA32" i="5" s="1"/>
  <c r="W32" i="5"/>
  <c r="Z32" i="5" s="1"/>
  <c r="AQ99" i="5"/>
  <c r="X99" i="5"/>
  <c r="AA99" i="5" s="1"/>
  <c r="W99" i="5"/>
  <c r="Z99" i="5" s="1"/>
  <c r="AQ98" i="5"/>
  <c r="X98" i="5"/>
  <c r="AA98" i="5" s="1"/>
  <c r="W98" i="5"/>
  <c r="Z98" i="5" s="1"/>
  <c r="AQ97" i="5"/>
  <c r="X97" i="5"/>
  <c r="W97" i="5"/>
  <c r="AQ45" i="5"/>
  <c r="X45" i="5"/>
  <c r="AA45" i="5" s="1"/>
  <c r="W45" i="5"/>
  <c r="Z45" i="5" s="1"/>
  <c r="AQ44" i="5"/>
  <c r="X44" i="5"/>
  <c r="AA44" i="5" s="1"/>
  <c r="W44" i="5"/>
  <c r="Z44" i="5" s="1"/>
  <c r="AQ109" i="5"/>
  <c r="X109" i="5"/>
  <c r="AA109" i="5" s="1"/>
  <c r="W109" i="5"/>
  <c r="Z109" i="5" s="1"/>
  <c r="AQ6" i="5"/>
  <c r="X6" i="5"/>
  <c r="AA6" i="5" s="1"/>
  <c r="W6" i="5"/>
  <c r="Z6" i="5" s="1"/>
  <c r="AQ5" i="5"/>
  <c r="X5" i="5"/>
  <c r="AA5" i="5" s="1"/>
  <c r="W5" i="5"/>
  <c r="Z5" i="5" s="1"/>
  <c r="AQ4" i="5"/>
  <c r="X4" i="5"/>
  <c r="AA4" i="5" s="1"/>
  <c r="W4" i="5"/>
  <c r="AQ108" i="5"/>
  <c r="X108" i="5"/>
  <c r="AA108" i="5" s="1"/>
  <c r="W108" i="5"/>
  <c r="Z108" i="5" s="1"/>
  <c r="AQ15" i="5"/>
  <c r="X15" i="5"/>
  <c r="AA15" i="5" s="1"/>
  <c r="W15" i="5"/>
  <c r="Z15" i="5" s="1"/>
  <c r="AQ37" i="5"/>
  <c r="X37" i="5"/>
  <c r="AA37" i="5" s="1"/>
  <c r="W37" i="5"/>
  <c r="Z37" i="5" s="1"/>
  <c r="AQ36" i="5"/>
  <c r="AI36" i="5"/>
  <c r="AH36" i="5"/>
  <c r="X36" i="5"/>
  <c r="AA36" i="5" s="1"/>
  <c r="W36" i="5"/>
  <c r="Z36" i="5" s="1"/>
  <c r="AQ13" i="5"/>
  <c r="X13" i="5"/>
  <c r="AA13" i="5" s="1"/>
  <c r="W13" i="5"/>
  <c r="AQ8" i="5"/>
  <c r="X8" i="5"/>
  <c r="AA8" i="5" s="1"/>
  <c r="W8" i="5"/>
  <c r="Z8" i="5" s="1"/>
  <c r="AQ7" i="5"/>
  <c r="X7" i="5"/>
  <c r="AA7" i="5" s="1"/>
  <c r="W7" i="5"/>
  <c r="Z7" i="5" s="1"/>
  <c r="AQ2" i="5"/>
  <c r="X2" i="5"/>
  <c r="AA2" i="5" s="1"/>
  <c r="W2" i="5"/>
  <c r="Z2" i="5" s="1"/>
  <c r="AC7" i="1"/>
  <c r="AB7" i="1"/>
  <c r="AA7" i="1"/>
  <c r="Y7" i="1"/>
  <c r="X7" i="1"/>
  <c r="W7" i="1"/>
  <c r="V7" i="1"/>
  <c r="U7" i="1"/>
  <c r="T7" i="1"/>
  <c r="S7" i="1"/>
  <c r="R7" i="1"/>
  <c r="Q7" i="1"/>
  <c r="P7" i="1"/>
  <c r="O7" i="1"/>
  <c r="N7" i="1"/>
  <c r="M7" i="1"/>
  <c r="L7" i="1"/>
  <c r="K7" i="1"/>
  <c r="J7" i="1"/>
  <c r="I7" i="1"/>
  <c r="H7" i="1"/>
  <c r="G7" i="1"/>
  <c r="F7" i="1"/>
  <c r="AC41" i="1"/>
  <c r="AB41" i="1"/>
  <c r="AA41" i="1"/>
  <c r="Y41" i="1"/>
  <c r="X41" i="1"/>
  <c r="W41" i="1"/>
  <c r="V41" i="1"/>
  <c r="U41" i="1"/>
  <c r="T41" i="1"/>
  <c r="S41" i="1"/>
  <c r="R41" i="1"/>
  <c r="Q41" i="1"/>
  <c r="P41" i="1"/>
  <c r="O41" i="1"/>
  <c r="N41" i="1"/>
  <c r="M41" i="1"/>
  <c r="L41" i="1"/>
  <c r="K41" i="1"/>
  <c r="J41" i="1"/>
  <c r="I41" i="1"/>
  <c r="H41" i="1"/>
  <c r="G41" i="1"/>
  <c r="F41" i="1"/>
  <c r="O11" i="1"/>
  <c r="K11" i="1"/>
  <c r="AC11" i="1"/>
  <c r="AB11" i="1"/>
  <c r="AA11" i="1"/>
  <c r="Y11" i="1"/>
  <c r="X11" i="1"/>
  <c r="Z11" i="1" s="1"/>
  <c r="W11" i="1"/>
  <c r="V11" i="1"/>
  <c r="U11" i="1"/>
  <c r="T11" i="1"/>
  <c r="S11" i="1"/>
  <c r="R11" i="1"/>
  <c r="Q11" i="1"/>
  <c r="P11" i="1"/>
  <c r="N11" i="1"/>
  <c r="M11" i="1"/>
  <c r="L11" i="1"/>
  <c r="J11" i="1"/>
  <c r="I11" i="1"/>
  <c r="H11" i="1"/>
  <c r="G11" i="1"/>
  <c r="F11" i="1"/>
  <c r="L42" i="1"/>
  <c r="AC42" i="1"/>
  <c r="AB42" i="1"/>
  <c r="AA42" i="1"/>
  <c r="Y42" i="1"/>
  <c r="X42" i="1"/>
  <c r="Z42" i="1" s="1"/>
  <c r="W42" i="1"/>
  <c r="V42" i="1"/>
  <c r="U42" i="1"/>
  <c r="T42" i="1"/>
  <c r="S42" i="1"/>
  <c r="R42" i="1"/>
  <c r="Q42" i="1"/>
  <c r="P42" i="1"/>
  <c r="O42" i="1"/>
  <c r="N42" i="1"/>
  <c r="M42" i="1"/>
  <c r="K42" i="1"/>
  <c r="J42" i="1"/>
  <c r="I42" i="1"/>
  <c r="H42" i="1"/>
  <c r="G42" i="1"/>
  <c r="F42" i="1"/>
  <c r="AC40" i="1"/>
  <c r="AB40" i="1"/>
  <c r="AA40" i="1"/>
  <c r="Y40" i="1"/>
  <c r="X40" i="1"/>
  <c r="W40" i="1"/>
  <c r="V40" i="1"/>
  <c r="U40" i="1"/>
  <c r="T40" i="1"/>
  <c r="S40" i="1"/>
  <c r="R40" i="1"/>
  <c r="Q40" i="1"/>
  <c r="P40" i="1"/>
  <c r="O40" i="1"/>
  <c r="N40" i="1"/>
  <c r="M40" i="1"/>
  <c r="L40" i="1"/>
  <c r="K40" i="1"/>
  <c r="J40" i="1"/>
  <c r="I40" i="1"/>
  <c r="H40" i="1"/>
  <c r="G40" i="1"/>
  <c r="F40" i="1"/>
  <c r="AC39" i="1"/>
  <c r="AB39" i="1"/>
  <c r="AA39" i="1"/>
  <c r="Y39" i="1"/>
  <c r="X39" i="1"/>
  <c r="W39" i="1"/>
  <c r="V39" i="1"/>
  <c r="U39" i="1"/>
  <c r="T39" i="1"/>
  <c r="S39" i="1"/>
  <c r="R39" i="1"/>
  <c r="Q39" i="1"/>
  <c r="P39" i="1"/>
  <c r="O39" i="1"/>
  <c r="N39" i="1"/>
  <c r="M39" i="1"/>
  <c r="L39" i="1"/>
  <c r="K39" i="1"/>
  <c r="J39" i="1"/>
  <c r="I39" i="1"/>
  <c r="H39" i="1"/>
  <c r="G39" i="1"/>
  <c r="F39" i="1"/>
  <c r="AC38" i="1"/>
  <c r="AB38" i="1"/>
  <c r="AA38" i="1"/>
  <c r="Y38" i="1"/>
  <c r="X38" i="1"/>
  <c r="W38" i="1"/>
  <c r="V38" i="1"/>
  <c r="U38" i="1"/>
  <c r="T38" i="1"/>
  <c r="S38" i="1"/>
  <c r="R38" i="1"/>
  <c r="Q38" i="1"/>
  <c r="P38" i="1"/>
  <c r="O38" i="1"/>
  <c r="N38" i="1"/>
  <c r="M38" i="1"/>
  <c r="L38" i="1"/>
  <c r="K38" i="1"/>
  <c r="J38" i="1"/>
  <c r="I38" i="1"/>
  <c r="H38" i="1"/>
  <c r="G38" i="1"/>
  <c r="F38" i="1"/>
  <c r="AC37" i="1"/>
  <c r="AB37" i="1"/>
  <c r="AA37" i="1"/>
  <c r="Y37" i="1"/>
  <c r="X37" i="1"/>
  <c r="W37" i="1"/>
  <c r="V37" i="1"/>
  <c r="U37" i="1"/>
  <c r="T37" i="1"/>
  <c r="S37" i="1"/>
  <c r="R37" i="1"/>
  <c r="Q37" i="1"/>
  <c r="P37" i="1"/>
  <c r="O37" i="1"/>
  <c r="N37" i="1"/>
  <c r="M37" i="1"/>
  <c r="L37" i="1"/>
  <c r="K37" i="1"/>
  <c r="J37" i="1"/>
  <c r="I37" i="1"/>
  <c r="H37" i="1"/>
  <c r="G37" i="1"/>
  <c r="F37" i="1"/>
  <c r="AC36" i="1"/>
  <c r="AB36" i="1"/>
  <c r="AA36" i="1"/>
  <c r="Y36" i="1"/>
  <c r="X36" i="1"/>
  <c r="W36" i="1"/>
  <c r="V36" i="1"/>
  <c r="U36" i="1"/>
  <c r="T36" i="1"/>
  <c r="S36" i="1"/>
  <c r="R36" i="1"/>
  <c r="Q36" i="1"/>
  <c r="P36" i="1"/>
  <c r="O36" i="1"/>
  <c r="N36" i="1"/>
  <c r="M36" i="1"/>
  <c r="L36" i="1"/>
  <c r="K36" i="1"/>
  <c r="J36" i="1"/>
  <c r="I36" i="1"/>
  <c r="H36" i="1"/>
  <c r="G36" i="1"/>
  <c r="F36" i="1"/>
  <c r="AC35" i="1"/>
  <c r="AB35" i="1"/>
  <c r="AA35" i="1"/>
  <c r="Y35" i="1"/>
  <c r="X35" i="1"/>
  <c r="W35" i="1"/>
  <c r="V35" i="1"/>
  <c r="U35" i="1"/>
  <c r="T35" i="1"/>
  <c r="S35" i="1"/>
  <c r="R35" i="1"/>
  <c r="Q35" i="1"/>
  <c r="P35" i="1"/>
  <c r="O35" i="1"/>
  <c r="N35" i="1"/>
  <c r="M35" i="1"/>
  <c r="L35" i="1"/>
  <c r="K35" i="1"/>
  <c r="J35" i="1"/>
  <c r="I35" i="1"/>
  <c r="H35" i="1"/>
  <c r="G35" i="1"/>
  <c r="F35" i="1"/>
  <c r="AC34" i="1"/>
  <c r="AB34" i="1"/>
  <c r="AA34" i="1"/>
  <c r="Y34" i="1"/>
  <c r="X34" i="1"/>
  <c r="Z34" i="1" s="1"/>
  <c r="W34" i="1"/>
  <c r="V34" i="1"/>
  <c r="U34" i="1"/>
  <c r="T34" i="1"/>
  <c r="S34" i="1"/>
  <c r="R34" i="1"/>
  <c r="Q34" i="1"/>
  <c r="P34" i="1"/>
  <c r="O34" i="1"/>
  <c r="N34" i="1"/>
  <c r="M34" i="1"/>
  <c r="L34" i="1"/>
  <c r="K34" i="1"/>
  <c r="J34" i="1"/>
  <c r="I34" i="1"/>
  <c r="H34" i="1"/>
  <c r="G34" i="1"/>
  <c r="F34" i="1"/>
  <c r="AC33" i="1"/>
  <c r="AB33" i="1"/>
  <c r="AA33" i="1"/>
  <c r="Y33" i="1"/>
  <c r="X33" i="1"/>
  <c r="W33" i="1"/>
  <c r="V33" i="1"/>
  <c r="U33" i="1"/>
  <c r="T33" i="1"/>
  <c r="S33" i="1"/>
  <c r="R33" i="1"/>
  <c r="Q33" i="1"/>
  <c r="P33" i="1"/>
  <c r="O33" i="1"/>
  <c r="N33" i="1"/>
  <c r="M33" i="1"/>
  <c r="L33" i="1"/>
  <c r="K33" i="1"/>
  <c r="J33" i="1"/>
  <c r="I33" i="1"/>
  <c r="H33" i="1"/>
  <c r="G33" i="1"/>
  <c r="F33" i="1"/>
  <c r="AC32" i="1"/>
  <c r="AB32" i="1"/>
  <c r="AA32" i="1"/>
  <c r="Y32" i="1"/>
  <c r="X32" i="1"/>
  <c r="W32" i="1"/>
  <c r="V32" i="1"/>
  <c r="U32" i="1"/>
  <c r="T32" i="1"/>
  <c r="S32" i="1"/>
  <c r="R32" i="1"/>
  <c r="Q32" i="1"/>
  <c r="P32" i="1"/>
  <c r="O32" i="1"/>
  <c r="N32" i="1"/>
  <c r="M32" i="1"/>
  <c r="L32" i="1"/>
  <c r="K32" i="1"/>
  <c r="J32" i="1"/>
  <c r="I32" i="1"/>
  <c r="H32" i="1"/>
  <c r="G32" i="1"/>
  <c r="F32" i="1"/>
  <c r="AC31" i="1"/>
  <c r="AB31" i="1"/>
  <c r="AA31" i="1"/>
  <c r="Y31" i="1"/>
  <c r="X31" i="1"/>
  <c r="W31" i="1"/>
  <c r="V31" i="1"/>
  <c r="U31" i="1"/>
  <c r="T31" i="1"/>
  <c r="S31" i="1"/>
  <c r="R31" i="1"/>
  <c r="Q31" i="1"/>
  <c r="P31" i="1"/>
  <c r="O31" i="1"/>
  <c r="N31" i="1"/>
  <c r="M31" i="1"/>
  <c r="L31" i="1"/>
  <c r="K31" i="1"/>
  <c r="J31" i="1"/>
  <c r="I31" i="1"/>
  <c r="H31" i="1"/>
  <c r="G31" i="1"/>
  <c r="F31" i="1"/>
  <c r="AC30" i="1"/>
  <c r="AB30" i="1"/>
  <c r="AA30" i="1"/>
  <c r="Y30" i="1"/>
  <c r="X30" i="1"/>
  <c r="W30" i="1"/>
  <c r="V30" i="1"/>
  <c r="U30" i="1"/>
  <c r="T30" i="1"/>
  <c r="S30" i="1"/>
  <c r="R30" i="1"/>
  <c r="Q30" i="1"/>
  <c r="P30" i="1"/>
  <c r="O30" i="1"/>
  <c r="N30" i="1"/>
  <c r="M30" i="1"/>
  <c r="L30" i="1"/>
  <c r="K30" i="1"/>
  <c r="J30" i="1"/>
  <c r="I30" i="1"/>
  <c r="H30" i="1"/>
  <c r="G30" i="1"/>
  <c r="F30" i="1"/>
  <c r="AC29" i="1"/>
  <c r="AB29" i="1"/>
  <c r="AA29" i="1"/>
  <c r="Y29" i="1"/>
  <c r="X29" i="1"/>
  <c r="W29" i="1"/>
  <c r="V29" i="1"/>
  <c r="U29" i="1"/>
  <c r="T29" i="1"/>
  <c r="S29" i="1"/>
  <c r="R29" i="1"/>
  <c r="Q29" i="1"/>
  <c r="P29" i="1"/>
  <c r="O29" i="1"/>
  <c r="N29" i="1"/>
  <c r="M29" i="1"/>
  <c r="L29" i="1"/>
  <c r="K29" i="1"/>
  <c r="J29" i="1"/>
  <c r="I29" i="1"/>
  <c r="H29" i="1"/>
  <c r="G29" i="1"/>
  <c r="F29" i="1"/>
  <c r="AC28" i="1"/>
  <c r="AB28" i="1"/>
  <c r="AA28" i="1"/>
  <c r="Y28" i="1"/>
  <c r="X28" i="1"/>
  <c r="W28" i="1"/>
  <c r="V28" i="1"/>
  <c r="U28" i="1"/>
  <c r="T28" i="1"/>
  <c r="S28" i="1"/>
  <c r="R28" i="1"/>
  <c r="Q28" i="1"/>
  <c r="P28" i="1"/>
  <c r="O28" i="1"/>
  <c r="N28" i="1"/>
  <c r="M28" i="1"/>
  <c r="L28" i="1"/>
  <c r="K28" i="1"/>
  <c r="J28" i="1"/>
  <c r="I28" i="1"/>
  <c r="H28" i="1"/>
  <c r="G28" i="1"/>
  <c r="F28" i="1"/>
  <c r="AQ73" i="3"/>
  <c r="AI73" i="3"/>
  <c r="AH73" i="3"/>
  <c r="AA73" i="3"/>
  <c r="Z73" i="3"/>
  <c r="X73" i="3"/>
  <c r="W73" i="3"/>
  <c r="AC27" i="1"/>
  <c r="AB27" i="1"/>
  <c r="AA27" i="1"/>
  <c r="Y27" i="1"/>
  <c r="X27" i="1"/>
  <c r="W27" i="1"/>
  <c r="V27" i="1"/>
  <c r="U27" i="1"/>
  <c r="T27" i="1"/>
  <c r="S27" i="1"/>
  <c r="R27" i="1"/>
  <c r="I27" i="1"/>
  <c r="H27" i="1"/>
  <c r="G27" i="1"/>
  <c r="F27" i="1"/>
  <c r="AC26" i="1"/>
  <c r="AB26" i="1"/>
  <c r="AA26" i="1"/>
  <c r="Y26" i="1"/>
  <c r="X26" i="1"/>
  <c r="W26" i="1"/>
  <c r="V26" i="1"/>
  <c r="U26" i="1"/>
  <c r="T26" i="1"/>
  <c r="S26" i="1"/>
  <c r="R26" i="1"/>
  <c r="I26" i="1"/>
  <c r="H26" i="1"/>
  <c r="G26" i="1"/>
  <c r="F26" i="1"/>
  <c r="AC25" i="1"/>
  <c r="AB25" i="1"/>
  <c r="AA25" i="1"/>
  <c r="Y25" i="1"/>
  <c r="X25" i="1"/>
  <c r="W25" i="1"/>
  <c r="V25" i="1"/>
  <c r="U25" i="1"/>
  <c r="T25" i="1"/>
  <c r="S25" i="1"/>
  <c r="R25" i="1"/>
  <c r="I25" i="1"/>
  <c r="H25" i="1"/>
  <c r="G25" i="1"/>
  <c r="F25" i="1"/>
  <c r="AC24" i="1"/>
  <c r="AB24" i="1"/>
  <c r="AA24" i="1"/>
  <c r="Y24" i="1"/>
  <c r="X24" i="1"/>
  <c r="W24" i="1"/>
  <c r="V24" i="1"/>
  <c r="U24" i="1"/>
  <c r="T24" i="1"/>
  <c r="S24" i="1"/>
  <c r="R24" i="1"/>
  <c r="I24" i="1"/>
  <c r="H24" i="1"/>
  <c r="G24" i="1"/>
  <c r="F24" i="1"/>
  <c r="AC23" i="1"/>
  <c r="AB23" i="1"/>
  <c r="AA23" i="1"/>
  <c r="Y23" i="1"/>
  <c r="X23" i="1"/>
  <c r="W23" i="1"/>
  <c r="V23" i="1"/>
  <c r="U23" i="1"/>
  <c r="T23" i="1"/>
  <c r="S23" i="1"/>
  <c r="R23" i="1"/>
  <c r="I23" i="1"/>
  <c r="H23" i="1"/>
  <c r="G23" i="1"/>
  <c r="F23" i="1"/>
  <c r="F21" i="1"/>
  <c r="AC22" i="1"/>
  <c r="AB22" i="1"/>
  <c r="AA22" i="1"/>
  <c r="Y22" i="1"/>
  <c r="X22" i="1"/>
  <c r="W22" i="1"/>
  <c r="V22" i="1"/>
  <c r="U22" i="1"/>
  <c r="T22" i="1"/>
  <c r="S22" i="1"/>
  <c r="R22" i="1"/>
  <c r="I22" i="1"/>
  <c r="H22" i="1"/>
  <c r="G22" i="1"/>
  <c r="F22" i="1"/>
  <c r="AC21" i="1"/>
  <c r="AB21" i="1"/>
  <c r="AA21" i="1"/>
  <c r="Y21" i="1"/>
  <c r="X21" i="1"/>
  <c r="Z21" i="1" s="1"/>
  <c r="W21" i="1"/>
  <c r="V21" i="1"/>
  <c r="U21" i="1"/>
  <c r="T21" i="1"/>
  <c r="S21" i="1"/>
  <c r="R21" i="1"/>
  <c r="I21" i="1"/>
  <c r="H21" i="1"/>
  <c r="G21" i="1"/>
  <c r="AC20" i="1"/>
  <c r="AB20" i="1"/>
  <c r="AA20" i="1"/>
  <c r="Y20" i="1"/>
  <c r="X20" i="1"/>
  <c r="W20" i="1"/>
  <c r="V20" i="1"/>
  <c r="U20" i="1"/>
  <c r="T20" i="1"/>
  <c r="S20" i="1"/>
  <c r="R20" i="1"/>
  <c r="I20" i="1"/>
  <c r="H20" i="1"/>
  <c r="G20" i="1"/>
  <c r="F20" i="1"/>
  <c r="AC19" i="1"/>
  <c r="AB19" i="1"/>
  <c r="AA19" i="1"/>
  <c r="Y19" i="1"/>
  <c r="X19" i="1"/>
  <c r="W19" i="1"/>
  <c r="V19" i="1"/>
  <c r="U19" i="1"/>
  <c r="T19" i="1"/>
  <c r="S19" i="1"/>
  <c r="R19" i="1"/>
  <c r="I19" i="1"/>
  <c r="H19" i="1"/>
  <c r="G19" i="1"/>
  <c r="F19" i="1"/>
  <c r="V10" i="1"/>
  <c r="AC10" i="1"/>
  <c r="AB10" i="1"/>
  <c r="AA10" i="1"/>
  <c r="Y10" i="1"/>
  <c r="X10" i="1"/>
  <c r="W10" i="1"/>
  <c r="S18" i="1"/>
  <c r="S16" i="1"/>
  <c r="S15" i="1"/>
  <c r="S14" i="1"/>
  <c r="S10" i="1"/>
  <c r="S8" i="1"/>
  <c r="U10" i="1"/>
  <c r="T10" i="1"/>
  <c r="R10" i="1"/>
  <c r="I10" i="1"/>
  <c r="H10" i="1"/>
  <c r="G10" i="1"/>
  <c r="F10" i="1"/>
  <c r="AC18" i="1"/>
  <c r="AB18" i="1"/>
  <c r="AA18" i="1"/>
  <c r="Y18" i="1"/>
  <c r="X18" i="1"/>
  <c r="Z18" i="1" s="1"/>
  <c r="W18" i="1"/>
  <c r="V18" i="1"/>
  <c r="U18" i="1"/>
  <c r="T18" i="1"/>
  <c r="R18" i="1"/>
  <c r="I18" i="1"/>
  <c r="H18" i="1"/>
  <c r="G18" i="1"/>
  <c r="F18" i="1"/>
  <c r="AC17" i="1"/>
  <c r="AB17" i="1"/>
  <c r="AA17" i="1"/>
  <c r="Y17" i="1"/>
  <c r="X17" i="1"/>
  <c r="W17" i="1"/>
  <c r="V17" i="1"/>
  <c r="U17" i="1"/>
  <c r="T17" i="1"/>
  <c r="S17" i="1"/>
  <c r="R17" i="1"/>
  <c r="I17" i="1"/>
  <c r="H17" i="1"/>
  <c r="G17" i="1"/>
  <c r="F17" i="1"/>
  <c r="F16" i="1"/>
  <c r="AC16" i="1"/>
  <c r="AB16" i="1"/>
  <c r="AA16" i="1"/>
  <c r="Y16" i="1"/>
  <c r="X16" i="1"/>
  <c r="W16" i="1"/>
  <c r="V16" i="1"/>
  <c r="U16" i="1"/>
  <c r="T16" i="1"/>
  <c r="R16" i="1"/>
  <c r="I16" i="1"/>
  <c r="H16" i="1"/>
  <c r="G16" i="1"/>
  <c r="AC15" i="1"/>
  <c r="AB15" i="1"/>
  <c r="AA15" i="1"/>
  <c r="Y15" i="1"/>
  <c r="X15" i="1"/>
  <c r="W15" i="1"/>
  <c r="V15" i="1"/>
  <c r="U15" i="1"/>
  <c r="T15" i="1"/>
  <c r="R15" i="1"/>
  <c r="I15" i="1"/>
  <c r="H15" i="1"/>
  <c r="G15" i="1"/>
  <c r="F15" i="1"/>
  <c r="AC14" i="1"/>
  <c r="AB14" i="1"/>
  <c r="AA14" i="1"/>
  <c r="Y14" i="1"/>
  <c r="X14" i="1"/>
  <c r="W14" i="1"/>
  <c r="V14" i="1"/>
  <c r="U14" i="1"/>
  <c r="T14" i="1"/>
  <c r="R14" i="1"/>
  <c r="I14" i="1"/>
  <c r="H14" i="1"/>
  <c r="G14" i="1"/>
  <c r="F14" i="1"/>
  <c r="AC13" i="1"/>
  <c r="AB13" i="1"/>
  <c r="AA13" i="1"/>
  <c r="Y13" i="1"/>
  <c r="X13" i="1"/>
  <c r="W13" i="1"/>
  <c r="V13" i="1"/>
  <c r="U13" i="1"/>
  <c r="T13" i="1"/>
  <c r="S13" i="1"/>
  <c r="R13" i="1"/>
  <c r="I13" i="1"/>
  <c r="H13" i="1"/>
  <c r="G13" i="1"/>
  <c r="F13" i="1"/>
  <c r="AC12" i="1"/>
  <c r="AB12" i="1"/>
  <c r="AA12" i="1"/>
  <c r="Y12" i="1"/>
  <c r="X12" i="1"/>
  <c r="U12" i="1"/>
  <c r="T12" i="1"/>
  <c r="R12" i="1"/>
  <c r="I12" i="1"/>
  <c r="H12" i="1"/>
  <c r="G12" i="1"/>
  <c r="F12" i="1"/>
  <c r="AC9" i="1"/>
  <c r="AB9" i="1"/>
  <c r="AA9" i="1"/>
  <c r="Y9" i="1"/>
  <c r="X9" i="1"/>
  <c r="W9" i="1"/>
  <c r="V9" i="1"/>
  <c r="U9" i="1"/>
  <c r="T9" i="1"/>
  <c r="S9" i="1"/>
  <c r="R9" i="1"/>
  <c r="I9" i="1"/>
  <c r="H9" i="1"/>
  <c r="G9" i="1"/>
  <c r="F9" i="1"/>
  <c r="AB8" i="1"/>
  <c r="AA8" i="1"/>
  <c r="Y8" i="1"/>
  <c r="X8" i="1"/>
  <c r="W8" i="1"/>
  <c r="V8" i="1"/>
  <c r="U8" i="1"/>
  <c r="T8" i="1"/>
  <c r="R8" i="1"/>
  <c r="I8" i="1"/>
  <c r="H8" i="1"/>
  <c r="G8" i="1"/>
  <c r="F8" i="1"/>
  <c r="AC8" i="1"/>
  <c r="S12" i="1"/>
  <c r="W138" i="3"/>
  <c r="X138" i="3"/>
  <c r="AC5" i="1"/>
  <c r="AB5" i="1"/>
  <c r="AA4" i="1"/>
  <c r="AA5" i="1"/>
  <c r="Y5" i="1"/>
  <c r="X5" i="1"/>
  <c r="U5" i="1"/>
  <c r="T5" i="1"/>
  <c r="S5" i="1"/>
  <c r="R5" i="1"/>
  <c r="I5" i="1"/>
  <c r="H5" i="1"/>
  <c r="G5" i="1"/>
  <c r="F5" i="1"/>
  <c r="AC4" i="1"/>
  <c r="AB4" i="1"/>
  <c r="Y4" i="1"/>
  <c r="X4" i="1"/>
  <c r="W4" i="1"/>
  <c r="V4" i="1"/>
  <c r="U4" i="1"/>
  <c r="T4" i="1"/>
  <c r="S4" i="1"/>
  <c r="R4" i="1"/>
  <c r="I4" i="1"/>
  <c r="H4" i="1"/>
  <c r="G4" i="1"/>
  <c r="F4" i="1"/>
  <c r="AQ28" i="3"/>
  <c r="AI28" i="3"/>
  <c r="AH28" i="3"/>
  <c r="Y28" i="3"/>
  <c r="AA28" i="3" s="1"/>
  <c r="X28" i="3"/>
  <c r="W28" i="3"/>
  <c r="Z28" i="3" s="1"/>
  <c r="AQ25" i="3"/>
  <c r="AI25" i="3"/>
  <c r="AH25" i="3"/>
  <c r="X25" i="3"/>
  <c r="AA25" i="3" s="1"/>
  <c r="W25" i="3"/>
  <c r="Z25" i="3" s="1"/>
  <c r="AQ42" i="3"/>
  <c r="X42" i="3"/>
  <c r="AA42" i="3" s="1"/>
  <c r="W42" i="3"/>
  <c r="Z42" i="3" s="1"/>
  <c r="W128" i="3"/>
  <c r="W9" i="3"/>
  <c r="X9" i="3"/>
  <c r="Y9" i="3"/>
  <c r="AH9" i="3"/>
  <c r="AI9" i="3"/>
  <c r="AQ9" i="3"/>
  <c r="AQ136" i="3"/>
  <c r="X136" i="3"/>
  <c r="AA136" i="3" s="1"/>
  <c r="W136" i="3"/>
  <c r="Z136" i="3" s="1"/>
  <c r="AQ135" i="3"/>
  <c r="X135" i="3"/>
  <c r="AA135" i="3" s="1"/>
  <c r="W135" i="3"/>
  <c r="Z135" i="3" s="1"/>
  <c r="AQ134" i="3"/>
  <c r="X134" i="3"/>
  <c r="AA134" i="3" s="1"/>
  <c r="W134" i="3"/>
  <c r="Z134" i="3" s="1"/>
  <c r="AQ130" i="3"/>
  <c r="S130" i="3"/>
  <c r="R130" i="3"/>
  <c r="Q130" i="3"/>
  <c r="AQ125" i="3"/>
  <c r="AI125" i="3"/>
  <c r="AH125" i="3"/>
  <c r="X125" i="3"/>
  <c r="AA125" i="3" s="1"/>
  <c r="W125" i="3"/>
  <c r="Z125" i="3" s="1"/>
  <c r="AQ124" i="3"/>
  <c r="AI124" i="3"/>
  <c r="AH124" i="3"/>
  <c r="X124" i="3"/>
  <c r="AA124" i="3" s="1"/>
  <c r="W124" i="3"/>
  <c r="Z124" i="3" s="1"/>
  <c r="AQ123" i="3"/>
  <c r="AI123" i="3"/>
  <c r="AH123" i="3"/>
  <c r="X123" i="3"/>
  <c r="AA123" i="3" s="1"/>
  <c r="W123" i="3"/>
  <c r="Z123" i="3" s="1"/>
  <c r="AQ122" i="3"/>
  <c r="AI122" i="3"/>
  <c r="AH122" i="3"/>
  <c r="X122" i="3"/>
  <c r="AA122" i="3" s="1"/>
  <c r="W122" i="3"/>
  <c r="Z122" i="3" s="1"/>
  <c r="AQ120" i="3"/>
  <c r="X120" i="3"/>
  <c r="AA120" i="3" s="1"/>
  <c r="W120" i="3"/>
  <c r="Z120" i="3" s="1"/>
  <c r="AQ119" i="3"/>
  <c r="X119" i="3"/>
  <c r="AA119" i="3" s="1"/>
  <c r="W119" i="3"/>
  <c r="Z119" i="3" s="1"/>
  <c r="AQ118" i="3"/>
  <c r="X118" i="3"/>
  <c r="AA118" i="3" s="1"/>
  <c r="W118" i="3"/>
  <c r="Z118" i="3" s="1"/>
  <c r="AQ117" i="3"/>
  <c r="X117" i="3"/>
  <c r="AA117" i="3" s="1"/>
  <c r="W117" i="3"/>
  <c r="Z117" i="3" s="1"/>
  <c r="AQ116" i="3"/>
  <c r="X116" i="3"/>
  <c r="AA116" i="3" s="1"/>
  <c r="W116" i="3"/>
  <c r="Z116" i="3" s="1"/>
  <c r="AQ115" i="3"/>
  <c r="X115" i="3"/>
  <c r="AA115" i="3" s="1"/>
  <c r="W115" i="3"/>
  <c r="Z115" i="3" s="1"/>
  <c r="AQ104" i="3"/>
  <c r="AC104" i="3"/>
  <c r="AI104" i="3" s="1"/>
  <c r="X104" i="3"/>
  <c r="AA104" i="3" s="1"/>
  <c r="W104" i="3"/>
  <c r="Z104" i="3" s="1"/>
  <c r="AQ103" i="3"/>
  <c r="AC103" i="3"/>
  <c r="AI103" i="3" s="1"/>
  <c r="X103" i="3"/>
  <c r="AA103" i="3" s="1"/>
  <c r="W103" i="3"/>
  <c r="Z103" i="3" s="1"/>
  <c r="AQ102" i="3"/>
  <c r="AC102" i="3"/>
  <c r="AI102" i="3" s="1"/>
  <c r="X102" i="3"/>
  <c r="AA102" i="3" s="1"/>
  <c r="W102" i="3"/>
  <c r="Z102" i="3" s="1"/>
  <c r="AQ101" i="3"/>
  <c r="AC101" i="3"/>
  <c r="AI101" i="3" s="1"/>
  <c r="X101" i="3"/>
  <c r="AA101" i="3" s="1"/>
  <c r="W101" i="3"/>
  <c r="Z101" i="3" s="1"/>
  <c r="AQ100" i="3"/>
  <c r="X100" i="3"/>
  <c r="AA100" i="3" s="1"/>
  <c r="W100" i="3"/>
  <c r="Z100" i="3" s="1"/>
  <c r="AQ99" i="3"/>
  <c r="AC99" i="3"/>
  <c r="AI99" i="3" s="1"/>
  <c r="X99" i="3"/>
  <c r="AA99" i="3" s="1"/>
  <c r="W99" i="3"/>
  <c r="Z99" i="3" s="1"/>
  <c r="AQ98" i="3"/>
  <c r="AC98" i="3"/>
  <c r="AI98" i="3" s="1"/>
  <c r="X98" i="3"/>
  <c r="AA98" i="3" s="1"/>
  <c r="W98" i="3"/>
  <c r="Z98" i="3" s="1"/>
  <c r="AQ97" i="3"/>
  <c r="AC97" i="3"/>
  <c r="AI97" i="3" s="1"/>
  <c r="X97" i="3"/>
  <c r="AA97" i="3" s="1"/>
  <c r="W97" i="3"/>
  <c r="Z97" i="3" s="1"/>
  <c r="AQ96" i="3"/>
  <c r="AC96" i="3"/>
  <c r="AI96" i="3" s="1"/>
  <c r="X96" i="3"/>
  <c r="AA96" i="3" s="1"/>
  <c r="W96" i="3"/>
  <c r="Z96" i="3" s="1"/>
  <c r="AQ95" i="3"/>
  <c r="AI95" i="3"/>
  <c r="AH95" i="3"/>
  <c r="X95" i="3"/>
  <c r="AA95" i="3" s="1"/>
  <c r="W95" i="3"/>
  <c r="Z95" i="3" s="1"/>
  <c r="AQ94" i="3"/>
  <c r="AC94" i="3"/>
  <c r="AI94" i="3" s="1"/>
  <c r="X94" i="3"/>
  <c r="AA94" i="3" s="1"/>
  <c r="W94" i="3"/>
  <c r="Z94" i="3" s="1"/>
  <c r="AQ93" i="3"/>
  <c r="AC93" i="3"/>
  <c r="AI93" i="3" s="1"/>
  <c r="X93" i="3"/>
  <c r="AA93" i="3" s="1"/>
  <c r="W93" i="3"/>
  <c r="Z93" i="3" s="1"/>
  <c r="AQ92" i="3"/>
  <c r="AC92" i="3"/>
  <c r="AH92" i="3" s="1"/>
  <c r="X92" i="3"/>
  <c r="AA92" i="3" s="1"/>
  <c r="W92" i="3"/>
  <c r="Z92" i="3" s="1"/>
  <c r="AQ91" i="3"/>
  <c r="AC91" i="3"/>
  <c r="AI91" i="3" s="1"/>
  <c r="X91" i="3"/>
  <c r="AA91" i="3" s="1"/>
  <c r="W91" i="3"/>
  <c r="Z91" i="3" s="1"/>
  <c r="AQ90" i="3"/>
  <c r="AC90" i="3"/>
  <c r="AH90" i="3" s="1"/>
  <c r="X90" i="3"/>
  <c r="AA90" i="3" s="1"/>
  <c r="W90" i="3"/>
  <c r="Z90" i="3" s="1"/>
  <c r="AQ88" i="3"/>
  <c r="AI88" i="3"/>
  <c r="AH88" i="3"/>
  <c r="X88" i="3"/>
  <c r="AA88" i="3" s="1"/>
  <c r="W88" i="3"/>
  <c r="Z88" i="3" s="1"/>
  <c r="AQ87" i="3"/>
  <c r="AI87" i="3"/>
  <c r="AH87" i="3"/>
  <c r="X87" i="3"/>
  <c r="AA87" i="3" s="1"/>
  <c r="W87" i="3"/>
  <c r="Z87" i="3" s="1"/>
  <c r="AQ86" i="3"/>
  <c r="AI86" i="3"/>
  <c r="AH86" i="3"/>
  <c r="X86" i="3"/>
  <c r="AA86" i="3" s="1"/>
  <c r="W86" i="3"/>
  <c r="Z86" i="3" s="1"/>
  <c r="AQ80" i="3"/>
  <c r="AI80" i="3"/>
  <c r="AH80" i="3"/>
  <c r="X80" i="3"/>
  <c r="AA80" i="3" s="1"/>
  <c r="W80" i="3"/>
  <c r="Z80" i="3" s="1"/>
  <c r="AQ81" i="3"/>
  <c r="X81" i="3"/>
  <c r="AA81" i="3" s="1"/>
  <c r="W81" i="3"/>
  <c r="Z81" i="3" s="1"/>
  <c r="AQ78" i="3"/>
  <c r="AI78" i="3"/>
  <c r="AH78" i="3"/>
  <c r="X78" i="3"/>
  <c r="AA78" i="3" s="1"/>
  <c r="W78" i="3"/>
  <c r="Z78" i="3" s="1"/>
  <c r="AQ77" i="3"/>
  <c r="AI77" i="3"/>
  <c r="AH77" i="3"/>
  <c r="X77" i="3"/>
  <c r="AA77" i="3" s="1"/>
  <c r="W77" i="3"/>
  <c r="Z77" i="3" s="1"/>
  <c r="AQ76" i="3"/>
  <c r="AI76" i="3"/>
  <c r="AH76" i="3"/>
  <c r="X76" i="3"/>
  <c r="AA76" i="3" s="1"/>
  <c r="W76" i="3"/>
  <c r="Z76" i="3" s="1"/>
  <c r="AQ75" i="3"/>
  <c r="X75" i="3"/>
  <c r="AA75" i="3" s="1"/>
  <c r="W75" i="3"/>
  <c r="Z75" i="3" s="1"/>
  <c r="AQ72" i="3"/>
  <c r="AI72" i="3"/>
  <c r="AH72" i="3"/>
  <c r="X72" i="3"/>
  <c r="AA72" i="3" s="1"/>
  <c r="W72" i="3"/>
  <c r="Z72" i="3" s="1"/>
  <c r="AQ71" i="3"/>
  <c r="AI71" i="3"/>
  <c r="AH71" i="3"/>
  <c r="X71" i="3"/>
  <c r="AA71" i="3" s="1"/>
  <c r="W71" i="3"/>
  <c r="Z71" i="3" s="1"/>
  <c r="AQ69" i="3"/>
  <c r="X69" i="3"/>
  <c r="AA69" i="3" s="1"/>
  <c r="W69" i="3"/>
  <c r="Z69" i="3" s="1"/>
  <c r="AQ68" i="3"/>
  <c r="X68" i="3"/>
  <c r="AA68" i="3" s="1"/>
  <c r="W68" i="3"/>
  <c r="Z68" i="3" s="1"/>
  <c r="AQ67" i="3"/>
  <c r="X67" i="3"/>
  <c r="AA67" i="3" s="1"/>
  <c r="W67" i="3"/>
  <c r="Z67" i="3" s="1"/>
  <c r="AQ66" i="3"/>
  <c r="X66" i="3"/>
  <c r="AA66" i="3" s="1"/>
  <c r="W66" i="3"/>
  <c r="Z66" i="3" s="1"/>
  <c r="AQ65" i="3"/>
  <c r="X65" i="3"/>
  <c r="AA65" i="3" s="1"/>
  <c r="W65" i="3"/>
  <c r="Z65" i="3" s="1"/>
  <c r="AQ64" i="3"/>
  <c r="X64" i="3"/>
  <c r="AA64" i="3" s="1"/>
  <c r="W64" i="3"/>
  <c r="Z64" i="3" s="1"/>
  <c r="AQ63" i="3"/>
  <c r="X63" i="3"/>
  <c r="AA63" i="3" s="1"/>
  <c r="W63" i="3"/>
  <c r="Z63" i="3" s="1"/>
  <c r="AQ60" i="3"/>
  <c r="X60" i="3"/>
  <c r="AA60" i="3" s="1"/>
  <c r="W60" i="3"/>
  <c r="Z60" i="3" s="1"/>
  <c r="AQ59" i="3"/>
  <c r="X59" i="3"/>
  <c r="AA59" i="3" s="1"/>
  <c r="W59" i="3"/>
  <c r="Z59" i="3" s="1"/>
  <c r="AQ58" i="3"/>
  <c r="X58" i="3"/>
  <c r="AA58" i="3" s="1"/>
  <c r="W58" i="3"/>
  <c r="Z58" i="3" s="1"/>
  <c r="AQ55" i="3"/>
  <c r="X55" i="3"/>
  <c r="AA55" i="3" s="1"/>
  <c r="W55" i="3"/>
  <c r="Z55" i="3" s="1"/>
  <c r="AQ53" i="3"/>
  <c r="X53" i="3"/>
  <c r="AA53" i="3" s="1"/>
  <c r="W53" i="3"/>
  <c r="Z53" i="3" s="1"/>
  <c r="AQ52" i="3"/>
  <c r="X52" i="3"/>
  <c r="AA52" i="3" s="1"/>
  <c r="W52" i="3"/>
  <c r="Z52" i="3" s="1"/>
  <c r="AQ50" i="3"/>
  <c r="X50" i="3"/>
  <c r="AA50" i="3" s="1"/>
  <c r="W50" i="3"/>
  <c r="Z50" i="3" s="1"/>
  <c r="AQ46" i="3"/>
  <c r="X46" i="3"/>
  <c r="AA46" i="3" s="1"/>
  <c r="W46" i="3"/>
  <c r="Z46" i="3" s="1"/>
  <c r="AQ27" i="3"/>
  <c r="AI27" i="3"/>
  <c r="AH27" i="3"/>
  <c r="Y27" i="3"/>
  <c r="V12" i="1" s="1"/>
  <c r="X27" i="3"/>
  <c r="Q12" i="1" s="1"/>
  <c r="W27" i="3"/>
  <c r="M12" i="1" s="1"/>
  <c r="AQ45" i="3"/>
  <c r="X45" i="3"/>
  <c r="AA45" i="3" s="1"/>
  <c r="W45" i="3"/>
  <c r="Z45" i="3" s="1"/>
  <c r="AQ44" i="3"/>
  <c r="X44" i="3"/>
  <c r="AA44" i="3" s="1"/>
  <c r="W44" i="3"/>
  <c r="Z44" i="3" s="1"/>
  <c r="AQ41" i="3"/>
  <c r="X41" i="3"/>
  <c r="AA41" i="3" s="1"/>
  <c r="W41" i="3"/>
  <c r="Z41" i="3" s="1"/>
  <c r="AQ39" i="3"/>
  <c r="X39" i="3"/>
  <c r="AA39" i="3" s="1"/>
  <c r="W39" i="3"/>
  <c r="Z39" i="3" s="1"/>
  <c r="AQ38" i="3"/>
  <c r="X38" i="3"/>
  <c r="AA38" i="3" s="1"/>
  <c r="W38" i="3"/>
  <c r="Z38" i="3" s="1"/>
  <c r="AQ37" i="3"/>
  <c r="X37" i="3"/>
  <c r="AA37" i="3" s="1"/>
  <c r="W37" i="3"/>
  <c r="Z37" i="3" s="1"/>
  <c r="AQ35" i="3"/>
  <c r="AI35" i="3"/>
  <c r="AH35" i="3"/>
  <c r="X35" i="3"/>
  <c r="AA35" i="3" s="1"/>
  <c r="W35" i="3"/>
  <c r="Z35" i="3" s="1"/>
  <c r="AQ33" i="3"/>
  <c r="AI33" i="3"/>
  <c r="AH33" i="3"/>
  <c r="X33" i="3"/>
  <c r="AA33" i="3" s="1"/>
  <c r="W33" i="3"/>
  <c r="Z33" i="3" s="1"/>
  <c r="AQ32" i="3"/>
  <c r="AI32" i="3"/>
  <c r="AH32" i="3"/>
  <c r="X32" i="3"/>
  <c r="AA32" i="3" s="1"/>
  <c r="W32" i="3"/>
  <c r="Z32" i="3" s="1"/>
  <c r="AQ31" i="3"/>
  <c r="X31" i="3"/>
  <c r="AA31" i="3" s="1"/>
  <c r="W31" i="3"/>
  <c r="Z31" i="3" s="1"/>
  <c r="AQ30" i="3"/>
  <c r="AI30" i="3"/>
  <c r="AH30" i="3"/>
  <c r="X30" i="3"/>
  <c r="AA30" i="3" s="1"/>
  <c r="W30" i="3"/>
  <c r="Z30" i="3" s="1"/>
  <c r="AQ21" i="3"/>
  <c r="AI21" i="3"/>
  <c r="AH21" i="3"/>
  <c r="X21" i="3"/>
  <c r="AA21" i="3" s="1"/>
  <c r="W21" i="3"/>
  <c r="Z21" i="3" s="1"/>
  <c r="AQ23" i="3"/>
  <c r="AI23" i="3"/>
  <c r="AH23" i="3"/>
  <c r="X23" i="3"/>
  <c r="AA23" i="3" s="1"/>
  <c r="W23" i="3"/>
  <c r="Z23" i="3" s="1"/>
  <c r="AQ22" i="3"/>
  <c r="AI22" i="3"/>
  <c r="AH22" i="3"/>
  <c r="X22" i="3"/>
  <c r="AA22" i="3" s="1"/>
  <c r="W22" i="3"/>
  <c r="Z22" i="3" s="1"/>
  <c r="AQ19" i="3"/>
  <c r="AI19" i="3"/>
  <c r="AH19" i="3"/>
  <c r="X19" i="3"/>
  <c r="AA19" i="3" s="1"/>
  <c r="W19" i="3"/>
  <c r="Z19" i="3" s="1"/>
  <c r="AQ18" i="3"/>
  <c r="AI18" i="3"/>
  <c r="AH18" i="3"/>
  <c r="X18" i="3"/>
  <c r="AA18" i="3" s="1"/>
  <c r="W18" i="3"/>
  <c r="Z18" i="3" s="1"/>
  <c r="AQ17" i="3"/>
  <c r="AI17" i="3"/>
  <c r="AH17" i="3"/>
  <c r="X17" i="3"/>
  <c r="AA17" i="3" s="1"/>
  <c r="W17" i="3"/>
  <c r="Z17" i="3" s="1"/>
  <c r="AQ16" i="3"/>
  <c r="AI16" i="3"/>
  <c r="AH16" i="3"/>
  <c r="X16" i="3"/>
  <c r="AA16" i="3" s="1"/>
  <c r="W16" i="3"/>
  <c r="Z16" i="3" s="1"/>
  <c r="AQ15" i="3"/>
  <c r="AI15" i="3"/>
  <c r="AH15" i="3"/>
  <c r="X15" i="3"/>
  <c r="AA15" i="3" s="1"/>
  <c r="W15" i="3"/>
  <c r="Z15" i="3" s="1"/>
  <c r="AQ14" i="3"/>
  <c r="AI14" i="3"/>
  <c r="AH14" i="3"/>
  <c r="X14" i="3"/>
  <c r="AA14" i="3" s="1"/>
  <c r="W14" i="3"/>
  <c r="Z14" i="3" s="1"/>
  <c r="AQ13" i="3"/>
  <c r="X13" i="3"/>
  <c r="AA13" i="3" s="1"/>
  <c r="W13" i="3"/>
  <c r="Z13" i="3" s="1"/>
  <c r="AQ12" i="3"/>
  <c r="AI12" i="3"/>
  <c r="AH12" i="3"/>
  <c r="X12" i="3"/>
  <c r="AA12" i="3" s="1"/>
  <c r="W12" i="3"/>
  <c r="Z12" i="3" s="1"/>
  <c r="AQ11" i="3"/>
  <c r="AI11" i="3"/>
  <c r="AH11" i="3"/>
  <c r="X11" i="3"/>
  <c r="AA11" i="3" s="1"/>
  <c r="W11" i="3"/>
  <c r="Z11" i="3" s="1"/>
  <c r="AQ8" i="3"/>
  <c r="AI8" i="3"/>
  <c r="AH8" i="3"/>
  <c r="Y8" i="3"/>
  <c r="W5" i="1" s="1"/>
  <c r="X8" i="3"/>
  <c r="O5" i="1" s="1"/>
  <c r="W8" i="3"/>
  <c r="K5" i="1" s="1"/>
  <c r="AQ5" i="3"/>
  <c r="AI5" i="3"/>
  <c r="AH5" i="3"/>
  <c r="X5" i="3"/>
  <c r="AA5" i="3" s="1"/>
  <c r="W5" i="3"/>
  <c r="Z5" i="3" s="1"/>
  <c r="AQ4" i="3"/>
  <c r="AI4" i="3"/>
  <c r="AH4" i="3"/>
  <c r="X4" i="3"/>
  <c r="AA4" i="3" s="1"/>
  <c r="W4" i="3"/>
  <c r="Z4" i="3" s="1"/>
  <c r="AQ3" i="3"/>
  <c r="AI3" i="3"/>
  <c r="AH3" i="3"/>
  <c r="X3" i="3"/>
  <c r="AA3" i="3" s="1"/>
  <c r="W3" i="3"/>
  <c r="Z3" i="3" s="1"/>
  <c r="AQ2" i="3"/>
  <c r="AI2" i="3"/>
  <c r="AH2" i="3"/>
  <c r="X2" i="3"/>
  <c r="AA2" i="3" s="1"/>
  <c r="W2" i="3"/>
  <c r="Z2" i="3" s="1"/>
  <c r="M95" i="10" l="1"/>
  <c r="I95" i="10"/>
  <c r="L95" i="10"/>
  <c r="K95" i="10"/>
  <c r="J95" i="10"/>
  <c r="J94" i="10"/>
  <c r="M94" i="10"/>
  <c r="I94" i="10"/>
  <c r="L94" i="10"/>
  <c r="K94" i="10"/>
  <c r="L88" i="10"/>
  <c r="K88" i="10"/>
  <c r="J88" i="10"/>
  <c r="M88" i="10"/>
  <c r="I88" i="10"/>
  <c r="L111" i="10"/>
  <c r="K111" i="10"/>
  <c r="J111" i="10"/>
  <c r="M111" i="10"/>
  <c r="I111" i="10"/>
  <c r="L107" i="10"/>
  <c r="K107" i="10"/>
  <c r="J107" i="10"/>
  <c r="M107" i="10"/>
  <c r="I107" i="10"/>
  <c r="L100" i="10"/>
  <c r="K100" i="10"/>
  <c r="J100" i="10"/>
  <c r="M100" i="10"/>
  <c r="I100" i="10"/>
  <c r="L96" i="10"/>
  <c r="K96" i="10"/>
  <c r="J96" i="10"/>
  <c r="M96" i="10"/>
  <c r="I96" i="10"/>
  <c r="M89" i="10"/>
  <c r="I89" i="10"/>
  <c r="L89" i="10"/>
  <c r="K89" i="10"/>
  <c r="J89" i="10"/>
  <c r="L112" i="10"/>
  <c r="K112" i="10"/>
  <c r="J112" i="10"/>
  <c r="M112" i="10"/>
  <c r="I112" i="10"/>
  <c r="L109" i="10"/>
  <c r="K109" i="10"/>
  <c r="J109" i="10"/>
  <c r="M109" i="10"/>
  <c r="I109" i="10"/>
  <c r="L105" i="10"/>
  <c r="K105" i="10"/>
  <c r="J105" i="10"/>
  <c r="M105" i="10"/>
  <c r="I105" i="10"/>
  <c r="L97" i="10"/>
  <c r="K97" i="10"/>
  <c r="J97" i="10"/>
  <c r="M97" i="10"/>
  <c r="I97" i="10"/>
  <c r="I40" i="10"/>
  <c r="L40" i="10"/>
  <c r="J92" i="10"/>
  <c r="M92" i="10"/>
  <c r="I92" i="10"/>
  <c r="L92" i="10"/>
  <c r="K92" i="10"/>
  <c r="K87" i="10"/>
  <c r="J87" i="10"/>
  <c r="M87" i="10"/>
  <c r="I87" i="10"/>
  <c r="L87" i="10"/>
  <c r="L110" i="10"/>
  <c r="K110" i="10"/>
  <c r="J110" i="10"/>
  <c r="M110" i="10"/>
  <c r="I110" i="10"/>
  <c r="L106" i="10"/>
  <c r="K106" i="10"/>
  <c r="J106" i="10"/>
  <c r="M106" i="10"/>
  <c r="I106" i="10"/>
  <c r="L99" i="10"/>
  <c r="K99" i="10"/>
  <c r="J99" i="10"/>
  <c r="M99" i="10"/>
  <c r="I99" i="10"/>
  <c r="L64" i="10"/>
  <c r="J64" i="10"/>
  <c r="I64" i="10"/>
  <c r="M64" i="10"/>
  <c r="K64" i="10"/>
  <c r="L24" i="10"/>
  <c r="J24" i="10"/>
  <c r="I24" i="10"/>
  <c r="M24" i="10"/>
  <c r="K24" i="10"/>
  <c r="L47" i="10"/>
  <c r="J47" i="10"/>
  <c r="M47" i="10"/>
  <c r="K47" i="10"/>
  <c r="I47" i="10"/>
  <c r="J72" i="10"/>
  <c r="L72" i="10"/>
  <c r="K72" i="10"/>
  <c r="I72" i="10"/>
  <c r="M72" i="10"/>
  <c r="L31" i="10"/>
  <c r="J31" i="10"/>
  <c r="M31" i="10"/>
  <c r="K31" i="10"/>
  <c r="I31" i="10"/>
  <c r="L35" i="10"/>
  <c r="J35" i="10"/>
  <c r="I35" i="10"/>
  <c r="M35" i="10"/>
  <c r="K35" i="10"/>
  <c r="K33" i="10"/>
  <c r="M33" i="10"/>
  <c r="I33" i="10"/>
  <c r="L33" i="10"/>
  <c r="J33" i="10"/>
  <c r="M17" i="10"/>
  <c r="I17" i="10"/>
  <c r="L17" i="10"/>
  <c r="K17" i="10"/>
  <c r="J17" i="10"/>
  <c r="M57" i="10"/>
  <c r="I57" i="10"/>
  <c r="K57" i="10"/>
  <c r="J57" i="10"/>
  <c r="L57" i="10"/>
  <c r="L80" i="10"/>
  <c r="J80" i="10"/>
  <c r="M80" i="10"/>
  <c r="K80" i="10"/>
  <c r="I80" i="10"/>
  <c r="L52" i="10"/>
  <c r="J52" i="10"/>
  <c r="I52" i="10"/>
  <c r="M52" i="10"/>
  <c r="K52" i="10"/>
  <c r="J20" i="10"/>
  <c r="M20" i="10"/>
  <c r="I20" i="10"/>
  <c r="L20" i="10"/>
  <c r="K20" i="10"/>
  <c r="J45" i="10"/>
  <c r="L45" i="10"/>
  <c r="M45" i="10"/>
  <c r="K45" i="10"/>
  <c r="I45" i="10"/>
  <c r="M9" i="10"/>
  <c r="I9" i="10"/>
  <c r="L9" i="10"/>
  <c r="K9" i="10"/>
  <c r="J9" i="10"/>
  <c r="M42" i="10"/>
  <c r="I42" i="10"/>
  <c r="K42" i="10"/>
  <c r="L42" i="10"/>
  <c r="J42" i="10"/>
  <c r="M46" i="10"/>
  <c r="I46" i="10"/>
  <c r="K46" i="10"/>
  <c r="J46" i="10"/>
  <c r="L46" i="10"/>
  <c r="M23" i="10"/>
  <c r="K23" i="10"/>
  <c r="L23" i="10"/>
  <c r="J23" i="10"/>
  <c r="I23" i="10"/>
  <c r="M21" i="10"/>
  <c r="I21" i="10"/>
  <c r="L21" i="10"/>
  <c r="K21" i="10"/>
  <c r="J21" i="10"/>
  <c r="K65" i="10"/>
  <c r="M65" i="10"/>
  <c r="I65" i="10"/>
  <c r="L65" i="10"/>
  <c r="J65" i="10"/>
  <c r="M13" i="10"/>
  <c r="I13" i="10"/>
  <c r="L13" i="10"/>
  <c r="K13" i="10"/>
  <c r="J13" i="10"/>
  <c r="K77" i="10"/>
  <c r="M77" i="10"/>
  <c r="I77" i="10"/>
  <c r="L77" i="10"/>
  <c r="J77" i="10"/>
  <c r="J40" i="10"/>
  <c r="K40" i="10"/>
  <c r="M68" i="10"/>
  <c r="I68" i="10"/>
  <c r="K68" i="10"/>
  <c r="J68" i="10"/>
  <c r="L68" i="10"/>
  <c r="K11" i="10"/>
  <c r="J11" i="10"/>
  <c r="M11" i="10"/>
  <c r="L11" i="10"/>
  <c r="I11" i="10"/>
  <c r="M83" i="10"/>
  <c r="I83" i="10"/>
  <c r="K83" i="10"/>
  <c r="L83" i="10"/>
  <c r="J83" i="10"/>
  <c r="L18" i="10"/>
  <c r="K18" i="10"/>
  <c r="J18" i="10"/>
  <c r="I18" i="10"/>
  <c r="M18" i="10"/>
  <c r="L84" i="10"/>
  <c r="J84" i="10"/>
  <c r="K84" i="10"/>
  <c r="I84" i="10"/>
  <c r="M84" i="10"/>
  <c r="M75" i="10"/>
  <c r="I75" i="10"/>
  <c r="K75" i="10"/>
  <c r="L75" i="10"/>
  <c r="J75" i="10"/>
  <c r="I32" i="10"/>
  <c r="L32" i="10"/>
  <c r="J32" i="10"/>
  <c r="M32" i="10"/>
  <c r="K32" i="10"/>
  <c r="L76" i="10"/>
  <c r="J76" i="10"/>
  <c r="I76" i="10"/>
  <c r="M76" i="10"/>
  <c r="K76" i="10"/>
  <c r="K53" i="10"/>
  <c r="M53" i="10"/>
  <c r="I53" i="10"/>
  <c r="L53" i="10"/>
  <c r="J53" i="10"/>
  <c r="J16" i="10"/>
  <c r="M16" i="10"/>
  <c r="I16" i="10"/>
  <c r="L16" i="10"/>
  <c r="K16" i="10"/>
  <c r="L5" i="10"/>
  <c r="K5" i="10"/>
  <c r="M5" i="10"/>
  <c r="J5" i="10"/>
  <c r="I5" i="10"/>
  <c r="K15" i="10"/>
  <c r="J15" i="10"/>
  <c r="I15" i="10"/>
  <c r="M15" i="10"/>
  <c r="L15" i="10"/>
  <c r="K19" i="10"/>
  <c r="J19" i="10"/>
  <c r="M19" i="10"/>
  <c r="L19" i="10"/>
  <c r="I19" i="10"/>
  <c r="L14" i="10"/>
  <c r="K14" i="10"/>
  <c r="M14" i="10"/>
  <c r="J14" i="10"/>
  <c r="I14" i="10"/>
  <c r="J37" i="10"/>
  <c r="L37" i="10"/>
  <c r="M37" i="10"/>
  <c r="K37" i="10"/>
  <c r="I37" i="10"/>
  <c r="K71" i="10"/>
  <c r="M71" i="10"/>
  <c r="I71" i="10"/>
  <c r="L71" i="10"/>
  <c r="J71" i="10"/>
  <c r="M30" i="10"/>
  <c r="I30" i="10"/>
  <c r="K30" i="10"/>
  <c r="J30" i="10"/>
  <c r="L30" i="10"/>
  <c r="L70" i="10"/>
  <c r="J70" i="10"/>
  <c r="M70" i="10"/>
  <c r="K70" i="10"/>
  <c r="I70" i="10"/>
  <c r="J54" i="10"/>
  <c r="L54" i="10"/>
  <c r="M54" i="10"/>
  <c r="K54" i="10"/>
  <c r="I54" i="10"/>
  <c r="M38" i="10"/>
  <c r="I38" i="10"/>
  <c r="K38" i="10"/>
  <c r="J38" i="10"/>
  <c r="L38" i="10"/>
  <c r="L58" i="10"/>
  <c r="J58" i="10"/>
  <c r="M58" i="10"/>
  <c r="K58" i="10"/>
  <c r="I58" i="10"/>
  <c r="M79" i="10"/>
  <c r="I79" i="10"/>
  <c r="K79" i="10"/>
  <c r="J79" i="10"/>
  <c r="L79" i="10"/>
  <c r="M62" i="10"/>
  <c r="I62" i="10"/>
  <c r="K62" i="10"/>
  <c r="L62" i="10"/>
  <c r="J62" i="10"/>
  <c r="K6" i="10"/>
  <c r="J6" i="10"/>
  <c r="I6" i="10"/>
  <c r="M6" i="10"/>
  <c r="L6" i="10"/>
  <c r="M51" i="10"/>
  <c r="I51" i="10"/>
  <c r="K51" i="10"/>
  <c r="L51" i="10"/>
  <c r="J51" i="10"/>
  <c r="L10" i="10"/>
  <c r="K10" i="10"/>
  <c r="J10" i="10"/>
  <c r="I10" i="10"/>
  <c r="M10" i="10"/>
  <c r="L49" i="10"/>
  <c r="I49" i="10"/>
  <c r="J49" i="10"/>
  <c r="M49" i="10"/>
  <c r="K49" i="10"/>
  <c r="J34" i="10"/>
  <c r="L34" i="10"/>
  <c r="M34" i="10"/>
  <c r="K34" i="10"/>
  <c r="I34" i="10"/>
  <c r="L184" i="8"/>
  <c r="K184" i="8"/>
  <c r="J184" i="8"/>
  <c r="M184" i="8"/>
  <c r="I184" i="8"/>
  <c r="L181" i="8"/>
  <c r="K181" i="8"/>
  <c r="J181" i="8"/>
  <c r="M181" i="8"/>
  <c r="I181" i="8"/>
  <c r="L178" i="8"/>
  <c r="K178" i="8"/>
  <c r="J178" i="8"/>
  <c r="M178" i="8"/>
  <c r="I178" i="8"/>
  <c r="L186" i="8"/>
  <c r="K186" i="8"/>
  <c r="J186" i="8"/>
  <c r="M186" i="8"/>
  <c r="I186" i="8"/>
  <c r="L176" i="8"/>
  <c r="K176" i="8"/>
  <c r="J176" i="8"/>
  <c r="M176" i="8"/>
  <c r="I176" i="8"/>
  <c r="L185" i="8"/>
  <c r="K185" i="8"/>
  <c r="J185" i="8"/>
  <c r="M185" i="8"/>
  <c r="I185" i="8"/>
  <c r="L182" i="8"/>
  <c r="K182" i="8"/>
  <c r="J182" i="8"/>
  <c r="M182" i="8"/>
  <c r="I182" i="8"/>
  <c r="M183" i="8"/>
  <c r="I183" i="8"/>
  <c r="L183" i="8"/>
  <c r="K183" i="8"/>
  <c r="J183" i="8"/>
  <c r="J63" i="8"/>
  <c r="L177" i="8"/>
  <c r="K177" i="8"/>
  <c r="J177" i="8"/>
  <c r="M177" i="8"/>
  <c r="I177" i="8"/>
  <c r="L191" i="8"/>
  <c r="K191" i="8"/>
  <c r="J191" i="8"/>
  <c r="M191" i="8"/>
  <c r="I191" i="8"/>
  <c r="K63" i="8"/>
  <c r="L189" i="8"/>
  <c r="K189" i="8"/>
  <c r="J189" i="8"/>
  <c r="M189" i="8"/>
  <c r="I189" i="8"/>
  <c r="L188" i="8"/>
  <c r="K188" i="8"/>
  <c r="J188" i="8"/>
  <c r="M188" i="8"/>
  <c r="I188" i="8"/>
  <c r="L175" i="8"/>
  <c r="K175" i="8"/>
  <c r="J175" i="8"/>
  <c r="M175" i="8"/>
  <c r="I175" i="8"/>
  <c r="L173" i="8"/>
  <c r="K173" i="8"/>
  <c r="J173" i="8"/>
  <c r="M173" i="8"/>
  <c r="I173" i="8"/>
  <c r="M53" i="8"/>
  <c r="L171" i="8"/>
  <c r="M171" i="8"/>
  <c r="K171" i="8"/>
  <c r="J171" i="8"/>
  <c r="I171" i="8"/>
  <c r="M166" i="8"/>
  <c r="I166" i="8"/>
  <c r="L166" i="8"/>
  <c r="K166" i="8"/>
  <c r="J166" i="8"/>
  <c r="K53" i="8"/>
  <c r="M164" i="8"/>
  <c r="I164" i="8"/>
  <c r="L164" i="8"/>
  <c r="K164" i="8"/>
  <c r="J164" i="8"/>
  <c r="J168" i="8"/>
  <c r="M168" i="8"/>
  <c r="I168" i="8"/>
  <c r="L168" i="8"/>
  <c r="K168" i="8"/>
  <c r="M162" i="8"/>
  <c r="I162" i="8"/>
  <c r="L162" i="8"/>
  <c r="K162" i="8"/>
  <c r="J162" i="8"/>
  <c r="M161" i="8"/>
  <c r="I161" i="8"/>
  <c r="L161" i="8"/>
  <c r="K161" i="8"/>
  <c r="J161" i="8"/>
  <c r="BH44" i="9"/>
  <c r="BH46" i="9"/>
  <c r="L53" i="8"/>
  <c r="M167" i="8"/>
  <c r="I167" i="8"/>
  <c r="L167" i="8"/>
  <c r="K167" i="8"/>
  <c r="J167" i="8"/>
  <c r="L155" i="8"/>
  <c r="K155" i="8"/>
  <c r="J155" i="8"/>
  <c r="M155" i="8"/>
  <c r="I155" i="8"/>
  <c r="L63" i="8"/>
  <c r="M63" i="8"/>
  <c r="M15" i="8"/>
  <c r="BH41" i="9"/>
  <c r="BH53" i="9"/>
  <c r="BH31" i="9"/>
  <c r="BH42" i="9"/>
  <c r="BH54" i="9"/>
  <c r="J53" i="8"/>
  <c r="I15" i="8"/>
  <c r="L150" i="8"/>
  <c r="K150" i="8"/>
  <c r="J150" i="8"/>
  <c r="M150" i="8"/>
  <c r="I150" i="8"/>
  <c r="L137" i="8"/>
  <c r="K137" i="8"/>
  <c r="J137" i="8"/>
  <c r="M137" i="8"/>
  <c r="I137" i="8"/>
  <c r="L151" i="8"/>
  <c r="K151" i="8"/>
  <c r="J151" i="8"/>
  <c r="M151" i="8"/>
  <c r="I151" i="8"/>
  <c r="L131" i="8"/>
  <c r="K131" i="8"/>
  <c r="J131" i="8"/>
  <c r="M131" i="8"/>
  <c r="I131" i="8"/>
  <c r="L132" i="8"/>
  <c r="K132" i="8"/>
  <c r="J132" i="8"/>
  <c r="M132" i="8"/>
  <c r="I132" i="8"/>
  <c r="L144" i="8"/>
  <c r="K144" i="8"/>
  <c r="J144" i="8"/>
  <c r="M144" i="8"/>
  <c r="I144" i="8"/>
  <c r="L15" i="8"/>
  <c r="L134" i="8"/>
  <c r="K134" i="8"/>
  <c r="J134" i="8"/>
  <c r="M134" i="8"/>
  <c r="I134" i="8"/>
  <c r="J78" i="8"/>
  <c r="I78" i="8"/>
  <c r="L148" i="8"/>
  <c r="K148" i="8"/>
  <c r="J148" i="8"/>
  <c r="M148" i="8"/>
  <c r="I148" i="8"/>
  <c r="L152" i="8"/>
  <c r="K152" i="8"/>
  <c r="J152" i="8"/>
  <c r="M152" i="8"/>
  <c r="I152" i="8"/>
  <c r="L116" i="8"/>
  <c r="K116" i="8"/>
  <c r="J116" i="8"/>
  <c r="M116" i="8"/>
  <c r="I116" i="8"/>
  <c r="L129" i="8"/>
  <c r="K129" i="8"/>
  <c r="J129" i="8"/>
  <c r="M129" i="8"/>
  <c r="I129" i="8"/>
  <c r="L111" i="8"/>
  <c r="K111" i="8"/>
  <c r="J111" i="8"/>
  <c r="M111" i="8"/>
  <c r="I111" i="8"/>
  <c r="L126" i="8"/>
  <c r="K126" i="8"/>
  <c r="J126" i="8"/>
  <c r="M126" i="8"/>
  <c r="I126" i="8"/>
  <c r="L101" i="8"/>
  <c r="K101" i="8"/>
  <c r="J101" i="8"/>
  <c r="M101" i="8"/>
  <c r="I101" i="8"/>
  <c r="M123" i="8"/>
  <c r="L96" i="8"/>
  <c r="K96" i="8"/>
  <c r="J96" i="8"/>
  <c r="M96" i="8"/>
  <c r="I96" i="8"/>
  <c r="L117" i="8"/>
  <c r="K117" i="8"/>
  <c r="J117" i="8"/>
  <c r="M117" i="8"/>
  <c r="I117" i="8"/>
  <c r="L106" i="8"/>
  <c r="K106" i="8"/>
  <c r="J106" i="8"/>
  <c r="M106" i="8"/>
  <c r="I106" i="8"/>
  <c r="M124" i="8"/>
  <c r="I124" i="8"/>
  <c r="L124" i="8"/>
  <c r="K124" i="8"/>
  <c r="J124" i="8"/>
  <c r="L102" i="8"/>
  <c r="K102" i="8"/>
  <c r="J102" i="8"/>
  <c r="M102" i="8"/>
  <c r="I102" i="8"/>
  <c r="L94" i="8"/>
  <c r="K94" i="8"/>
  <c r="J94" i="8"/>
  <c r="M94" i="8"/>
  <c r="I94" i="8"/>
  <c r="L123" i="8"/>
  <c r="K123" i="8"/>
  <c r="J123" i="8"/>
  <c r="I123" i="8"/>
  <c r="L112" i="8"/>
  <c r="K112" i="8"/>
  <c r="J112" i="8"/>
  <c r="M112" i="8"/>
  <c r="I112" i="8"/>
  <c r="L127" i="8"/>
  <c r="K127" i="8"/>
  <c r="J127" i="8"/>
  <c r="M127" i="8"/>
  <c r="I127" i="8"/>
  <c r="L113" i="8"/>
  <c r="K113" i="8"/>
  <c r="J113" i="8"/>
  <c r="M113" i="8"/>
  <c r="I113" i="8"/>
  <c r="L128" i="8"/>
  <c r="K128" i="8"/>
  <c r="J128" i="8"/>
  <c r="M128" i="8"/>
  <c r="I128" i="8"/>
  <c r="L109" i="8"/>
  <c r="K109" i="8"/>
  <c r="J109" i="8"/>
  <c r="M109" i="8"/>
  <c r="I109" i="8"/>
  <c r="L99" i="8"/>
  <c r="K99" i="8"/>
  <c r="J99" i="8"/>
  <c r="M99" i="8"/>
  <c r="I99" i="8"/>
  <c r="L95" i="8"/>
  <c r="K95" i="8"/>
  <c r="J95" i="8"/>
  <c r="M95" i="8"/>
  <c r="I95" i="8"/>
  <c r="L122" i="8"/>
  <c r="K122" i="8"/>
  <c r="J122" i="8"/>
  <c r="M122" i="8"/>
  <c r="I122" i="8"/>
  <c r="BH34" i="9"/>
  <c r="L84" i="8"/>
  <c r="K84" i="8"/>
  <c r="J84" i="8"/>
  <c r="M84" i="8"/>
  <c r="I84" i="8"/>
  <c r="L83" i="8"/>
  <c r="K83" i="8"/>
  <c r="J83" i="8"/>
  <c r="M83" i="8"/>
  <c r="I83" i="8"/>
  <c r="L85" i="8"/>
  <c r="K85" i="8"/>
  <c r="J85" i="8"/>
  <c r="M85" i="8"/>
  <c r="I85" i="8"/>
  <c r="BH40" i="9"/>
  <c r="L87" i="8"/>
  <c r="K87" i="8"/>
  <c r="J87" i="8"/>
  <c r="M87" i="8"/>
  <c r="I87" i="8"/>
  <c r="L91" i="8"/>
  <c r="K91" i="8"/>
  <c r="J91" i="8"/>
  <c r="M91" i="8"/>
  <c r="I91" i="8"/>
  <c r="BH37" i="9"/>
  <c r="L77" i="8"/>
  <c r="K77" i="8"/>
  <c r="J77" i="8"/>
  <c r="M77" i="8"/>
  <c r="I77" i="8"/>
  <c r="L73" i="8"/>
  <c r="K73" i="8"/>
  <c r="J73" i="8"/>
  <c r="M73" i="8"/>
  <c r="I73" i="8"/>
  <c r="BH29" i="9"/>
  <c r="BH36" i="9"/>
  <c r="BH38" i="9"/>
  <c r="L74" i="8"/>
  <c r="K74" i="8"/>
  <c r="J74" i="8"/>
  <c r="M74" i="8"/>
  <c r="I74" i="8"/>
  <c r="L79" i="8"/>
  <c r="K79" i="8"/>
  <c r="J79" i="8"/>
  <c r="M79" i="8"/>
  <c r="I79" i="8"/>
  <c r="L81" i="8"/>
  <c r="K81" i="8"/>
  <c r="J81" i="8"/>
  <c r="M81" i="8"/>
  <c r="I81" i="8"/>
  <c r="L80" i="8"/>
  <c r="K80" i="8"/>
  <c r="J80" i="8"/>
  <c r="M80" i="8"/>
  <c r="I80" i="8"/>
  <c r="BH45" i="9"/>
  <c r="BH52" i="9"/>
  <c r="AA144" i="9"/>
  <c r="BH144" i="9"/>
  <c r="L71" i="8"/>
  <c r="K71" i="8"/>
  <c r="J71" i="8"/>
  <c r="M71" i="8"/>
  <c r="I71" i="8"/>
  <c r="BH30" i="9"/>
  <c r="BH32" i="9"/>
  <c r="BH35" i="9"/>
  <c r="BH39" i="9"/>
  <c r="BH48" i="9"/>
  <c r="BH51" i="9"/>
  <c r="BH55" i="9"/>
  <c r="M68" i="8"/>
  <c r="I68" i="8"/>
  <c r="L68" i="8"/>
  <c r="K68" i="8"/>
  <c r="J68" i="8"/>
  <c r="BH47" i="9"/>
  <c r="BH49" i="9"/>
  <c r="L72" i="8"/>
  <c r="K72" i="8"/>
  <c r="J72" i="8"/>
  <c r="M72" i="8"/>
  <c r="I72" i="8"/>
  <c r="J69" i="8"/>
  <c r="M69" i="8"/>
  <c r="I69" i="8"/>
  <c r="L69" i="8"/>
  <c r="K69" i="8"/>
  <c r="J55" i="8"/>
  <c r="L41" i="8"/>
  <c r="I64" i="8"/>
  <c r="M48" i="8"/>
  <c r="L55" i="8"/>
  <c r="I55" i="8"/>
  <c r="I41" i="8"/>
  <c r="M64" i="8"/>
  <c r="K50" i="8"/>
  <c r="I54" i="8"/>
  <c r="K55" i="8"/>
  <c r="J41" i="8"/>
  <c r="M41" i="8"/>
  <c r="J64" i="8"/>
  <c r="K4" i="8"/>
  <c r="I4" i="8"/>
  <c r="L57" i="8"/>
  <c r="L4" i="8"/>
  <c r="J4" i="8"/>
  <c r="I50" i="8"/>
  <c r="BH18" i="9"/>
  <c r="L14" i="8" s="1"/>
  <c r="I57" i="8"/>
  <c r="M54" i="8"/>
  <c r="AA24" i="9"/>
  <c r="BH24" i="9"/>
  <c r="AA39" i="9"/>
  <c r="AA48" i="9"/>
  <c r="J65" i="8"/>
  <c r="M65" i="8"/>
  <c r="I65" i="8"/>
  <c r="L65" i="8"/>
  <c r="K65" i="8"/>
  <c r="AA5" i="9"/>
  <c r="BH5" i="9"/>
  <c r="AA7" i="9"/>
  <c r="BH7" i="9"/>
  <c r="AA15" i="9"/>
  <c r="BH15" i="9"/>
  <c r="AA21" i="9"/>
  <c r="BH21" i="9"/>
  <c r="AA23" i="9"/>
  <c r="BH23" i="9"/>
  <c r="AA31" i="9"/>
  <c r="AA34" i="9"/>
  <c r="AA40" i="9"/>
  <c r="AA42" i="9"/>
  <c r="AA47" i="9"/>
  <c r="AA49" i="9"/>
  <c r="AA54" i="9"/>
  <c r="L58" i="8"/>
  <c r="K58" i="8"/>
  <c r="J58" i="8"/>
  <c r="I58" i="8"/>
  <c r="M58" i="8"/>
  <c r="K44" i="8"/>
  <c r="J44" i="8"/>
  <c r="M44" i="8"/>
  <c r="I44" i="8"/>
  <c r="L44" i="8"/>
  <c r="L49" i="8"/>
  <c r="K49" i="8"/>
  <c r="J49" i="8"/>
  <c r="M49" i="8"/>
  <c r="I49" i="8"/>
  <c r="L48" i="8"/>
  <c r="J57" i="8"/>
  <c r="M57" i="8"/>
  <c r="J54" i="8"/>
  <c r="M50" i="8"/>
  <c r="AA10" i="9"/>
  <c r="BH10" i="9"/>
  <c r="AA30" i="9"/>
  <c r="AA32" i="9"/>
  <c r="AA51" i="9"/>
  <c r="AA55" i="9"/>
  <c r="K51" i="8"/>
  <c r="J51" i="8"/>
  <c r="I51" i="8"/>
  <c r="M51" i="8"/>
  <c r="L51" i="8"/>
  <c r="K48" i="8"/>
  <c r="BH2" i="9"/>
  <c r="AA6" i="9"/>
  <c r="BH6" i="9"/>
  <c r="AA8" i="9"/>
  <c r="BH8" i="9"/>
  <c r="AA16" i="9"/>
  <c r="BH16" i="9"/>
  <c r="AA20" i="9"/>
  <c r="BH20" i="9"/>
  <c r="AA22" i="9"/>
  <c r="BH22" i="9"/>
  <c r="AA27" i="9"/>
  <c r="BH27" i="9"/>
  <c r="AA37" i="9"/>
  <c r="AA41" i="9"/>
  <c r="AA44" i="9"/>
  <c r="AA46" i="9"/>
  <c r="AA53" i="9"/>
  <c r="AA13" i="9"/>
  <c r="BH13" i="9"/>
  <c r="K59" i="8"/>
  <c r="J59" i="8"/>
  <c r="M59" i="8"/>
  <c r="I59" i="8"/>
  <c r="L59" i="8"/>
  <c r="K46" i="8"/>
  <c r="J46" i="8"/>
  <c r="M46" i="8"/>
  <c r="I46" i="8"/>
  <c r="L46" i="8"/>
  <c r="I48" i="8"/>
  <c r="M52" i="8"/>
  <c r="I52" i="8"/>
  <c r="L52" i="8"/>
  <c r="K52" i="8"/>
  <c r="J52" i="8"/>
  <c r="J48" i="8"/>
  <c r="K57" i="8"/>
  <c r="L54" i="8"/>
  <c r="K54" i="8"/>
  <c r="J50" i="8"/>
  <c r="AA4" i="9"/>
  <c r="BH4" i="9"/>
  <c r="AA35" i="9"/>
  <c r="AA11" i="9"/>
  <c r="BH11" i="9"/>
  <c r="J47" i="8"/>
  <c r="M47" i="8"/>
  <c r="I47" i="8"/>
  <c r="L47" i="8"/>
  <c r="K47" i="8"/>
  <c r="AA9" i="9"/>
  <c r="BH9" i="9"/>
  <c r="AA17" i="9"/>
  <c r="BH17" i="9"/>
  <c r="AA25" i="9"/>
  <c r="BH25" i="9"/>
  <c r="AA29" i="9"/>
  <c r="AA36" i="9"/>
  <c r="AA38" i="9"/>
  <c r="AA45" i="9"/>
  <c r="AA52" i="9"/>
  <c r="AA56" i="9"/>
  <c r="AA12" i="9"/>
  <c r="BH12" i="9"/>
  <c r="L45" i="8"/>
  <c r="K45" i="8"/>
  <c r="J45" i="8"/>
  <c r="M45" i="8"/>
  <c r="I45" i="8"/>
  <c r="M67" i="8"/>
  <c r="I67" i="8"/>
  <c r="L67" i="8"/>
  <c r="K67" i="8"/>
  <c r="J67" i="8"/>
  <c r="J60" i="8"/>
  <c r="M60" i="8"/>
  <c r="I60" i="8"/>
  <c r="L60" i="8"/>
  <c r="K60" i="8"/>
  <c r="L50" i="8"/>
  <c r="Z97" i="5"/>
  <c r="I10" i="4"/>
  <c r="AA97" i="5"/>
  <c r="N10" i="4"/>
  <c r="Y20" i="4"/>
  <c r="Z17" i="5"/>
  <c r="P5" i="4"/>
  <c r="F11" i="4"/>
  <c r="I13" i="4"/>
  <c r="M13" i="4"/>
  <c r="I14" i="4"/>
  <c r="M14" i="4"/>
  <c r="J15" i="4"/>
  <c r="N15" i="4"/>
  <c r="L16" i="4"/>
  <c r="P16" i="4"/>
  <c r="L17" i="4"/>
  <c r="P17" i="4"/>
  <c r="J19" i="4"/>
  <c r="N19" i="4"/>
  <c r="J20" i="4"/>
  <c r="N20" i="4"/>
  <c r="Z13" i="5"/>
  <c r="P6" i="4"/>
  <c r="G11" i="4"/>
  <c r="J13" i="4"/>
  <c r="N13" i="4"/>
  <c r="J14" i="4"/>
  <c r="N14" i="4"/>
  <c r="K15" i="4"/>
  <c r="O15" i="4"/>
  <c r="I16" i="4"/>
  <c r="M16" i="4"/>
  <c r="I17" i="4"/>
  <c r="M17" i="4"/>
  <c r="K19" i="4"/>
  <c r="O19" i="4"/>
  <c r="K20" i="4"/>
  <c r="O20" i="4"/>
  <c r="Z4" i="5"/>
  <c r="H11" i="4"/>
  <c r="K13" i="4"/>
  <c r="O13" i="4"/>
  <c r="K14" i="4"/>
  <c r="O14" i="4"/>
  <c r="L15" i="4"/>
  <c r="P15" i="4"/>
  <c r="J16" i="4"/>
  <c r="N16" i="4"/>
  <c r="J17" i="4"/>
  <c r="N17" i="4"/>
  <c r="L19" i="4"/>
  <c r="P19" i="4"/>
  <c r="L20" i="4"/>
  <c r="P20" i="4"/>
  <c r="E11" i="4"/>
  <c r="L13" i="4"/>
  <c r="P13" i="4"/>
  <c r="L14" i="4"/>
  <c r="P14" i="4"/>
  <c r="I15" i="4"/>
  <c r="M15" i="4"/>
  <c r="K16" i="4"/>
  <c r="O16" i="4"/>
  <c r="K17" i="4"/>
  <c r="O17" i="4"/>
  <c r="AB17" i="4"/>
  <c r="I19" i="4"/>
  <c r="M19" i="4"/>
  <c r="I20" i="4"/>
  <c r="M20" i="4"/>
  <c r="Y17" i="4"/>
  <c r="O5" i="8"/>
  <c r="AA2" i="9"/>
  <c r="Z2" i="9"/>
  <c r="Z43" i="1"/>
  <c r="Y14" i="4"/>
  <c r="Y16" i="4"/>
  <c r="Y15" i="4"/>
  <c r="Y19" i="4"/>
  <c r="Z36" i="1"/>
  <c r="Y10" i="4"/>
  <c r="Y13" i="4"/>
  <c r="Y11" i="4"/>
  <c r="Y5" i="4"/>
  <c r="Y4" i="4"/>
  <c r="Y7" i="4"/>
  <c r="Y8" i="4"/>
  <c r="Y6" i="4"/>
  <c r="K6" i="4"/>
  <c r="O6" i="4"/>
  <c r="I7" i="4"/>
  <c r="M7" i="4"/>
  <c r="I8" i="4"/>
  <c r="M8" i="4"/>
  <c r="L6" i="4"/>
  <c r="J7" i="4"/>
  <c r="N7" i="4"/>
  <c r="J8" i="4"/>
  <c r="N8" i="4"/>
  <c r="I6" i="4"/>
  <c r="M6" i="4"/>
  <c r="K7" i="4"/>
  <c r="O7" i="4"/>
  <c r="K8" i="4"/>
  <c r="P8" i="4"/>
  <c r="J6" i="4"/>
  <c r="N6" i="4"/>
  <c r="L7" i="4"/>
  <c r="P7" i="4"/>
  <c r="L8" i="4"/>
  <c r="O8" i="4"/>
  <c r="N5" i="4"/>
  <c r="I4" i="4"/>
  <c r="K4" i="4"/>
  <c r="M4" i="4"/>
  <c r="O4" i="4"/>
  <c r="J5" i="4"/>
  <c r="L5" i="4"/>
  <c r="I5" i="4"/>
  <c r="K5" i="4"/>
  <c r="M5" i="4"/>
  <c r="O5" i="4"/>
  <c r="J4" i="4"/>
  <c r="L4" i="4"/>
  <c r="N4" i="4"/>
  <c r="P4" i="4"/>
  <c r="Z10" i="1"/>
  <c r="Z19" i="1"/>
  <c r="Z22" i="1"/>
  <c r="Z41" i="1"/>
  <c r="Z15" i="1"/>
  <c r="Z8" i="1"/>
  <c r="Z7" i="1"/>
  <c r="Z37" i="1"/>
  <c r="Z40" i="1"/>
  <c r="Z30" i="1"/>
  <c r="Z39" i="1"/>
  <c r="Z38" i="1"/>
  <c r="Z29" i="1"/>
  <c r="Z33" i="1"/>
  <c r="Z16" i="1"/>
  <c r="Z17" i="1"/>
  <c r="Z20" i="1"/>
  <c r="Z25" i="1"/>
  <c r="Z28" i="1"/>
  <c r="Z32" i="1"/>
  <c r="Z35" i="1"/>
  <c r="Z13" i="1"/>
  <c r="Z24" i="1"/>
  <c r="Z31" i="1"/>
  <c r="Z9" i="1"/>
  <c r="Z12" i="1"/>
  <c r="Z23" i="1"/>
  <c r="Z27" i="1"/>
  <c r="Z26" i="1"/>
  <c r="Z14" i="1"/>
  <c r="J4" i="1"/>
  <c r="N4" i="1"/>
  <c r="L5" i="1"/>
  <c r="P5" i="1"/>
  <c r="L8" i="1"/>
  <c r="P8" i="1"/>
  <c r="J9" i="1"/>
  <c r="N9" i="1"/>
  <c r="J12" i="1"/>
  <c r="N12" i="1"/>
  <c r="W12" i="1"/>
  <c r="K13" i="1"/>
  <c r="O13" i="1"/>
  <c r="K14" i="1"/>
  <c r="O14" i="1"/>
  <c r="L15" i="1"/>
  <c r="P15" i="1"/>
  <c r="J16" i="1"/>
  <c r="N16" i="1"/>
  <c r="J17" i="1"/>
  <c r="O17" i="1"/>
  <c r="J18" i="1"/>
  <c r="N18" i="1"/>
  <c r="K10" i="1"/>
  <c r="O10" i="1"/>
  <c r="J19" i="1"/>
  <c r="N19" i="1"/>
  <c r="J20" i="1"/>
  <c r="N20" i="1"/>
  <c r="K21" i="1"/>
  <c r="O21" i="1"/>
  <c r="K22" i="1"/>
  <c r="O22" i="1"/>
  <c r="J23" i="1"/>
  <c r="N23" i="1"/>
  <c r="J24" i="1"/>
  <c r="N24" i="1"/>
  <c r="J25" i="1"/>
  <c r="N25" i="1"/>
  <c r="J26" i="1"/>
  <c r="N26" i="1"/>
  <c r="J27" i="1"/>
  <c r="N27" i="1"/>
  <c r="K4" i="1"/>
  <c r="O4" i="1"/>
  <c r="M5" i="1"/>
  <c r="Q5" i="1"/>
  <c r="M8" i="1"/>
  <c r="Q8" i="1"/>
  <c r="K9" i="1"/>
  <c r="O9" i="1"/>
  <c r="K12" i="1"/>
  <c r="O12" i="1"/>
  <c r="L13" i="1"/>
  <c r="P13" i="1"/>
  <c r="L14" i="1"/>
  <c r="P14" i="1"/>
  <c r="M15" i="1"/>
  <c r="Q15" i="1"/>
  <c r="K16" i="1"/>
  <c r="O16" i="1"/>
  <c r="K17" i="1"/>
  <c r="P17" i="1"/>
  <c r="K18" i="1"/>
  <c r="O18" i="1"/>
  <c r="L10" i="1"/>
  <c r="P10" i="1"/>
  <c r="K19" i="1"/>
  <c r="O19" i="1"/>
  <c r="K20" i="1"/>
  <c r="O20" i="1"/>
  <c r="L21" i="1"/>
  <c r="P21" i="1"/>
  <c r="L22" i="1"/>
  <c r="P22" i="1"/>
  <c r="K23" i="1"/>
  <c r="O23" i="1"/>
  <c r="K24" i="1"/>
  <c r="O24" i="1"/>
  <c r="K25" i="1"/>
  <c r="O25" i="1"/>
  <c r="K26" i="1"/>
  <c r="O26" i="1"/>
  <c r="K27" i="1"/>
  <c r="O27" i="1"/>
  <c r="L4" i="1"/>
  <c r="P4" i="1"/>
  <c r="J5" i="1"/>
  <c r="N5" i="1"/>
  <c r="V5" i="1"/>
  <c r="J8" i="1"/>
  <c r="N8" i="1"/>
  <c r="L9" i="1"/>
  <c r="P9" i="1"/>
  <c r="L12" i="1"/>
  <c r="P12" i="1"/>
  <c r="M13" i="1"/>
  <c r="Q13" i="1"/>
  <c r="M14" i="1"/>
  <c r="Q14" i="1"/>
  <c r="J15" i="1"/>
  <c r="N15" i="1"/>
  <c r="L16" i="1"/>
  <c r="P16" i="1"/>
  <c r="M17" i="1"/>
  <c r="Q17" i="1"/>
  <c r="L18" i="1"/>
  <c r="P18" i="1"/>
  <c r="M10" i="1"/>
  <c r="Q10" i="1"/>
  <c r="L19" i="1"/>
  <c r="P19" i="1"/>
  <c r="L20" i="1"/>
  <c r="P20" i="1"/>
  <c r="M21" i="1"/>
  <c r="Q21" i="1"/>
  <c r="M22" i="1"/>
  <c r="Q22" i="1"/>
  <c r="L23" i="1"/>
  <c r="P23" i="1"/>
  <c r="L24" i="1"/>
  <c r="P24" i="1"/>
  <c r="L25" i="1"/>
  <c r="P25" i="1"/>
  <c r="L26" i="1"/>
  <c r="P26" i="1"/>
  <c r="L27" i="1"/>
  <c r="P27" i="1"/>
  <c r="M4" i="1"/>
  <c r="Q4" i="1"/>
  <c r="K8" i="1"/>
  <c r="O8" i="1"/>
  <c r="M9" i="1"/>
  <c r="Q9" i="1"/>
  <c r="J13" i="1"/>
  <c r="N13" i="1"/>
  <c r="J14" i="1"/>
  <c r="N14" i="1"/>
  <c r="K15" i="1"/>
  <c r="O15" i="1"/>
  <c r="M16" i="1"/>
  <c r="Q16" i="1"/>
  <c r="N17" i="1"/>
  <c r="L17" i="1"/>
  <c r="M18" i="1"/>
  <c r="Q18" i="1"/>
  <c r="J10" i="1"/>
  <c r="N10" i="1"/>
  <c r="M19" i="1"/>
  <c r="Q19" i="1"/>
  <c r="M20" i="1"/>
  <c r="Q20" i="1"/>
  <c r="J21" i="1"/>
  <c r="N21" i="1"/>
  <c r="J22" i="1"/>
  <c r="N22" i="1"/>
  <c r="M23" i="1"/>
  <c r="Q23" i="1"/>
  <c r="M24" i="1"/>
  <c r="Q24" i="1"/>
  <c r="M25" i="1"/>
  <c r="Q25" i="1"/>
  <c r="M26" i="1"/>
  <c r="Q26" i="1"/>
  <c r="M27" i="1"/>
  <c r="Q27" i="1"/>
  <c r="Z5" i="1"/>
  <c r="AH99" i="3"/>
  <c r="AA9" i="3"/>
  <c r="Z9" i="3"/>
  <c r="AI90" i="3"/>
  <c r="Z8" i="3"/>
  <c r="AI92" i="3"/>
  <c r="Z27" i="3"/>
  <c r="AH93" i="3"/>
  <c r="AH94" i="3"/>
  <c r="AH98" i="3"/>
  <c r="W130" i="3"/>
  <c r="Z130" i="3" s="1"/>
  <c r="X130" i="3"/>
  <c r="AA130" i="3" s="1"/>
  <c r="AH104" i="3"/>
  <c r="AH103" i="3"/>
  <c r="AH101" i="3"/>
  <c r="AH102" i="3"/>
  <c r="AH96" i="3"/>
  <c r="AH97" i="3"/>
  <c r="AH91" i="3"/>
  <c r="AA8" i="3"/>
  <c r="AA27" i="3"/>
  <c r="I14" i="8" l="1"/>
  <c r="M14" i="8"/>
  <c r="L105" i="8"/>
  <c r="K105" i="8"/>
  <c r="J105" i="8"/>
  <c r="M105" i="8"/>
  <c r="I105" i="8"/>
  <c r="K14" i="8"/>
  <c r="J14" i="8"/>
  <c r="K9" i="8"/>
  <c r="J9" i="8"/>
  <c r="M9" i="8"/>
  <c r="L9" i="8"/>
  <c r="I9" i="8"/>
  <c r="J6" i="8"/>
  <c r="I6" i="8"/>
  <c r="M6" i="8"/>
  <c r="K6" i="8"/>
  <c r="L6" i="8"/>
  <c r="M42" i="8"/>
  <c r="I42" i="8"/>
  <c r="L42" i="8"/>
  <c r="K42" i="8"/>
  <c r="J42" i="8"/>
  <c r="L24" i="8"/>
  <c r="K24" i="8"/>
  <c r="J24" i="8"/>
  <c r="M24" i="8"/>
  <c r="I24" i="8"/>
  <c r="K39" i="8"/>
  <c r="J39" i="8"/>
  <c r="M39" i="8"/>
  <c r="I39" i="8"/>
  <c r="L39" i="8"/>
  <c r="M17" i="8"/>
  <c r="I17" i="8"/>
  <c r="L17" i="8"/>
  <c r="K17" i="8"/>
  <c r="J17" i="8"/>
  <c r="M7" i="8"/>
  <c r="I7" i="8"/>
  <c r="L7" i="8"/>
  <c r="K7" i="8"/>
  <c r="J7" i="8"/>
  <c r="L32" i="8"/>
  <c r="I32" i="8"/>
  <c r="M32" i="8"/>
  <c r="K32" i="8"/>
  <c r="J32" i="8"/>
  <c r="M37" i="8"/>
  <c r="I37" i="8"/>
  <c r="L37" i="8"/>
  <c r="K37" i="8"/>
  <c r="J37" i="8"/>
  <c r="L29" i="8"/>
  <c r="K29" i="8"/>
  <c r="J29" i="8"/>
  <c r="M29" i="8"/>
  <c r="I29" i="8"/>
  <c r="K30" i="8"/>
  <c r="J30" i="8"/>
  <c r="M30" i="8"/>
  <c r="I30" i="8"/>
  <c r="L30" i="8"/>
  <c r="L18" i="8"/>
  <c r="K18" i="8"/>
  <c r="J18" i="8"/>
  <c r="I18" i="8"/>
  <c r="M18" i="8"/>
  <c r="M28" i="8"/>
  <c r="I28" i="8"/>
  <c r="L28" i="8"/>
  <c r="K28" i="8"/>
  <c r="J28" i="8"/>
  <c r="K25" i="8"/>
  <c r="J25" i="8"/>
  <c r="M25" i="8"/>
  <c r="I25" i="8"/>
  <c r="L25" i="8"/>
  <c r="L8" i="8"/>
  <c r="K8" i="8"/>
  <c r="I8" i="8"/>
  <c r="J8" i="8"/>
  <c r="M8" i="8"/>
  <c r="K34" i="8"/>
  <c r="J34" i="8"/>
  <c r="M34" i="8"/>
  <c r="I34" i="8"/>
  <c r="L34" i="8"/>
  <c r="J27" i="8"/>
  <c r="M27" i="8"/>
  <c r="I27" i="8"/>
  <c r="L27" i="8"/>
  <c r="K27" i="8"/>
  <c r="K19" i="8"/>
  <c r="J19" i="8"/>
  <c r="M19" i="8"/>
  <c r="I19" i="8"/>
  <c r="L19" i="8"/>
  <c r="J12" i="8"/>
  <c r="M12" i="8"/>
  <c r="I12" i="8"/>
  <c r="L12" i="8"/>
  <c r="K12" i="8"/>
  <c r="J40" i="8"/>
  <c r="M40" i="8"/>
  <c r="I40" i="8"/>
  <c r="L40" i="8"/>
  <c r="K40" i="8"/>
  <c r="L43" i="8"/>
  <c r="K43" i="8"/>
  <c r="J43" i="8"/>
  <c r="M43" i="8"/>
  <c r="I43" i="8"/>
  <c r="J36" i="8"/>
  <c r="M36" i="8"/>
  <c r="I36" i="8"/>
  <c r="L36" i="8"/>
  <c r="K36" i="8"/>
  <c r="J31" i="8"/>
  <c r="M31" i="8"/>
  <c r="I31" i="8"/>
  <c r="L31" i="8"/>
  <c r="K31" i="8"/>
  <c r="M23" i="8"/>
  <c r="I23" i="8"/>
  <c r="L23" i="8"/>
  <c r="K23" i="8"/>
  <c r="J23" i="8"/>
  <c r="M13" i="8"/>
  <c r="I13" i="8"/>
  <c r="L13" i="8"/>
  <c r="K13" i="8"/>
  <c r="J13" i="8"/>
  <c r="L38" i="8"/>
  <c r="K38" i="8"/>
  <c r="J38" i="8"/>
  <c r="I38" i="8"/>
  <c r="M38" i="8"/>
  <c r="L33" i="8"/>
  <c r="K33" i="8"/>
  <c r="J33" i="8"/>
  <c r="M33" i="8"/>
  <c r="I33" i="8"/>
  <c r="K21" i="8"/>
  <c r="I21" i="8"/>
  <c r="J21" i="8"/>
  <c r="M21" i="8"/>
  <c r="L21" i="8"/>
  <c r="J16" i="8"/>
  <c r="M16" i="8"/>
  <c r="I16" i="8"/>
  <c r="L16" i="8"/>
  <c r="K16" i="8"/>
  <c r="J5" i="8"/>
  <c r="M5" i="8"/>
  <c r="I5" i="8"/>
  <c r="K5" i="8"/>
  <c r="L5" i="8"/>
  <c r="M11" i="4"/>
  <c r="P11" i="4"/>
  <c r="O11" i="4"/>
  <c r="N11" i="4"/>
  <c r="I11" i="4"/>
  <c r="L11" i="4"/>
  <c r="K11" i="4"/>
  <c r="J11" i="4"/>
  <c r="AQ1223" i="2"/>
  <c r="AI1223" i="2"/>
  <c r="AH1223" i="2"/>
  <c r="X1223" i="2"/>
  <c r="AA1223" i="2" s="1"/>
  <c r="W1223" i="2"/>
  <c r="Z1223" i="2" s="1"/>
  <c r="AQ1222" i="2"/>
  <c r="X1222" i="2"/>
  <c r="AA1222" i="2" s="1"/>
  <c r="W1222" i="2"/>
  <c r="Z1222" i="2" s="1"/>
  <c r="AQ1221" i="2"/>
  <c r="X1221" i="2"/>
  <c r="AA1221" i="2" s="1"/>
  <c r="W1221" i="2"/>
  <c r="Z1221" i="2" s="1"/>
  <c r="AQ1220" i="2"/>
  <c r="X1220" i="2"/>
  <c r="AA1220" i="2" s="1"/>
  <c r="W1220" i="2"/>
  <c r="Z1220" i="2" s="1"/>
  <c r="AQ1219" i="2"/>
  <c r="X1219" i="2"/>
  <c r="AA1219" i="2" s="1"/>
  <c r="W1219" i="2"/>
  <c r="Z1219" i="2" s="1"/>
  <c r="AQ1218" i="2"/>
  <c r="X1218" i="2"/>
  <c r="AA1218" i="2" s="1"/>
  <c r="W1218" i="2"/>
  <c r="Z1218" i="2" s="1"/>
  <c r="AQ1217" i="2"/>
  <c r="X1217" i="2"/>
  <c r="AA1217" i="2" s="1"/>
  <c r="W1217" i="2"/>
  <c r="Z1217" i="2" s="1"/>
  <c r="AQ1216" i="2"/>
  <c r="Z1216" i="2"/>
  <c r="X1216" i="2"/>
  <c r="AA1216" i="2" s="1"/>
  <c r="W1216" i="2"/>
  <c r="AQ1215" i="2"/>
  <c r="AA1215" i="2"/>
  <c r="X1215" i="2"/>
  <c r="W1215" i="2"/>
  <c r="Z1215" i="2" s="1"/>
  <c r="AQ1214" i="2"/>
  <c r="X1214" i="2"/>
  <c r="AA1214" i="2" s="1"/>
  <c r="W1214" i="2"/>
  <c r="Z1214" i="2" s="1"/>
  <c r="AQ1213" i="2"/>
  <c r="Z1213" i="2"/>
  <c r="X1213" i="2"/>
  <c r="AA1213" i="2" s="1"/>
  <c r="W1213" i="2"/>
  <c r="AQ1212" i="2"/>
  <c r="AA1212" i="2"/>
  <c r="X1212" i="2"/>
  <c r="W1212" i="2"/>
  <c r="Z1212" i="2" s="1"/>
  <c r="AQ1211" i="2"/>
  <c r="X1211" i="2"/>
  <c r="AA1211" i="2" s="1"/>
  <c r="W1211" i="2"/>
  <c r="Z1211" i="2" s="1"/>
  <c r="AQ1210" i="2"/>
  <c r="X1210" i="2"/>
  <c r="AA1210" i="2" s="1"/>
  <c r="W1210" i="2"/>
  <c r="Z1210" i="2" s="1"/>
  <c r="AQ1209" i="2"/>
  <c r="X1209" i="2"/>
  <c r="AA1209" i="2" s="1"/>
  <c r="W1209" i="2"/>
  <c r="Z1209" i="2" s="1"/>
  <c r="AQ1208" i="2"/>
  <c r="X1208" i="2"/>
  <c r="AA1208" i="2" s="1"/>
  <c r="W1208" i="2"/>
  <c r="Z1208" i="2" s="1"/>
  <c r="AQ1207" i="2"/>
  <c r="X1207" i="2"/>
  <c r="AA1207" i="2" s="1"/>
  <c r="W1207" i="2"/>
  <c r="Z1207" i="2" s="1"/>
  <c r="AQ1206" i="2"/>
  <c r="X1206" i="2"/>
  <c r="AA1206" i="2" s="1"/>
  <c r="W1206" i="2"/>
  <c r="Z1206" i="2" s="1"/>
  <c r="AQ1205" i="2"/>
  <c r="X1205" i="2"/>
  <c r="AA1205" i="2" s="1"/>
  <c r="W1205" i="2"/>
  <c r="Z1205" i="2" s="1"/>
  <c r="AQ1204" i="2"/>
  <c r="X1204" i="2"/>
  <c r="AA1204" i="2" s="1"/>
  <c r="W1204" i="2"/>
  <c r="Z1204" i="2" s="1"/>
  <c r="AQ1203" i="2"/>
  <c r="X1203" i="2"/>
  <c r="AA1203" i="2" s="1"/>
  <c r="W1203" i="2"/>
  <c r="Z1203" i="2" s="1"/>
  <c r="AQ1202" i="2"/>
  <c r="X1202" i="2"/>
  <c r="AA1202" i="2" s="1"/>
  <c r="W1202" i="2"/>
  <c r="Z1202" i="2" s="1"/>
  <c r="AQ1201" i="2"/>
  <c r="X1201" i="2"/>
  <c r="AA1201" i="2" s="1"/>
  <c r="W1201" i="2"/>
  <c r="Z1201" i="2" s="1"/>
  <c r="AQ1200" i="2"/>
  <c r="X1200" i="2"/>
  <c r="AA1200" i="2" s="1"/>
  <c r="W1200" i="2"/>
  <c r="Z1200" i="2" s="1"/>
  <c r="AQ1199" i="2"/>
  <c r="X1199" i="2"/>
  <c r="AA1199" i="2" s="1"/>
  <c r="W1199" i="2"/>
  <c r="Z1199" i="2" s="1"/>
  <c r="AQ1198" i="2"/>
  <c r="X1198" i="2"/>
  <c r="AA1198" i="2" s="1"/>
  <c r="W1198" i="2"/>
  <c r="Z1198" i="2" s="1"/>
  <c r="AQ1197" i="2"/>
  <c r="X1197" i="2"/>
  <c r="AA1197" i="2" s="1"/>
  <c r="W1197" i="2"/>
  <c r="Z1197" i="2" s="1"/>
  <c r="AQ1196" i="2"/>
  <c r="X1196" i="2"/>
  <c r="AA1196" i="2" s="1"/>
  <c r="W1196" i="2"/>
  <c r="Z1196" i="2" s="1"/>
  <c r="AQ1195" i="2"/>
  <c r="X1195" i="2"/>
  <c r="AA1195" i="2" s="1"/>
  <c r="W1195" i="2"/>
  <c r="Z1195" i="2" s="1"/>
  <c r="AQ1194" i="2"/>
  <c r="X1194" i="2"/>
  <c r="AA1194" i="2" s="1"/>
  <c r="W1194" i="2"/>
  <c r="Z1194" i="2" s="1"/>
  <c r="AQ1193" i="2"/>
  <c r="X1193" i="2"/>
  <c r="AA1193" i="2" s="1"/>
  <c r="W1193" i="2"/>
  <c r="Z1193" i="2" s="1"/>
  <c r="AQ1192" i="2"/>
  <c r="X1192" i="2"/>
  <c r="AA1192" i="2" s="1"/>
  <c r="W1192" i="2"/>
  <c r="Z1192" i="2" s="1"/>
  <c r="AQ1191" i="2"/>
  <c r="X1191" i="2"/>
  <c r="AA1191" i="2" s="1"/>
  <c r="W1191" i="2"/>
  <c r="Z1191" i="2" s="1"/>
  <c r="AQ1190" i="2"/>
  <c r="X1190" i="2"/>
  <c r="AA1190" i="2" s="1"/>
  <c r="W1190" i="2"/>
  <c r="Z1190" i="2" s="1"/>
  <c r="AQ1189" i="2"/>
  <c r="X1189" i="2"/>
  <c r="AA1189" i="2" s="1"/>
  <c r="W1189" i="2"/>
  <c r="Z1189" i="2" s="1"/>
  <c r="AQ1188" i="2"/>
  <c r="AI1188" i="2"/>
  <c r="AH1188" i="2"/>
  <c r="Z1188" i="2"/>
  <c r="X1188" i="2"/>
  <c r="AA1188" i="2" s="1"/>
  <c r="W1188" i="2"/>
  <c r="AQ1187" i="2"/>
  <c r="AA1187" i="2"/>
  <c r="X1187" i="2"/>
  <c r="W1187" i="2"/>
  <c r="Z1187" i="2" s="1"/>
  <c r="AQ1186" i="2"/>
  <c r="AA1186" i="2"/>
  <c r="X1186" i="2"/>
  <c r="W1186" i="2"/>
  <c r="Z1186" i="2" s="1"/>
  <c r="AQ1185" i="2"/>
  <c r="X1185" i="2"/>
  <c r="AA1185" i="2" s="1"/>
  <c r="W1185" i="2"/>
  <c r="Z1185" i="2" s="1"/>
  <c r="AQ1184" i="2"/>
  <c r="Z1184" i="2"/>
  <c r="X1184" i="2"/>
  <c r="AA1184" i="2" s="1"/>
  <c r="W1184" i="2"/>
  <c r="AQ1183" i="2"/>
  <c r="AI1183" i="2"/>
  <c r="AH1183" i="2"/>
  <c r="X1183" i="2"/>
  <c r="AA1183" i="2" s="1"/>
  <c r="W1183" i="2"/>
  <c r="Z1183" i="2" s="1"/>
  <c r="AQ1182" i="2"/>
  <c r="AI1182" i="2"/>
  <c r="AH1182" i="2"/>
  <c r="X1182" i="2"/>
  <c r="AA1182" i="2" s="1"/>
  <c r="W1182" i="2"/>
  <c r="Z1182" i="2" s="1"/>
  <c r="AQ1181" i="2"/>
  <c r="AI1181" i="2"/>
  <c r="AH1181" i="2"/>
  <c r="X1181" i="2"/>
  <c r="AA1181" i="2" s="1"/>
  <c r="W1181" i="2"/>
  <c r="Z1181" i="2" s="1"/>
  <c r="AQ1180" i="2"/>
  <c r="X1180" i="2"/>
  <c r="AA1180" i="2" s="1"/>
  <c r="W1180" i="2"/>
  <c r="Z1180" i="2" s="1"/>
  <c r="AQ1179" i="2"/>
  <c r="X1179" i="2"/>
  <c r="AA1179" i="2" s="1"/>
  <c r="W1179" i="2"/>
  <c r="Z1179" i="2" s="1"/>
  <c r="AQ1178" i="2"/>
  <c r="X1178" i="2"/>
  <c r="AA1178" i="2" s="1"/>
  <c r="W1178" i="2"/>
  <c r="Z1178" i="2" s="1"/>
  <c r="AQ1177" i="2"/>
  <c r="X1177" i="2"/>
  <c r="AA1177" i="2" s="1"/>
  <c r="W1177" i="2"/>
  <c r="Z1177" i="2" s="1"/>
  <c r="AQ1176" i="2"/>
  <c r="X1176" i="2"/>
  <c r="AA1176" i="2" s="1"/>
  <c r="W1176" i="2"/>
  <c r="Z1176" i="2" s="1"/>
  <c r="AQ1175" i="2"/>
  <c r="X1175" i="2"/>
  <c r="AA1175" i="2" s="1"/>
  <c r="W1175" i="2"/>
  <c r="Z1175" i="2" s="1"/>
  <c r="AQ1174" i="2"/>
  <c r="X1174" i="2"/>
  <c r="AA1174" i="2" s="1"/>
  <c r="W1174" i="2"/>
  <c r="Z1174" i="2" s="1"/>
  <c r="AQ1173" i="2"/>
  <c r="X1173" i="2"/>
  <c r="AA1173" i="2" s="1"/>
  <c r="W1173" i="2"/>
  <c r="Z1173" i="2" s="1"/>
  <c r="AQ1172" i="2"/>
  <c r="X1172" i="2"/>
  <c r="AA1172" i="2" s="1"/>
  <c r="W1172" i="2"/>
  <c r="Z1172" i="2" s="1"/>
  <c r="AQ1171" i="2"/>
  <c r="X1171" i="2"/>
  <c r="AA1171" i="2" s="1"/>
  <c r="W1171" i="2"/>
  <c r="Z1171" i="2" s="1"/>
  <c r="AQ1170" i="2"/>
  <c r="X1170" i="2"/>
  <c r="AA1170" i="2" s="1"/>
  <c r="W1170" i="2"/>
  <c r="Z1170" i="2" s="1"/>
  <c r="AQ1169" i="2"/>
  <c r="X1169" i="2"/>
  <c r="AA1169" i="2" s="1"/>
  <c r="W1169" i="2"/>
  <c r="Z1169" i="2" s="1"/>
  <c r="AQ1168" i="2"/>
  <c r="X1168" i="2"/>
  <c r="AA1168" i="2" s="1"/>
  <c r="W1168" i="2"/>
  <c r="Z1168" i="2" s="1"/>
  <c r="AQ1167" i="2"/>
  <c r="X1167" i="2"/>
  <c r="AA1167" i="2" s="1"/>
  <c r="W1167" i="2"/>
  <c r="Z1167" i="2" s="1"/>
  <c r="AQ1166" i="2"/>
  <c r="X1166" i="2"/>
  <c r="AA1166" i="2" s="1"/>
  <c r="W1166" i="2"/>
  <c r="Z1166" i="2" s="1"/>
  <c r="AQ1165" i="2"/>
  <c r="X1165" i="2"/>
  <c r="AA1165" i="2" s="1"/>
  <c r="W1165" i="2"/>
  <c r="Z1165" i="2" s="1"/>
  <c r="AQ1164" i="2"/>
  <c r="X1164" i="2"/>
  <c r="AA1164" i="2" s="1"/>
  <c r="W1164" i="2"/>
  <c r="Z1164" i="2" s="1"/>
  <c r="AQ1163" i="2"/>
  <c r="X1163" i="2"/>
  <c r="AA1163" i="2" s="1"/>
  <c r="W1163" i="2"/>
  <c r="Z1163" i="2" s="1"/>
  <c r="AQ1162" i="2"/>
  <c r="X1162" i="2"/>
  <c r="AA1162" i="2" s="1"/>
  <c r="W1162" i="2"/>
  <c r="Z1162" i="2" s="1"/>
  <c r="AQ1161" i="2"/>
  <c r="X1161" i="2"/>
  <c r="AA1161" i="2" s="1"/>
  <c r="W1161" i="2"/>
  <c r="Z1161" i="2" s="1"/>
  <c r="AQ1160" i="2"/>
  <c r="X1160" i="2"/>
  <c r="AA1160" i="2" s="1"/>
  <c r="W1160" i="2"/>
  <c r="Z1160" i="2" s="1"/>
  <c r="AQ1159" i="2"/>
  <c r="X1159" i="2"/>
  <c r="AA1159" i="2" s="1"/>
  <c r="W1159" i="2"/>
  <c r="Z1159" i="2" s="1"/>
  <c r="AQ1158" i="2"/>
  <c r="X1158" i="2"/>
  <c r="AA1158" i="2" s="1"/>
  <c r="W1158" i="2"/>
  <c r="Z1158" i="2" s="1"/>
  <c r="AQ1157" i="2"/>
  <c r="X1157" i="2"/>
  <c r="AA1157" i="2" s="1"/>
  <c r="W1157" i="2"/>
  <c r="Z1157" i="2" s="1"/>
  <c r="AQ1156" i="2"/>
  <c r="X1156" i="2"/>
  <c r="AA1156" i="2" s="1"/>
  <c r="W1156" i="2"/>
  <c r="Z1156" i="2" s="1"/>
  <c r="AQ1155" i="2"/>
  <c r="X1155" i="2"/>
  <c r="AA1155" i="2" s="1"/>
  <c r="W1155" i="2"/>
  <c r="Z1155" i="2" s="1"/>
  <c r="AQ1154" i="2"/>
  <c r="X1154" i="2"/>
  <c r="AA1154" i="2" s="1"/>
  <c r="W1154" i="2"/>
  <c r="Z1154" i="2" s="1"/>
  <c r="AQ1153" i="2"/>
  <c r="X1153" i="2"/>
  <c r="AA1153" i="2" s="1"/>
  <c r="W1153" i="2"/>
  <c r="Z1153" i="2" s="1"/>
  <c r="AQ1152" i="2"/>
  <c r="X1152" i="2"/>
  <c r="AA1152" i="2" s="1"/>
  <c r="W1152" i="2"/>
  <c r="Z1152" i="2" s="1"/>
  <c r="AQ1151" i="2"/>
  <c r="X1151" i="2"/>
  <c r="AA1151" i="2" s="1"/>
  <c r="W1151" i="2"/>
  <c r="Z1151" i="2" s="1"/>
  <c r="AQ1150" i="2"/>
  <c r="X1150" i="2"/>
  <c r="AA1150" i="2" s="1"/>
  <c r="W1150" i="2"/>
  <c r="Z1150" i="2" s="1"/>
  <c r="AQ1149" i="2"/>
  <c r="X1149" i="2"/>
  <c r="AA1149" i="2" s="1"/>
  <c r="W1149" i="2"/>
  <c r="Z1149" i="2" s="1"/>
  <c r="AQ1148" i="2"/>
  <c r="X1148" i="2"/>
  <c r="AA1148" i="2" s="1"/>
  <c r="W1148" i="2"/>
  <c r="Z1148" i="2" s="1"/>
  <c r="AQ1147" i="2"/>
  <c r="X1147" i="2"/>
  <c r="AA1147" i="2" s="1"/>
  <c r="W1147" i="2"/>
  <c r="Z1147" i="2" s="1"/>
  <c r="AQ1146" i="2"/>
  <c r="X1146" i="2"/>
  <c r="AA1146" i="2" s="1"/>
  <c r="W1146" i="2"/>
  <c r="Z1146" i="2" s="1"/>
  <c r="AQ1145" i="2"/>
  <c r="X1145" i="2"/>
  <c r="AA1145" i="2" s="1"/>
  <c r="W1145" i="2"/>
  <c r="Z1145" i="2" s="1"/>
  <c r="AQ1144" i="2"/>
  <c r="X1144" i="2"/>
  <c r="AA1144" i="2" s="1"/>
  <c r="W1144" i="2"/>
  <c r="Z1144" i="2" s="1"/>
  <c r="AQ1143" i="2"/>
  <c r="X1143" i="2"/>
  <c r="AA1143" i="2" s="1"/>
  <c r="W1143" i="2"/>
  <c r="Z1143" i="2" s="1"/>
  <c r="AQ1142" i="2"/>
  <c r="X1142" i="2"/>
  <c r="AA1142" i="2" s="1"/>
  <c r="W1142" i="2"/>
  <c r="Z1142" i="2" s="1"/>
  <c r="AQ1141" i="2"/>
  <c r="X1141" i="2"/>
  <c r="AA1141" i="2" s="1"/>
  <c r="W1141" i="2"/>
  <c r="Z1141" i="2" s="1"/>
  <c r="AQ1140" i="2"/>
  <c r="X1140" i="2"/>
  <c r="AA1140" i="2" s="1"/>
  <c r="W1140" i="2"/>
  <c r="Z1140" i="2" s="1"/>
  <c r="AQ1139" i="2"/>
  <c r="X1139" i="2"/>
  <c r="AA1139" i="2" s="1"/>
  <c r="W1139" i="2"/>
  <c r="Z1139" i="2" s="1"/>
  <c r="AQ1138" i="2"/>
  <c r="X1138" i="2"/>
  <c r="AA1138" i="2" s="1"/>
  <c r="W1138" i="2"/>
  <c r="Z1138" i="2" s="1"/>
  <c r="AQ1137" i="2"/>
  <c r="X1137" i="2"/>
  <c r="AA1137" i="2" s="1"/>
  <c r="W1137" i="2"/>
  <c r="Z1137" i="2" s="1"/>
  <c r="AQ1136" i="2"/>
  <c r="X1136" i="2"/>
  <c r="AA1136" i="2" s="1"/>
  <c r="W1136" i="2"/>
  <c r="Z1136" i="2" s="1"/>
  <c r="AQ1135" i="2"/>
  <c r="X1135" i="2"/>
  <c r="AA1135" i="2" s="1"/>
  <c r="W1135" i="2"/>
  <c r="Z1135" i="2" s="1"/>
  <c r="AQ1134" i="2"/>
  <c r="X1134" i="2"/>
  <c r="AA1134" i="2" s="1"/>
  <c r="W1134" i="2"/>
  <c r="Z1134" i="2" s="1"/>
  <c r="AQ1133" i="2"/>
  <c r="X1133" i="2"/>
  <c r="AA1133" i="2" s="1"/>
  <c r="W1133" i="2"/>
  <c r="Z1133" i="2" s="1"/>
  <c r="AQ1132" i="2"/>
  <c r="X1132" i="2"/>
  <c r="AA1132" i="2" s="1"/>
  <c r="W1132" i="2"/>
  <c r="Z1132" i="2" s="1"/>
  <c r="AQ1131" i="2"/>
  <c r="X1131" i="2"/>
  <c r="AA1131" i="2" s="1"/>
  <c r="W1131" i="2"/>
  <c r="Z1131" i="2" s="1"/>
  <c r="AQ1130" i="2"/>
  <c r="X1130" i="2"/>
  <c r="AA1130" i="2" s="1"/>
  <c r="W1130" i="2"/>
  <c r="Z1130" i="2" s="1"/>
  <c r="AQ1129" i="2"/>
  <c r="X1129" i="2"/>
  <c r="AA1129" i="2" s="1"/>
  <c r="W1129" i="2"/>
  <c r="Z1129" i="2" s="1"/>
  <c r="AQ1128" i="2"/>
  <c r="X1128" i="2"/>
  <c r="AA1128" i="2" s="1"/>
  <c r="W1128" i="2"/>
  <c r="Z1128" i="2" s="1"/>
  <c r="AQ1127" i="2"/>
  <c r="X1127" i="2"/>
  <c r="AA1127" i="2" s="1"/>
  <c r="W1127" i="2"/>
  <c r="Z1127" i="2" s="1"/>
  <c r="AQ1126" i="2"/>
  <c r="X1126" i="2"/>
  <c r="AA1126" i="2" s="1"/>
  <c r="W1126" i="2"/>
  <c r="Z1126" i="2" s="1"/>
  <c r="AQ1125" i="2"/>
  <c r="X1125" i="2"/>
  <c r="AA1125" i="2" s="1"/>
  <c r="W1125" i="2"/>
  <c r="Z1125" i="2" s="1"/>
  <c r="AQ1124" i="2"/>
  <c r="X1124" i="2"/>
  <c r="AA1124" i="2" s="1"/>
  <c r="W1124" i="2"/>
  <c r="Z1124" i="2" s="1"/>
  <c r="AQ1123" i="2"/>
  <c r="X1123" i="2"/>
  <c r="AA1123" i="2" s="1"/>
  <c r="W1123" i="2"/>
  <c r="Z1123" i="2" s="1"/>
  <c r="AQ1122" i="2"/>
  <c r="X1122" i="2"/>
  <c r="AA1122" i="2" s="1"/>
  <c r="W1122" i="2"/>
  <c r="Z1122" i="2" s="1"/>
  <c r="AQ1121" i="2"/>
  <c r="X1121" i="2"/>
  <c r="AA1121" i="2" s="1"/>
  <c r="W1121" i="2"/>
  <c r="Z1121" i="2" s="1"/>
  <c r="AQ1120" i="2"/>
  <c r="X1120" i="2"/>
  <c r="AA1120" i="2" s="1"/>
  <c r="W1120" i="2"/>
  <c r="Z1120" i="2" s="1"/>
  <c r="AQ1119" i="2"/>
  <c r="X1119" i="2"/>
  <c r="AA1119" i="2" s="1"/>
  <c r="W1119" i="2"/>
  <c r="Z1119" i="2" s="1"/>
  <c r="AQ1118" i="2"/>
  <c r="X1118" i="2"/>
  <c r="AA1118" i="2" s="1"/>
  <c r="W1118" i="2"/>
  <c r="Z1118" i="2" s="1"/>
  <c r="AQ1117" i="2"/>
  <c r="X1117" i="2"/>
  <c r="AA1117" i="2" s="1"/>
  <c r="W1117" i="2"/>
  <c r="Z1117" i="2" s="1"/>
  <c r="AQ1116" i="2"/>
  <c r="X1116" i="2"/>
  <c r="AA1116" i="2" s="1"/>
  <c r="W1116" i="2"/>
  <c r="Z1116" i="2" s="1"/>
  <c r="AQ1115" i="2"/>
  <c r="X1115" i="2"/>
  <c r="AA1115" i="2" s="1"/>
  <c r="W1115" i="2"/>
  <c r="Z1115" i="2" s="1"/>
  <c r="AQ1114" i="2"/>
  <c r="X1114" i="2"/>
  <c r="AA1114" i="2" s="1"/>
  <c r="W1114" i="2"/>
  <c r="Z1114" i="2" s="1"/>
  <c r="AQ1113" i="2"/>
  <c r="X1113" i="2"/>
  <c r="AA1113" i="2" s="1"/>
  <c r="W1113" i="2"/>
  <c r="Z1113" i="2" s="1"/>
  <c r="AQ1112" i="2"/>
  <c r="X1112" i="2"/>
  <c r="AA1112" i="2" s="1"/>
  <c r="W1112" i="2"/>
  <c r="Z1112" i="2" s="1"/>
  <c r="AQ1111" i="2"/>
  <c r="X1111" i="2"/>
  <c r="AA1111" i="2" s="1"/>
  <c r="W1111" i="2"/>
  <c r="Z1111" i="2" s="1"/>
  <c r="AQ1110" i="2"/>
  <c r="X1110" i="2"/>
  <c r="AA1110" i="2" s="1"/>
  <c r="W1110" i="2"/>
  <c r="Z1110" i="2" s="1"/>
  <c r="AQ1109" i="2"/>
  <c r="X1109" i="2"/>
  <c r="AA1109" i="2" s="1"/>
  <c r="W1109" i="2"/>
  <c r="Z1109" i="2" s="1"/>
  <c r="AQ1108" i="2"/>
  <c r="X1108" i="2"/>
  <c r="AA1108" i="2" s="1"/>
  <c r="W1108" i="2"/>
  <c r="Z1108" i="2" s="1"/>
  <c r="AQ1107" i="2"/>
  <c r="X1107" i="2"/>
  <c r="AA1107" i="2" s="1"/>
  <c r="W1107" i="2"/>
  <c r="Z1107" i="2" s="1"/>
  <c r="AQ1106" i="2"/>
  <c r="X1106" i="2"/>
  <c r="AA1106" i="2" s="1"/>
  <c r="W1106" i="2"/>
  <c r="Z1106" i="2" s="1"/>
  <c r="AQ1105" i="2"/>
  <c r="X1105" i="2"/>
  <c r="AA1105" i="2" s="1"/>
  <c r="W1105" i="2"/>
  <c r="Z1105" i="2" s="1"/>
  <c r="AQ1104" i="2"/>
  <c r="X1104" i="2"/>
  <c r="AA1104" i="2" s="1"/>
  <c r="W1104" i="2"/>
  <c r="Z1104" i="2" s="1"/>
  <c r="AQ1103" i="2"/>
  <c r="X1103" i="2"/>
  <c r="AA1103" i="2" s="1"/>
  <c r="W1103" i="2"/>
  <c r="Z1103" i="2" s="1"/>
  <c r="AQ1102" i="2"/>
  <c r="X1102" i="2"/>
  <c r="AA1102" i="2" s="1"/>
  <c r="W1102" i="2"/>
  <c r="Z1102" i="2" s="1"/>
  <c r="AQ1101" i="2"/>
  <c r="X1101" i="2"/>
  <c r="AA1101" i="2" s="1"/>
  <c r="W1101" i="2"/>
  <c r="Z1101" i="2" s="1"/>
  <c r="AQ1100" i="2"/>
  <c r="X1100" i="2"/>
  <c r="AA1100" i="2" s="1"/>
  <c r="W1100" i="2"/>
  <c r="Z1100" i="2" s="1"/>
  <c r="AQ1099" i="2"/>
  <c r="X1099" i="2"/>
  <c r="AA1099" i="2" s="1"/>
  <c r="W1099" i="2"/>
  <c r="Z1099" i="2" s="1"/>
  <c r="AQ1098" i="2"/>
  <c r="X1098" i="2"/>
  <c r="AA1098" i="2" s="1"/>
  <c r="W1098" i="2"/>
  <c r="Z1098" i="2" s="1"/>
  <c r="AQ1097" i="2"/>
  <c r="X1097" i="2"/>
  <c r="AA1097" i="2" s="1"/>
  <c r="W1097" i="2"/>
  <c r="Z1097" i="2" s="1"/>
  <c r="AQ1096" i="2"/>
  <c r="AI1096" i="2"/>
  <c r="AH1096" i="2"/>
  <c r="Z1096" i="2"/>
  <c r="X1096" i="2"/>
  <c r="AA1096" i="2" s="1"/>
  <c r="W1096" i="2"/>
  <c r="AQ1095" i="2"/>
  <c r="AI1095" i="2"/>
  <c r="AH1095" i="2"/>
  <c r="X1095" i="2"/>
  <c r="AA1095" i="2" s="1"/>
  <c r="W1095" i="2"/>
  <c r="Z1095" i="2" s="1"/>
  <c r="AQ1094" i="2"/>
  <c r="AI1094" i="2"/>
  <c r="AH1094" i="2"/>
  <c r="X1094" i="2"/>
  <c r="AA1094" i="2" s="1"/>
  <c r="W1094" i="2"/>
  <c r="Z1094" i="2" s="1"/>
  <c r="AQ1093" i="2"/>
  <c r="X1093" i="2"/>
  <c r="AA1093" i="2" s="1"/>
  <c r="W1093" i="2"/>
  <c r="Z1093" i="2" s="1"/>
  <c r="AQ1092" i="2"/>
  <c r="X1092" i="2"/>
  <c r="AA1092" i="2" s="1"/>
  <c r="W1092" i="2"/>
  <c r="Z1092" i="2" s="1"/>
  <c r="AQ1091" i="2"/>
  <c r="AI1091" i="2"/>
  <c r="AH1091" i="2"/>
  <c r="X1091" i="2"/>
  <c r="AA1091" i="2" s="1"/>
  <c r="W1091" i="2"/>
  <c r="Z1091" i="2" s="1"/>
  <c r="AQ1090" i="2"/>
  <c r="AI1090" i="2"/>
  <c r="AH1090" i="2"/>
  <c r="AA1090" i="2"/>
  <c r="X1090" i="2"/>
  <c r="W1090" i="2"/>
  <c r="Z1090" i="2" s="1"/>
  <c r="AQ1089" i="2"/>
  <c r="AI1089" i="2"/>
  <c r="AH1089" i="2"/>
  <c r="AA1089" i="2"/>
  <c r="Z1089" i="2"/>
  <c r="X1089" i="2"/>
  <c r="W1089" i="2"/>
  <c r="AQ1088" i="2"/>
  <c r="AI1088" i="2"/>
  <c r="AH1088" i="2"/>
  <c r="X1088" i="2"/>
  <c r="AA1088" i="2" s="1"/>
  <c r="W1088" i="2"/>
  <c r="Z1088" i="2" s="1"/>
  <c r="AQ1087" i="2"/>
  <c r="AI1087" i="2"/>
  <c r="AH1087" i="2"/>
  <c r="X1087" i="2"/>
  <c r="AA1087" i="2" s="1"/>
  <c r="W1087" i="2"/>
  <c r="Z1087" i="2" s="1"/>
  <c r="AQ1086" i="2"/>
  <c r="AI1086" i="2"/>
  <c r="AH1086" i="2"/>
  <c r="AA1086" i="2"/>
  <c r="X1086" i="2"/>
  <c r="W1086" i="2"/>
  <c r="Z1086" i="2" s="1"/>
  <c r="AQ1085" i="2"/>
  <c r="AI1085" i="2"/>
  <c r="AH1085" i="2"/>
  <c r="AA1085" i="2"/>
  <c r="Z1085" i="2"/>
  <c r="X1085" i="2"/>
  <c r="W1085" i="2"/>
  <c r="AQ1084" i="2"/>
  <c r="AI1084" i="2"/>
  <c r="AH1084" i="2"/>
  <c r="X1084" i="2"/>
  <c r="AA1084" i="2" s="1"/>
  <c r="W1084" i="2"/>
  <c r="Z1084" i="2" s="1"/>
  <c r="AQ1083" i="2"/>
  <c r="AI1083" i="2"/>
  <c r="AH1083" i="2"/>
  <c r="X1083" i="2"/>
  <c r="AA1083" i="2" s="1"/>
  <c r="W1083" i="2"/>
  <c r="Z1083" i="2" s="1"/>
  <c r="AQ1082" i="2"/>
  <c r="Z1082" i="2"/>
  <c r="X1082" i="2"/>
  <c r="AA1082" i="2" s="1"/>
  <c r="W1082" i="2"/>
  <c r="AQ1081" i="2"/>
  <c r="AA1081" i="2"/>
  <c r="Z1081" i="2"/>
  <c r="X1081" i="2"/>
  <c r="W1081" i="2"/>
  <c r="AQ1080" i="2"/>
  <c r="AA1080" i="2"/>
  <c r="X1080" i="2"/>
  <c r="W1080" i="2"/>
  <c r="Z1080" i="2" s="1"/>
  <c r="AQ1079" i="2"/>
  <c r="X1079" i="2"/>
  <c r="AA1079" i="2" s="1"/>
  <c r="W1079" i="2"/>
  <c r="Z1079" i="2" s="1"/>
  <c r="AQ1078" i="2"/>
  <c r="Z1078" i="2"/>
  <c r="X1078" i="2"/>
  <c r="AA1078" i="2" s="1"/>
  <c r="W1078" i="2"/>
  <c r="AQ1077" i="2"/>
  <c r="AA1077" i="2"/>
  <c r="Z1077" i="2"/>
  <c r="X1077" i="2"/>
  <c r="W1077" i="2"/>
  <c r="AQ1076" i="2"/>
  <c r="AA1076" i="2"/>
  <c r="X1076" i="2"/>
  <c r="W1076" i="2"/>
  <c r="Z1076" i="2" s="1"/>
  <c r="AQ1075" i="2"/>
  <c r="X1075" i="2"/>
  <c r="AA1075" i="2" s="1"/>
  <c r="W1075" i="2"/>
  <c r="Z1075" i="2" s="1"/>
  <c r="AQ1074" i="2"/>
  <c r="Z1074" i="2"/>
  <c r="X1074" i="2"/>
  <c r="AA1074" i="2" s="1"/>
  <c r="W1074" i="2"/>
  <c r="AQ1073" i="2"/>
  <c r="AA1073" i="2"/>
  <c r="Z1073" i="2"/>
  <c r="X1073" i="2"/>
  <c r="W1073" i="2"/>
  <c r="AQ1072" i="2"/>
  <c r="AA1072" i="2"/>
  <c r="X1072" i="2"/>
  <c r="W1072" i="2"/>
  <c r="Z1072" i="2" s="1"/>
  <c r="AQ1071" i="2"/>
  <c r="X1071" i="2"/>
  <c r="AA1071" i="2" s="1"/>
  <c r="W1071" i="2"/>
  <c r="Z1071" i="2" s="1"/>
  <c r="AQ1070" i="2"/>
  <c r="AI1070" i="2"/>
  <c r="AH1070" i="2"/>
  <c r="AA1070" i="2"/>
  <c r="X1070" i="2"/>
  <c r="W1070" i="2"/>
  <c r="Z1070" i="2" s="1"/>
  <c r="AQ1069" i="2"/>
  <c r="AI1069" i="2"/>
  <c r="AH1069" i="2"/>
  <c r="AA1069" i="2"/>
  <c r="Z1069" i="2"/>
  <c r="X1069" i="2"/>
  <c r="W1069" i="2"/>
  <c r="AQ1068" i="2"/>
  <c r="AI1068" i="2"/>
  <c r="AH1068" i="2"/>
  <c r="X1068" i="2"/>
  <c r="AA1068" i="2" s="1"/>
  <c r="W1068" i="2"/>
  <c r="Z1068" i="2" s="1"/>
  <c r="AQ1067" i="2"/>
  <c r="AI1067" i="2"/>
  <c r="AH1067" i="2"/>
  <c r="X1067" i="2"/>
  <c r="AA1067" i="2" s="1"/>
  <c r="W1067" i="2"/>
  <c r="Z1067" i="2" s="1"/>
  <c r="AQ1066" i="2"/>
  <c r="AI1066" i="2"/>
  <c r="AH1066" i="2"/>
  <c r="AA1066" i="2"/>
  <c r="X1066" i="2"/>
  <c r="W1066" i="2"/>
  <c r="Z1066" i="2" s="1"/>
  <c r="AQ1065" i="2"/>
  <c r="AI1065" i="2"/>
  <c r="AH1065" i="2"/>
  <c r="AA1065" i="2"/>
  <c r="Z1065" i="2"/>
  <c r="X1065" i="2"/>
  <c r="W1065" i="2"/>
  <c r="AQ1064" i="2"/>
  <c r="AI1064" i="2"/>
  <c r="AH1064" i="2"/>
  <c r="X1064" i="2"/>
  <c r="AA1064" i="2" s="1"/>
  <c r="W1064" i="2"/>
  <c r="Z1064" i="2" s="1"/>
  <c r="AQ1063" i="2"/>
  <c r="AI1063" i="2"/>
  <c r="AH1063" i="2"/>
  <c r="X1063" i="2"/>
  <c r="AA1063" i="2" s="1"/>
  <c r="W1063" i="2"/>
  <c r="Z1063" i="2" s="1"/>
  <c r="AQ1062" i="2"/>
  <c r="AI1062" i="2"/>
  <c r="AH1062" i="2"/>
  <c r="AA1062" i="2"/>
  <c r="X1062" i="2"/>
  <c r="W1062" i="2"/>
  <c r="Z1062" i="2" s="1"/>
  <c r="AQ1061" i="2"/>
  <c r="X1061" i="2"/>
  <c r="AA1061" i="2" s="1"/>
  <c r="W1061" i="2"/>
  <c r="Z1061" i="2" s="1"/>
  <c r="AQ1060" i="2"/>
  <c r="Z1060" i="2"/>
  <c r="X1060" i="2"/>
  <c r="AA1060" i="2" s="1"/>
  <c r="W1060" i="2"/>
  <c r="AQ1059" i="2"/>
  <c r="AA1059" i="2"/>
  <c r="X1059" i="2"/>
  <c r="W1059" i="2"/>
  <c r="Z1059" i="2" s="1"/>
  <c r="AQ1058" i="2"/>
  <c r="X1058" i="2"/>
  <c r="AA1058" i="2" s="1"/>
  <c r="W1058" i="2"/>
  <c r="Z1058" i="2" s="1"/>
  <c r="AQ1057" i="2"/>
  <c r="X1057" i="2"/>
  <c r="AA1057" i="2" s="1"/>
  <c r="W1057" i="2"/>
  <c r="Z1057" i="2" s="1"/>
  <c r="AQ1056" i="2"/>
  <c r="X1056" i="2"/>
  <c r="AA1056" i="2" s="1"/>
  <c r="W1056" i="2"/>
  <c r="Z1056" i="2" s="1"/>
  <c r="AQ1055" i="2"/>
  <c r="X1055" i="2"/>
  <c r="AA1055" i="2" s="1"/>
  <c r="W1055" i="2"/>
  <c r="Z1055" i="2" s="1"/>
  <c r="AQ1054" i="2"/>
  <c r="X1054" i="2"/>
  <c r="AA1054" i="2" s="1"/>
  <c r="W1054" i="2"/>
  <c r="Z1054" i="2" s="1"/>
  <c r="AQ1053" i="2"/>
  <c r="X1053" i="2"/>
  <c r="AA1053" i="2" s="1"/>
  <c r="W1053" i="2"/>
  <c r="Z1053" i="2" s="1"/>
  <c r="AQ1052" i="2"/>
  <c r="X1052" i="2"/>
  <c r="AA1052" i="2" s="1"/>
  <c r="W1052" i="2"/>
  <c r="Z1052" i="2" s="1"/>
  <c r="AQ1051" i="2"/>
  <c r="X1051" i="2"/>
  <c r="AA1051" i="2" s="1"/>
  <c r="W1051" i="2"/>
  <c r="Z1051" i="2" s="1"/>
  <c r="AQ1050" i="2"/>
  <c r="AI1050" i="2"/>
  <c r="AH1050" i="2"/>
  <c r="AA1050" i="2"/>
  <c r="X1050" i="2"/>
  <c r="W1050" i="2"/>
  <c r="Z1050" i="2" s="1"/>
  <c r="AQ1049" i="2"/>
  <c r="AI1049" i="2"/>
  <c r="AH1049" i="2"/>
  <c r="X1049" i="2"/>
  <c r="AA1049" i="2" s="1"/>
  <c r="W1049" i="2"/>
  <c r="Z1049" i="2" s="1"/>
  <c r="AQ1048" i="2"/>
  <c r="AI1048" i="2"/>
  <c r="AH1048" i="2"/>
  <c r="Z1048" i="2"/>
  <c r="X1048" i="2"/>
  <c r="AA1048" i="2" s="1"/>
  <c r="W1048" i="2"/>
  <c r="AQ1047" i="2"/>
  <c r="AA1047" i="2"/>
  <c r="X1047" i="2"/>
  <c r="W1047" i="2"/>
  <c r="Z1047" i="2" s="1"/>
  <c r="AQ1046" i="2"/>
  <c r="X1046" i="2"/>
  <c r="AA1046" i="2" s="1"/>
  <c r="W1046" i="2"/>
  <c r="Z1046" i="2" s="1"/>
  <c r="AQ1045" i="2"/>
  <c r="AI1045" i="2"/>
  <c r="AH1045" i="2"/>
  <c r="AA1045" i="2"/>
  <c r="Z1045" i="2"/>
  <c r="X1045" i="2"/>
  <c r="W1045" i="2"/>
  <c r="AQ1044" i="2"/>
  <c r="AA1044" i="2"/>
  <c r="X1044" i="2"/>
  <c r="W1044" i="2"/>
  <c r="Z1044" i="2" s="1"/>
  <c r="AQ1043" i="2"/>
  <c r="AI1043" i="2"/>
  <c r="AH1043" i="2"/>
  <c r="Z1043" i="2"/>
  <c r="X1043" i="2"/>
  <c r="AA1043" i="2" s="1"/>
  <c r="W1043" i="2"/>
  <c r="AQ1042" i="2"/>
  <c r="AA1042" i="2"/>
  <c r="X1042" i="2"/>
  <c r="W1042" i="2"/>
  <c r="Z1042" i="2" s="1"/>
  <c r="AQ1041" i="2"/>
  <c r="X1041" i="2"/>
  <c r="AA1041" i="2" s="1"/>
  <c r="W1041" i="2"/>
  <c r="Z1041" i="2" s="1"/>
  <c r="AQ1040" i="2"/>
  <c r="X1040" i="2"/>
  <c r="AA1040" i="2" s="1"/>
  <c r="W1040" i="2"/>
  <c r="Z1040" i="2" s="1"/>
  <c r="AQ1039" i="2"/>
  <c r="Z1039" i="2"/>
  <c r="X1039" i="2"/>
  <c r="AA1039" i="2" s="1"/>
  <c r="W1039" i="2"/>
  <c r="AQ1038" i="2"/>
  <c r="AA1038" i="2"/>
  <c r="X1038" i="2"/>
  <c r="W1038" i="2"/>
  <c r="Z1038" i="2" s="1"/>
  <c r="AQ1037" i="2"/>
  <c r="X1037" i="2"/>
  <c r="AA1037" i="2" s="1"/>
  <c r="W1037" i="2"/>
  <c r="Z1037" i="2" s="1"/>
  <c r="AQ1036" i="2"/>
  <c r="X1036" i="2"/>
  <c r="AA1036" i="2" s="1"/>
  <c r="W1036" i="2"/>
  <c r="Z1036" i="2" s="1"/>
  <c r="AQ1035" i="2"/>
  <c r="Z1035" i="2"/>
  <c r="X1035" i="2"/>
  <c r="AA1035" i="2" s="1"/>
  <c r="W1035" i="2"/>
  <c r="AQ1034" i="2"/>
  <c r="AA1034" i="2"/>
  <c r="X1034" i="2"/>
  <c r="W1034" i="2"/>
  <c r="Z1034" i="2" s="1"/>
  <c r="AQ1033" i="2"/>
  <c r="AC1033" i="2"/>
  <c r="Z1033" i="2"/>
  <c r="X1033" i="2"/>
  <c r="AA1033" i="2" s="1"/>
  <c r="W1033" i="2"/>
  <c r="AQ1032" i="2"/>
  <c r="AI1032" i="2"/>
  <c r="AC1032" i="2"/>
  <c r="AH1032" i="2" s="1"/>
  <c r="X1032" i="2"/>
  <c r="AA1032" i="2" s="1"/>
  <c r="W1032" i="2"/>
  <c r="Z1032" i="2" s="1"/>
  <c r="AQ1031" i="2"/>
  <c r="AC1031" i="2"/>
  <c r="AH1031" i="2" s="1"/>
  <c r="Z1031" i="2"/>
  <c r="X1031" i="2"/>
  <c r="AA1031" i="2" s="1"/>
  <c r="W1031" i="2"/>
  <c r="AQ1030" i="2"/>
  <c r="AI1030" i="2"/>
  <c r="AC1030" i="2"/>
  <c r="AH1030" i="2" s="1"/>
  <c r="X1030" i="2"/>
  <c r="AA1030" i="2" s="1"/>
  <c r="W1030" i="2"/>
  <c r="Z1030" i="2" s="1"/>
  <c r="AQ1029" i="2"/>
  <c r="AC1029" i="2"/>
  <c r="AH1029" i="2" s="1"/>
  <c r="Z1029" i="2"/>
  <c r="X1029" i="2"/>
  <c r="AA1029" i="2" s="1"/>
  <c r="W1029" i="2"/>
  <c r="AQ1028" i="2"/>
  <c r="AI1028" i="2"/>
  <c r="AC1028" i="2"/>
  <c r="AH1028" i="2" s="1"/>
  <c r="X1028" i="2"/>
  <c r="AA1028" i="2" s="1"/>
  <c r="W1028" i="2"/>
  <c r="Z1028" i="2" s="1"/>
  <c r="AQ1027" i="2"/>
  <c r="AC1027" i="2"/>
  <c r="AH1027" i="2" s="1"/>
  <c r="Z1027" i="2"/>
  <c r="X1027" i="2"/>
  <c r="AA1027" i="2" s="1"/>
  <c r="W1027" i="2"/>
  <c r="AQ1026" i="2"/>
  <c r="AI1026" i="2"/>
  <c r="AC1026" i="2"/>
  <c r="AH1026" i="2" s="1"/>
  <c r="X1026" i="2"/>
  <c r="AA1026" i="2" s="1"/>
  <c r="W1026" i="2"/>
  <c r="Z1026" i="2" s="1"/>
  <c r="AQ1025" i="2"/>
  <c r="AC1025" i="2"/>
  <c r="AH1025" i="2" s="1"/>
  <c r="AA1025" i="2"/>
  <c r="X1025" i="2"/>
  <c r="W1025" i="2"/>
  <c r="Z1025" i="2" s="1"/>
  <c r="AQ1024" i="2"/>
  <c r="AI1024" i="2"/>
  <c r="AC1024" i="2"/>
  <c r="AH1024" i="2" s="1"/>
  <c r="AA1024" i="2"/>
  <c r="Z1024" i="2"/>
  <c r="X1024" i="2"/>
  <c r="W1024" i="2"/>
  <c r="AQ1023" i="2"/>
  <c r="AI1023" i="2"/>
  <c r="AC1023" i="2"/>
  <c r="AH1023" i="2" s="1"/>
  <c r="X1023" i="2"/>
  <c r="AA1023" i="2" s="1"/>
  <c r="W1023" i="2"/>
  <c r="Z1023" i="2" s="1"/>
  <c r="AQ1022" i="2"/>
  <c r="AC1022" i="2"/>
  <c r="AH1022" i="2" s="1"/>
  <c r="AA1022" i="2"/>
  <c r="X1022" i="2"/>
  <c r="W1022" i="2"/>
  <c r="Z1022" i="2" s="1"/>
  <c r="AQ1021" i="2"/>
  <c r="AC1021" i="2"/>
  <c r="AH1021" i="2" s="1"/>
  <c r="AA1021" i="2"/>
  <c r="X1021" i="2"/>
  <c r="W1021" i="2"/>
  <c r="Z1021" i="2" s="1"/>
  <c r="AQ1020" i="2"/>
  <c r="AC1020" i="2"/>
  <c r="AH1020" i="2" s="1"/>
  <c r="X1020" i="2"/>
  <c r="AA1020" i="2" s="1"/>
  <c r="W1020" i="2"/>
  <c r="Z1020" i="2" s="1"/>
  <c r="AQ1019" i="2"/>
  <c r="AC1019" i="2"/>
  <c r="AH1019" i="2" s="1"/>
  <c r="X1019" i="2"/>
  <c r="AA1019" i="2" s="1"/>
  <c r="W1019" i="2"/>
  <c r="Z1019" i="2" s="1"/>
  <c r="AQ1018" i="2"/>
  <c r="AC1018" i="2"/>
  <c r="AH1018" i="2" s="1"/>
  <c r="AA1018" i="2"/>
  <c r="X1018" i="2"/>
  <c r="W1018" i="2"/>
  <c r="Z1018" i="2" s="1"/>
  <c r="AQ1017" i="2"/>
  <c r="AC1017" i="2"/>
  <c r="AH1017" i="2" s="1"/>
  <c r="AA1017" i="2"/>
  <c r="X1017" i="2"/>
  <c r="W1017" i="2"/>
  <c r="Z1017" i="2" s="1"/>
  <c r="AQ1016" i="2"/>
  <c r="AC1016" i="2"/>
  <c r="AH1016" i="2" s="1"/>
  <c r="X1016" i="2"/>
  <c r="AA1016" i="2" s="1"/>
  <c r="W1016" i="2"/>
  <c r="Z1016" i="2" s="1"/>
  <c r="AQ1015" i="2"/>
  <c r="AC1015" i="2"/>
  <c r="AH1015" i="2" s="1"/>
  <c r="X1015" i="2"/>
  <c r="AA1015" i="2" s="1"/>
  <c r="W1015" i="2"/>
  <c r="Z1015" i="2" s="1"/>
  <c r="AQ1014" i="2"/>
  <c r="AC1014" i="2"/>
  <c r="AH1014" i="2" s="1"/>
  <c r="AA1014" i="2"/>
  <c r="X1014" i="2"/>
  <c r="W1014" i="2"/>
  <c r="Z1014" i="2" s="1"/>
  <c r="AQ1013" i="2"/>
  <c r="AC1013" i="2"/>
  <c r="AH1013" i="2" s="1"/>
  <c r="AA1013" i="2"/>
  <c r="X1013" i="2"/>
  <c r="W1013" i="2"/>
  <c r="Z1013" i="2" s="1"/>
  <c r="AQ1012" i="2"/>
  <c r="AC1012" i="2"/>
  <c r="AH1012" i="2" s="1"/>
  <c r="X1012" i="2"/>
  <c r="AA1012" i="2" s="1"/>
  <c r="W1012" i="2"/>
  <c r="Z1012" i="2" s="1"/>
  <c r="AQ1011" i="2"/>
  <c r="AC1011" i="2"/>
  <c r="AH1011" i="2" s="1"/>
  <c r="X1011" i="2"/>
  <c r="AA1011" i="2" s="1"/>
  <c r="W1011" i="2"/>
  <c r="Z1011" i="2" s="1"/>
  <c r="AQ1010" i="2"/>
  <c r="AC1010" i="2"/>
  <c r="AH1010" i="2" s="1"/>
  <c r="AA1010" i="2"/>
  <c r="X1010" i="2"/>
  <c r="W1010" i="2"/>
  <c r="Z1010" i="2" s="1"/>
  <c r="AQ1009" i="2"/>
  <c r="AC1009" i="2"/>
  <c r="AH1009" i="2" s="1"/>
  <c r="AA1009" i="2"/>
  <c r="X1009" i="2"/>
  <c r="W1009" i="2"/>
  <c r="Z1009" i="2" s="1"/>
  <c r="AQ1008" i="2"/>
  <c r="AC1008" i="2"/>
  <c r="AH1008" i="2" s="1"/>
  <c r="X1008" i="2"/>
  <c r="AA1008" i="2" s="1"/>
  <c r="W1008" i="2"/>
  <c r="Z1008" i="2" s="1"/>
  <c r="AQ1007" i="2"/>
  <c r="AC1007" i="2"/>
  <c r="AH1007" i="2" s="1"/>
  <c r="X1007" i="2"/>
  <c r="AA1007" i="2" s="1"/>
  <c r="W1007" i="2"/>
  <c r="Z1007" i="2" s="1"/>
  <c r="AQ1006" i="2"/>
  <c r="X1006" i="2"/>
  <c r="AA1006" i="2" s="1"/>
  <c r="W1006" i="2"/>
  <c r="Z1006" i="2" s="1"/>
  <c r="AQ1005" i="2"/>
  <c r="AH1005" i="2"/>
  <c r="AC1005" i="2"/>
  <c r="AI1005" i="2" s="1"/>
  <c r="X1005" i="2"/>
  <c r="AA1005" i="2" s="1"/>
  <c r="W1005" i="2"/>
  <c r="Z1005" i="2" s="1"/>
  <c r="AQ1004" i="2"/>
  <c r="AC1004" i="2"/>
  <c r="AI1004" i="2" s="1"/>
  <c r="X1004" i="2"/>
  <c r="AA1004" i="2" s="1"/>
  <c r="W1004" i="2"/>
  <c r="Z1004" i="2" s="1"/>
  <c r="AQ1003" i="2"/>
  <c r="AH1003" i="2"/>
  <c r="AC1003" i="2"/>
  <c r="AI1003" i="2" s="1"/>
  <c r="X1003" i="2"/>
  <c r="AA1003" i="2" s="1"/>
  <c r="W1003" i="2"/>
  <c r="Z1003" i="2" s="1"/>
  <c r="AQ1002" i="2"/>
  <c r="AH1002" i="2"/>
  <c r="AC1002" i="2"/>
  <c r="AI1002" i="2" s="1"/>
  <c r="X1002" i="2"/>
  <c r="AA1002" i="2" s="1"/>
  <c r="W1002" i="2"/>
  <c r="Z1002" i="2" s="1"/>
  <c r="AQ1001" i="2"/>
  <c r="AH1001" i="2"/>
  <c r="AC1001" i="2"/>
  <c r="AI1001" i="2" s="1"/>
  <c r="X1001" i="2"/>
  <c r="AA1001" i="2" s="1"/>
  <c r="W1001" i="2"/>
  <c r="Z1001" i="2" s="1"/>
  <c r="AQ1000" i="2"/>
  <c r="AC1000" i="2"/>
  <c r="AI1000" i="2" s="1"/>
  <c r="X1000" i="2"/>
  <c r="AA1000" i="2" s="1"/>
  <c r="W1000" i="2"/>
  <c r="Z1000" i="2" s="1"/>
  <c r="AQ999" i="2"/>
  <c r="AH999" i="2"/>
  <c r="AC999" i="2"/>
  <c r="AI999" i="2" s="1"/>
  <c r="X999" i="2"/>
  <c r="AA999" i="2" s="1"/>
  <c r="W999" i="2"/>
  <c r="Z999" i="2" s="1"/>
  <c r="AQ998" i="2"/>
  <c r="AH998" i="2"/>
  <c r="AC998" i="2"/>
  <c r="AI998" i="2" s="1"/>
  <c r="X998" i="2"/>
  <c r="AA998" i="2" s="1"/>
  <c r="W998" i="2"/>
  <c r="Z998" i="2" s="1"/>
  <c r="AQ997" i="2"/>
  <c r="AH997" i="2"/>
  <c r="AC997" i="2"/>
  <c r="AI997" i="2" s="1"/>
  <c r="X997" i="2"/>
  <c r="AA997" i="2" s="1"/>
  <c r="W997" i="2"/>
  <c r="Z997" i="2" s="1"/>
  <c r="AQ996" i="2"/>
  <c r="AC996" i="2"/>
  <c r="AI996" i="2" s="1"/>
  <c r="X996" i="2"/>
  <c r="AA996" i="2" s="1"/>
  <c r="W996" i="2"/>
  <c r="Z996" i="2" s="1"/>
  <c r="AQ995" i="2"/>
  <c r="AH995" i="2"/>
  <c r="AC995" i="2"/>
  <c r="AI995" i="2" s="1"/>
  <c r="X995" i="2"/>
  <c r="AA995" i="2" s="1"/>
  <c r="W995" i="2"/>
  <c r="Z995" i="2" s="1"/>
  <c r="AQ994" i="2"/>
  <c r="AI994" i="2"/>
  <c r="AH994" i="2"/>
  <c r="S994" i="2"/>
  <c r="R994" i="2"/>
  <c r="Q994" i="2"/>
  <c r="W994" i="2" s="1"/>
  <c r="Z994" i="2" s="1"/>
  <c r="AQ993" i="2"/>
  <c r="AI993" i="2"/>
  <c r="AH993" i="2"/>
  <c r="AC993" i="2"/>
  <c r="Z993" i="2"/>
  <c r="X993" i="2"/>
  <c r="AA993" i="2" s="1"/>
  <c r="W993" i="2"/>
  <c r="AQ992" i="2"/>
  <c r="AI992" i="2"/>
  <c r="AH992" i="2"/>
  <c r="AC992" i="2"/>
  <c r="Z992" i="2"/>
  <c r="X992" i="2"/>
  <c r="AA992" i="2" s="1"/>
  <c r="W992" i="2"/>
  <c r="AQ991" i="2"/>
  <c r="AI991" i="2"/>
  <c r="AH991" i="2"/>
  <c r="AC991" i="2"/>
  <c r="Z991" i="2"/>
  <c r="X991" i="2"/>
  <c r="AA991" i="2" s="1"/>
  <c r="W991" i="2"/>
  <c r="AQ990" i="2"/>
  <c r="AI990" i="2"/>
  <c r="AH990" i="2"/>
  <c r="AC990" i="2"/>
  <c r="Z990" i="2"/>
  <c r="X990" i="2"/>
  <c r="AA990" i="2" s="1"/>
  <c r="W990" i="2"/>
  <c r="AQ989" i="2"/>
  <c r="AI989" i="2"/>
  <c r="AH989" i="2"/>
  <c r="AC989" i="2"/>
  <c r="Z989" i="2"/>
  <c r="X989" i="2"/>
  <c r="AA989" i="2" s="1"/>
  <c r="W989" i="2"/>
  <c r="AQ988" i="2"/>
  <c r="AI988" i="2"/>
  <c r="AH988" i="2"/>
  <c r="AC988" i="2"/>
  <c r="Z988" i="2"/>
  <c r="X988" i="2"/>
  <c r="AA988" i="2" s="1"/>
  <c r="W988" i="2"/>
  <c r="AQ987" i="2"/>
  <c r="AI987" i="2"/>
  <c r="AH987" i="2"/>
  <c r="AC987" i="2"/>
  <c r="Z987" i="2"/>
  <c r="X987" i="2"/>
  <c r="AA987" i="2" s="1"/>
  <c r="W987" i="2"/>
  <c r="AQ986" i="2"/>
  <c r="AI986" i="2"/>
  <c r="AH986" i="2"/>
  <c r="AC986" i="2"/>
  <c r="Z986" i="2"/>
  <c r="X986" i="2"/>
  <c r="AA986" i="2" s="1"/>
  <c r="W986" i="2"/>
  <c r="AQ985" i="2"/>
  <c r="AI985" i="2"/>
  <c r="AH985" i="2"/>
  <c r="AC985" i="2"/>
  <c r="Z985" i="2"/>
  <c r="X985" i="2"/>
  <c r="AA985" i="2" s="1"/>
  <c r="W985" i="2"/>
  <c r="AQ984" i="2"/>
  <c r="AI984" i="2"/>
  <c r="AH984" i="2"/>
  <c r="Q984" i="2"/>
  <c r="X984" i="2" s="1"/>
  <c r="AA984" i="2" s="1"/>
  <c r="AQ983" i="2"/>
  <c r="AC983" i="2"/>
  <c r="AI983" i="2" s="1"/>
  <c r="X983" i="2"/>
  <c r="AA983" i="2" s="1"/>
  <c r="W983" i="2"/>
  <c r="Z983" i="2" s="1"/>
  <c r="AQ982" i="2"/>
  <c r="AC982" i="2"/>
  <c r="AI982" i="2" s="1"/>
  <c r="X982" i="2"/>
  <c r="AA982" i="2" s="1"/>
  <c r="W982" i="2"/>
  <c r="Z982" i="2" s="1"/>
  <c r="AQ981" i="2"/>
  <c r="AC981" i="2"/>
  <c r="AI981" i="2" s="1"/>
  <c r="X981" i="2"/>
  <c r="AA981" i="2" s="1"/>
  <c r="W981" i="2"/>
  <c r="Z981" i="2" s="1"/>
  <c r="AQ980" i="2"/>
  <c r="AI980" i="2"/>
  <c r="AH980" i="2"/>
  <c r="Z980" i="2"/>
  <c r="X980" i="2"/>
  <c r="AA980" i="2" s="1"/>
  <c r="W980" i="2"/>
  <c r="AQ979" i="2"/>
  <c r="AI979" i="2"/>
  <c r="AC979" i="2"/>
  <c r="AH979" i="2" s="1"/>
  <c r="X979" i="2"/>
  <c r="AA979" i="2" s="1"/>
  <c r="W979" i="2"/>
  <c r="Z979" i="2" s="1"/>
  <c r="AQ978" i="2"/>
  <c r="AC978" i="2"/>
  <c r="AH978" i="2" s="1"/>
  <c r="Z978" i="2"/>
  <c r="X978" i="2"/>
  <c r="AA978" i="2" s="1"/>
  <c r="W978" i="2"/>
  <c r="AQ977" i="2"/>
  <c r="AI977" i="2"/>
  <c r="AC977" i="2"/>
  <c r="AH977" i="2" s="1"/>
  <c r="X977" i="2"/>
  <c r="AA977" i="2" s="1"/>
  <c r="W977" i="2"/>
  <c r="Z977" i="2" s="1"/>
  <c r="AQ976" i="2"/>
  <c r="AC976" i="2"/>
  <c r="AH976" i="2" s="1"/>
  <c r="X976" i="2"/>
  <c r="AA976" i="2" s="1"/>
  <c r="W976" i="2"/>
  <c r="Z976" i="2" s="1"/>
  <c r="AQ975" i="2"/>
  <c r="AC975" i="2"/>
  <c r="AI975" i="2" s="1"/>
  <c r="X975" i="2"/>
  <c r="AA975" i="2" s="1"/>
  <c r="W975" i="2"/>
  <c r="Z975" i="2" s="1"/>
  <c r="AQ974" i="2"/>
  <c r="AC974" i="2"/>
  <c r="AI974" i="2" s="1"/>
  <c r="X974" i="2"/>
  <c r="AA974" i="2" s="1"/>
  <c r="W974" i="2"/>
  <c r="Z974" i="2" s="1"/>
  <c r="AQ973" i="2"/>
  <c r="AC973" i="2"/>
  <c r="AI973" i="2" s="1"/>
  <c r="X973" i="2"/>
  <c r="AA973" i="2" s="1"/>
  <c r="W973" i="2"/>
  <c r="Z973" i="2" s="1"/>
  <c r="AQ972" i="2"/>
  <c r="AI972" i="2"/>
  <c r="AH972" i="2"/>
  <c r="AA972" i="2"/>
  <c r="X972" i="2"/>
  <c r="W972" i="2"/>
  <c r="Z972" i="2" s="1"/>
  <c r="AQ971" i="2"/>
  <c r="AI971" i="2"/>
  <c r="AH971" i="2"/>
  <c r="Z971" i="2"/>
  <c r="X971" i="2"/>
  <c r="AA971" i="2" s="1"/>
  <c r="W971" i="2"/>
  <c r="AQ970" i="2"/>
  <c r="AI970" i="2"/>
  <c r="AH970" i="2"/>
  <c r="X970" i="2"/>
  <c r="AA970" i="2" s="1"/>
  <c r="W970" i="2"/>
  <c r="Z970" i="2" s="1"/>
  <c r="AQ969" i="2"/>
  <c r="AI969" i="2"/>
  <c r="AH969" i="2"/>
  <c r="X969" i="2"/>
  <c r="AA969" i="2" s="1"/>
  <c r="W969" i="2"/>
  <c r="Z969" i="2" s="1"/>
  <c r="AQ968" i="2"/>
  <c r="AI968" i="2"/>
  <c r="AH968" i="2"/>
  <c r="AA968" i="2"/>
  <c r="X968" i="2"/>
  <c r="W968" i="2"/>
  <c r="Z968" i="2" s="1"/>
  <c r="AQ967" i="2"/>
  <c r="AI967" i="2"/>
  <c r="AH967" i="2"/>
  <c r="Z967" i="2"/>
  <c r="X967" i="2"/>
  <c r="AA967" i="2" s="1"/>
  <c r="W967" i="2"/>
  <c r="AQ966" i="2"/>
  <c r="AA966" i="2"/>
  <c r="X966" i="2"/>
  <c r="W966" i="2"/>
  <c r="Z966" i="2" s="1"/>
  <c r="AQ965" i="2"/>
  <c r="X965" i="2"/>
  <c r="AA965" i="2" s="1"/>
  <c r="W965" i="2"/>
  <c r="Z965" i="2" s="1"/>
  <c r="AQ964" i="2"/>
  <c r="X964" i="2"/>
  <c r="AA964" i="2" s="1"/>
  <c r="W964" i="2"/>
  <c r="Z964" i="2" s="1"/>
  <c r="AQ963" i="2"/>
  <c r="Z963" i="2"/>
  <c r="X963" i="2"/>
  <c r="AA963" i="2" s="1"/>
  <c r="W963" i="2"/>
  <c r="AQ962" i="2"/>
  <c r="X962" i="2"/>
  <c r="AA962" i="2" s="1"/>
  <c r="W962" i="2"/>
  <c r="Z962" i="2" s="1"/>
  <c r="AQ961" i="2"/>
  <c r="X961" i="2"/>
  <c r="AA961" i="2" s="1"/>
  <c r="W961" i="2"/>
  <c r="Z961" i="2" s="1"/>
  <c r="AQ960" i="2"/>
  <c r="X960" i="2"/>
  <c r="AA960" i="2" s="1"/>
  <c r="W960" i="2"/>
  <c r="Z960" i="2" s="1"/>
  <c r="AQ959" i="2"/>
  <c r="AI959" i="2"/>
  <c r="AH959" i="2"/>
  <c r="X959" i="2"/>
  <c r="AA959" i="2" s="1"/>
  <c r="W959" i="2"/>
  <c r="Z959" i="2" s="1"/>
  <c r="AQ958" i="2"/>
  <c r="Z958" i="2"/>
  <c r="X958" i="2"/>
  <c r="AA958" i="2" s="1"/>
  <c r="W958" i="2"/>
  <c r="AQ957" i="2"/>
  <c r="AA957" i="2"/>
  <c r="Z957" i="2"/>
  <c r="X957" i="2"/>
  <c r="W957" i="2"/>
  <c r="AQ956" i="2"/>
  <c r="AA956" i="2"/>
  <c r="X956" i="2"/>
  <c r="W956" i="2"/>
  <c r="Z956" i="2" s="1"/>
  <c r="AQ955" i="2"/>
  <c r="AI955" i="2"/>
  <c r="AH955" i="2"/>
  <c r="Z955" i="2"/>
  <c r="X955" i="2"/>
  <c r="AA955" i="2" s="1"/>
  <c r="W955" i="2"/>
  <c r="AQ954" i="2"/>
  <c r="X954" i="2"/>
  <c r="AA954" i="2" s="1"/>
  <c r="W954" i="2"/>
  <c r="Z954" i="2" s="1"/>
  <c r="AQ953" i="2"/>
  <c r="X953" i="2"/>
  <c r="AA953" i="2" s="1"/>
  <c r="W953" i="2"/>
  <c r="Z953" i="2" s="1"/>
  <c r="AQ952" i="2"/>
  <c r="AI952" i="2"/>
  <c r="AH952" i="2"/>
  <c r="AA952" i="2"/>
  <c r="X952" i="2"/>
  <c r="W952" i="2"/>
  <c r="Z952" i="2" s="1"/>
  <c r="AQ951" i="2"/>
  <c r="AI951" i="2"/>
  <c r="AH951" i="2"/>
  <c r="Z951" i="2"/>
  <c r="X951" i="2"/>
  <c r="AA951" i="2" s="1"/>
  <c r="W951" i="2"/>
  <c r="AQ950" i="2"/>
  <c r="AI950" i="2"/>
  <c r="AH950" i="2"/>
  <c r="X950" i="2"/>
  <c r="AA950" i="2" s="1"/>
  <c r="W950" i="2"/>
  <c r="Z950" i="2" s="1"/>
  <c r="AQ949" i="2"/>
  <c r="AI949" i="2"/>
  <c r="AH949" i="2"/>
  <c r="X949" i="2"/>
  <c r="AA949" i="2" s="1"/>
  <c r="W949" i="2"/>
  <c r="Z949" i="2" s="1"/>
  <c r="AQ948" i="2"/>
  <c r="AI948" i="2"/>
  <c r="AH948" i="2"/>
  <c r="AA948" i="2"/>
  <c r="X948" i="2"/>
  <c r="W948" i="2"/>
  <c r="Z948" i="2" s="1"/>
  <c r="AQ947" i="2"/>
  <c r="AI947" i="2"/>
  <c r="AH947" i="2"/>
  <c r="Z947" i="2"/>
  <c r="X947" i="2"/>
  <c r="AA947" i="2" s="1"/>
  <c r="W947" i="2"/>
  <c r="AQ946" i="2"/>
  <c r="AI946" i="2"/>
  <c r="AH946" i="2"/>
  <c r="X946" i="2"/>
  <c r="AA946" i="2" s="1"/>
  <c r="W946" i="2"/>
  <c r="Z946" i="2" s="1"/>
  <c r="AQ945" i="2"/>
  <c r="AI945" i="2"/>
  <c r="AH945" i="2"/>
  <c r="X945" i="2"/>
  <c r="AA945" i="2" s="1"/>
  <c r="W945" i="2"/>
  <c r="Z945" i="2" s="1"/>
  <c r="AQ944" i="2"/>
  <c r="AI944" i="2"/>
  <c r="AH944" i="2"/>
  <c r="AA944" i="2"/>
  <c r="X944" i="2"/>
  <c r="W944" i="2"/>
  <c r="Z944" i="2" s="1"/>
  <c r="AQ943" i="2"/>
  <c r="X943" i="2"/>
  <c r="AA943" i="2" s="1"/>
  <c r="W943" i="2"/>
  <c r="Z943" i="2" s="1"/>
  <c r="AQ942" i="2"/>
  <c r="Z942" i="2"/>
  <c r="X942" i="2"/>
  <c r="AA942" i="2" s="1"/>
  <c r="W942" i="2"/>
  <c r="AQ941" i="2"/>
  <c r="AA941" i="2"/>
  <c r="Z941" i="2"/>
  <c r="X941" i="2"/>
  <c r="W941" i="2"/>
  <c r="AQ940" i="2"/>
  <c r="AA940" i="2"/>
  <c r="X940" i="2"/>
  <c r="W940" i="2"/>
  <c r="Z940" i="2" s="1"/>
  <c r="AQ939" i="2"/>
  <c r="AI939" i="2"/>
  <c r="AH939" i="2"/>
  <c r="Z939" i="2"/>
  <c r="X939" i="2"/>
  <c r="AA939" i="2" s="1"/>
  <c r="W939" i="2"/>
  <c r="AQ938" i="2"/>
  <c r="AI938" i="2"/>
  <c r="AH938" i="2"/>
  <c r="X938" i="2"/>
  <c r="AA938" i="2" s="1"/>
  <c r="W938" i="2"/>
  <c r="Z938" i="2" s="1"/>
  <c r="AQ937" i="2"/>
  <c r="AI937" i="2"/>
  <c r="AH937" i="2"/>
  <c r="X937" i="2"/>
  <c r="AA937" i="2" s="1"/>
  <c r="W937" i="2"/>
  <c r="Z937" i="2" s="1"/>
  <c r="AQ936" i="2"/>
  <c r="X936" i="2"/>
  <c r="AA936" i="2" s="1"/>
  <c r="W936" i="2"/>
  <c r="Z936" i="2" s="1"/>
  <c r="AQ935" i="2"/>
  <c r="Z935" i="2"/>
  <c r="X935" i="2"/>
  <c r="AA935" i="2" s="1"/>
  <c r="W935" i="2"/>
  <c r="AQ934" i="2"/>
  <c r="AI934" i="2"/>
  <c r="AH934" i="2"/>
  <c r="X934" i="2"/>
  <c r="AA934" i="2" s="1"/>
  <c r="W934" i="2"/>
  <c r="Z934" i="2" s="1"/>
  <c r="AQ933" i="2"/>
  <c r="X933" i="2"/>
  <c r="AA933" i="2" s="1"/>
  <c r="W933" i="2"/>
  <c r="Z933" i="2" s="1"/>
  <c r="AQ932" i="2"/>
  <c r="AI932" i="2"/>
  <c r="AH932" i="2"/>
  <c r="X932" i="2"/>
  <c r="AA932" i="2" s="1"/>
  <c r="W932" i="2"/>
  <c r="Z932" i="2" s="1"/>
  <c r="AQ931" i="2"/>
  <c r="AI931" i="2"/>
  <c r="AH931" i="2"/>
  <c r="X931" i="2"/>
  <c r="AA931" i="2" s="1"/>
  <c r="W931" i="2"/>
  <c r="Z931" i="2" s="1"/>
  <c r="AQ930" i="2"/>
  <c r="AI930" i="2"/>
  <c r="AH930" i="2"/>
  <c r="X930" i="2"/>
  <c r="AA930" i="2" s="1"/>
  <c r="W930" i="2"/>
  <c r="Z930" i="2" s="1"/>
  <c r="AQ929" i="2"/>
  <c r="AI929" i="2"/>
  <c r="AH929" i="2"/>
  <c r="X929" i="2"/>
  <c r="AA929" i="2" s="1"/>
  <c r="W929" i="2"/>
  <c r="Z929" i="2" s="1"/>
  <c r="AQ928" i="2"/>
  <c r="AI928" i="2"/>
  <c r="AH928" i="2"/>
  <c r="X928" i="2"/>
  <c r="AA928" i="2" s="1"/>
  <c r="W928" i="2"/>
  <c r="Z928" i="2" s="1"/>
  <c r="AQ927" i="2"/>
  <c r="AI927" i="2"/>
  <c r="AH927" i="2"/>
  <c r="X927" i="2"/>
  <c r="AA927" i="2" s="1"/>
  <c r="W927" i="2"/>
  <c r="Z927" i="2" s="1"/>
  <c r="AQ926" i="2"/>
  <c r="AI926" i="2"/>
  <c r="AH926" i="2"/>
  <c r="AA926" i="2"/>
  <c r="Z926" i="2"/>
  <c r="X926" i="2"/>
  <c r="W926" i="2"/>
  <c r="AQ925" i="2"/>
  <c r="AI925" i="2"/>
  <c r="AH925" i="2"/>
  <c r="X925" i="2"/>
  <c r="AA925" i="2" s="1"/>
  <c r="W925" i="2"/>
  <c r="Z925" i="2" s="1"/>
  <c r="AQ924" i="2"/>
  <c r="AI924" i="2"/>
  <c r="AH924" i="2"/>
  <c r="X924" i="2"/>
  <c r="AA924" i="2" s="1"/>
  <c r="W924" i="2"/>
  <c r="Z924" i="2" s="1"/>
  <c r="AQ923" i="2"/>
  <c r="AI923" i="2"/>
  <c r="AH923" i="2"/>
  <c r="X923" i="2"/>
  <c r="AA923" i="2" s="1"/>
  <c r="W923" i="2"/>
  <c r="Z923" i="2" s="1"/>
  <c r="AQ922" i="2"/>
  <c r="AI922" i="2"/>
  <c r="AH922" i="2"/>
  <c r="X922" i="2"/>
  <c r="AA922" i="2" s="1"/>
  <c r="W922" i="2"/>
  <c r="Z922" i="2" s="1"/>
  <c r="AQ921" i="2"/>
  <c r="AI921" i="2"/>
  <c r="AH921" i="2"/>
  <c r="X921" i="2"/>
  <c r="AA921" i="2" s="1"/>
  <c r="W921" i="2"/>
  <c r="Z921" i="2" s="1"/>
  <c r="AQ920" i="2"/>
  <c r="AI920" i="2"/>
  <c r="AH920" i="2"/>
  <c r="X920" i="2"/>
  <c r="AA920" i="2" s="1"/>
  <c r="W920" i="2"/>
  <c r="Z920" i="2" s="1"/>
  <c r="AQ919" i="2"/>
  <c r="AI919" i="2"/>
  <c r="AH919" i="2"/>
  <c r="AA919" i="2"/>
  <c r="X919" i="2"/>
  <c r="W919" i="2"/>
  <c r="Z919" i="2" s="1"/>
  <c r="AQ918" i="2"/>
  <c r="X918" i="2"/>
  <c r="AA918" i="2" s="1"/>
  <c r="W918" i="2"/>
  <c r="Z918" i="2" s="1"/>
  <c r="AQ917" i="2"/>
  <c r="Z917" i="2"/>
  <c r="X917" i="2"/>
  <c r="AA917" i="2" s="1"/>
  <c r="W917" i="2"/>
  <c r="AQ916" i="2"/>
  <c r="AA916" i="2"/>
  <c r="Z916" i="2"/>
  <c r="X916" i="2"/>
  <c r="W916" i="2"/>
  <c r="AQ915" i="2"/>
  <c r="W915" i="2"/>
  <c r="Z915" i="2" s="1"/>
  <c r="S915" i="2"/>
  <c r="R915" i="2"/>
  <c r="Q915" i="2"/>
  <c r="AQ914" i="2"/>
  <c r="X914" i="2"/>
  <c r="AA914" i="2" s="1"/>
  <c r="W914" i="2"/>
  <c r="Z914" i="2" s="1"/>
  <c r="AQ913" i="2"/>
  <c r="X913" i="2"/>
  <c r="AA913" i="2" s="1"/>
  <c r="W913" i="2"/>
  <c r="Z913" i="2" s="1"/>
  <c r="AQ912" i="2"/>
  <c r="Z912" i="2"/>
  <c r="X912" i="2"/>
  <c r="AA912" i="2" s="1"/>
  <c r="W912" i="2"/>
  <c r="AQ911" i="2"/>
  <c r="AA911" i="2"/>
  <c r="X911" i="2"/>
  <c r="W911" i="2"/>
  <c r="Z911" i="2" s="1"/>
  <c r="AQ910" i="2"/>
  <c r="X910" i="2"/>
  <c r="AA910" i="2" s="1"/>
  <c r="W910" i="2"/>
  <c r="Z910" i="2" s="1"/>
  <c r="AQ909" i="2"/>
  <c r="X909" i="2"/>
  <c r="AA909" i="2" s="1"/>
  <c r="W909" i="2"/>
  <c r="Z909" i="2" s="1"/>
  <c r="AQ908" i="2"/>
  <c r="Z908" i="2"/>
  <c r="X908" i="2"/>
  <c r="AA908" i="2" s="1"/>
  <c r="W908" i="2"/>
  <c r="AQ907" i="2"/>
  <c r="AA907" i="2"/>
  <c r="X907" i="2"/>
  <c r="W907" i="2"/>
  <c r="Z907" i="2" s="1"/>
  <c r="AQ906" i="2"/>
  <c r="X906" i="2"/>
  <c r="AA906" i="2" s="1"/>
  <c r="W906" i="2"/>
  <c r="Z906" i="2" s="1"/>
  <c r="AQ905" i="2"/>
  <c r="X905" i="2"/>
  <c r="AA905" i="2" s="1"/>
  <c r="W905" i="2"/>
  <c r="Z905" i="2" s="1"/>
  <c r="AQ904" i="2"/>
  <c r="Z904" i="2"/>
  <c r="X904" i="2"/>
  <c r="AA904" i="2" s="1"/>
  <c r="W904" i="2"/>
  <c r="AQ903" i="2"/>
  <c r="AA903" i="2"/>
  <c r="X903" i="2"/>
  <c r="W903" i="2"/>
  <c r="Z903" i="2" s="1"/>
  <c r="AQ902" i="2"/>
  <c r="X902" i="2"/>
  <c r="AA902" i="2" s="1"/>
  <c r="W902" i="2"/>
  <c r="Z902" i="2" s="1"/>
  <c r="AQ901" i="2"/>
  <c r="X901" i="2"/>
  <c r="AA901" i="2" s="1"/>
  <c r="W901" i="2"/>
  <c r="Z901" i="2" s="1"/>
  <c r="AQ900" i="2"/>
  <c r="Z900" i="2"/>
  <c r="X900" i="2"/>
  <c r="AA900" i="2" s="1"/>
  <c r="W900" i="2"/>
  <c r="AQ899" i="2"/>
  <c r="AA899" i="2"/>
  <c r="X899" i="2"/>
  <c r="W899" i="2"/>
  <c r="Z899" i="2" s="1"/>
  <c r="AQ898" i="2"/>
  <c r="AI898" i="2"/>
  <c r="AH898" i="2"/>
  <c r="Z898" i="2"/>
  <c r="X898" i="2"/>
  <c r="AA898" i="2" s="1"/>
  <c r="W898" i="2"/>
  <c r="AQ897" i="2"/>
  <c r="AI897" i="2"/>
  <c r="AH897" i="2"/>
  <c r="X897" i="2"/>
  <c r="AA897" i="2" s="1"/>
  <c r="W897" i="2"/>
  <c r="Z897" i="2" s="1"/>
  <c r="AQ896" i="2"/>
  <c r="AI896" i="2"/>
  <c r="AH896" i="2"/>
  <c r="X896" i="2"/>
  <c r="AA896" i="2" s="1"/>
  <c r="W896" i="2"/>
  <c r="Z896" i="2" s="1"/>
  <c r="AQ895" i="2"/>
  <c r="X895" i="2"/>
  <c r="AA895" i="2" s="1"/>
  <c r="W895" i="2"/>
  <c r="Z895" i="2" s="1"/>
  <c r="AQ894" i="2"/>
  <c r="AI894" i="2"/>
  <c r="AH894" i="2"/>
  <c r="AA894" i="2"/>
  <c r="X894" i="2"/>
  <c r="W894" i="2"/>
  <c r="Z894" i="2" s="1"/>
  <c r="AQ893" i="2"/>
  <c r="X893" i="2"/>
  <c r="AA893" i="2" s="1"/>
  <c r="W893" i="2"/>
  <c r="Z893" i="2" s="1"/>
  <c r="AQ892" i="2"/>
  <c r="X892" i="2"/>
  <c r="AA892" i="2" s="1"/>
  <c r="W892" i="2"/>
  <c r="Z892" i="2" s="1"/>
  <c r="AQ891" i="2"/>
  <c r="Z891" i="2"/>
  <c r="X891" i="2"/>
  <c r="AA891" i="2" s="1"/>
  <c r="W891" i="2"/>
  <c r="AQ890" i="2"/>
  <c r="AA890" i="2"/>
  <c r="X890" i="2"/>
  <c r="W890" i="2"/>
  <c r="Z890" i="2" s="1"/>
  <c r="AQ889" i="2"/>
  <c r="X889" i="2"/>
  <c r="AA889" i="2" s="1"/>
  <c r="W889" i="2"/>
  <c r="Z889" i="2" s="1"/>
  <c r="AQ888" i="2"/>
  <c r="X888" i="2"/>
  <c r="AA888" i="2" s="1"/>
  <c r="W888" i="2"/>
  <c r="Z888" i="2" s="1"/>
  <c r="AQ887" i="2"/>
  <c r="Z887" i="2"/>
  <c r="X887" i="2"/>
  <c r="AA887" i="2" s="1"/>
  <c r="W887" i="2"/>
  <c r="AQ886" i="2"/>
  <c r="X886" i="2"/>
  <c r="AA886" i="2" s="1"/>
  <c r="W886" i="2"/>
  <c r="Z886" i="2" s="1"/>
  <c r="AQ885" i="2"/>
  <c r="X885" i="2"/>
  <c r="AA885" i="2" s="1"/>
  <c r="W885" i="2"/>
  <c r="Z885" i="2" s="1"/>
  <c r="AQ884" i="2"/>
  <c r="X884" i="2"/>
  <c r="AA884" i="2" s="1"/>
  <c r="W884" i="2"/>
  <c r="Z884" i="2" s="1"/>
  <c r="AQ883" i="2"/>
  <c r="AI883" i="2"/>
  <c r="AH883" i="2"/>
  <c r="X883" i="2"/>
  <c r="AA883" i="2" s="1"/>
  <c r="W883" i="2"/>
  <c r="Z883" i="2" s="1"/>
  <c r="AQ882" i="2"/>
  <c r="Z882" i="2"/>
  <c r="X882" i="2"/>
  <c r="AA882" i="2" s="1"/>
  <c r="W882" i="2"/>
  <c r="AQ881" i="2"/>
  <c r="AA881" i="2"/>
  <c r="Z881" i="2"/>
  <c r="X881" i="2"/>
  <c r="W881" i="2"/>
  <c r="AQ880" i="2"/>
  <c r="AA880" i="2"/>
  <c r="X880" i="2"/>
  <c r="W880" i="2"/>
  <c r="Z880" i="2" s="1"/>
  <c r="AQ879" i="2"/>
  <c r="X879" i="2"/>
  <c r="AA879" i="2" s="1"/>
  <c r="W879" i="2"/>
  <c r="Z879" i="2" s="1"/>
  <c r="AQ878" i="2"/>
  <c r="Z878" i="2"/>
  <c r="X878" i="2"/>
  <c r="AA878" i="2" s="1"/>
  <c r="W878" i="2"/>
  <c r="AQ877" i="2"/>
  <c r="AA877" i="2"/>
  <c r="Z877" i="2"/>
  <c r="X877" i="2"/>
  <c r="W877" i="2"/>
  <c r="AQ876" i="2"/>
  <c r="AI876" i="2"/>
  <c r="AH876" i="2"/>
  <c r="X876" i="2"/>
  <c r="AA876" i="2" s="1"/>
  <c r="W876" i="2"/>
  <c r="Z876" i="2" s="1"/>
  <c r="AQ875" i="2"/>
  <c r="Z875" i="2"/>
  <c r="X875" i="2"/>
  <c r="AA875" i="2" s="1"/>
  <c r="W875" i="2"/>
  <c r="AQ874" i="2"/>
  <c r="X874" i="2"/>
  <c r="AA874" i="2" s="1"/>
  <c r="W874" i="2"/>
  <c r="Z874" i="2" s="1"/>
  <c r="AQ873" i="2"/>
  <c r="AI873" i="2"/>
  <c r="AH873" i="2"/>
  <c r="AA873" i="2"/>
  <c r="X873" i="2"/>
  <c r="W873" i="2"/>
  <c r="Z873" i="2" s="1"/>
  <c r="AQ872" i="2"/>
  <c r="AI872" i="2"/>
  <c r="AH872" i="2"/>
  <c r="Z872" i="2"/>
  <c r="X872" i="2"/>
  <c r="AA872" i="2" s="1"/>
  <c r="W872" i="2"/>
  <c r="AQ871" i="2"/>
  <c r="AA871" i="2"/>
  <c r="X871" i="2"/>
  <c r="W871" i="2"/>
  <c r="Z871" i="2" s="1"/>
  <c r="AQ870" i="2"/>
  <c r="AI870" i="2"/>
  <c r="AH870" i="2"/>
  <c r="X870" i="2"/>
  <c r="AA870" i="2" s="1"/>
  <c r="W870" i="2"/>
  <c r="Z870" i="2" s="1"/>
  <c r="AQ869" i="2"/>
  <c r="AI869" i="2"/>
  <c r="AH869" i="2"/>
  <c r="X869" i="2"/>
  <c r="AA869" i="2" s="1"/>
  <c r="W869" i="2"/>
  <c r="Z869" i="2" s="1"/>
  <c r="AQ868" i="2"/>
  <c r="X868" i="2"/>
  <c r="AA868" i="2" s="1"/>
  <c r="W868" i="2"/>
  <c r="Z868" i="2" s="1"/>
  <c r="AQ867" i="2"/>
  <c r="AA867" i="2"/>
  <c r="X867" i="2"/>
  <c r="W867" i="2"/>
  <c r="Z867" i="2" s="1"/>
  <c r="AQ866" i="2"/>
  <c r="X866" i="2"/>
  <c r="AA866" i="2" s="1"/>
  <c r="W866" i="2"/>
  <c r="Z866" i="2" s="1"/>
  <c r="AQ865" i="2"/>
  <c r="X865" i="2"/>
  <c r="AA865" i="2" s="1"/>
  <c r="W865" i="2"/>
  <c r="Z865" i="2" s="1"/>
  <c r="AQ864" i="2"/>
  <c r="X864" i="2"/>
  <c r="AA864" i="2" s="1"/>
  <c r="W864" i="2"/>
  <c r="Z864" i="2" s="1"/>
  <c r="AQ863" i="2"/>
  <c r="AA863" i="2"/>
  <c r="X863" i="2"/>
  <c r="W863" i="2"/>
  <c r="Z863" i="2" s="1"/>
  <c r="AQ862" i="2"/>
  <c r="AI862" i="2"/>
  <c r="AH862" i="2"/>
  <c r="Z862" i="2"/>
  <c r="X862" i="2"/>
  <c r="AA862" i="2" s="1"/>
  <c r="W862" i="2"/>
  <c r="AQ861" i="2"/>
  <c r="AA861" i="2"/>
  <c r="X861" i="2"/>
  <c r="W861" i="2"/>
  <c r="Z861" i="2" s="1"/>
  <c r="AQ860" i="2"/>
  <c r="X860" i="2"/>
  <c r="AA860" i="2" s="1"/>
  <c r="W860" i="2"/>
  <c r="Z860" i="2" s="1"/>
  <c r="AQ859" i="2"/>
  <c r="X859" i="2"/>
  <c r="AA859" i="2" s="1"/>
  <c r="W859" i="2"/>
  <c r="Z859" i="2" s="1"/>
  <c r="AQ858" i="2"/>
  <c r="X858" i="2"/>
  <c r="AA858" i="2" s="1"/>
  <c r="W858" i="2"/>
  <c r="Z858" i="2" s="1"/>
  <c r="AQ857" i="2"/>
  <c r="AA857" i="2"/>
  <c r="X857" i="2"/>
  <c r="W857" i="2"/>
  <c r="Z857" i="2" s="1"/>
  <c r="AQ856" i="2"/>
  <c r="X856" i="2"/>
  <c r="AA856" i="2" s="1"/>
  <c r="W856" i="2"/>
  <c r="Z856" i="2" s="1"/>
  <c r="AQ855" i="2"/>
  <c r="X855" i="2"/>
  <c r="AA855" i="2" s="1"/>
  <c r="W855" i="2"/>
  <c r="Z855" i="2" s="1"/>
  <c r="AQ854" i="2"/>
  <c r="AI854" i="2"/>
  <c r="AH854" i="2"/>
  <c r="X854" i="2"/>
  <c r="AA854" i="2" s="1"/>
  <c r="W854" i="2"/>
  <c r="Z854" i="2" s="1"/>
  <c r="AQ853" i="2"/>
  <c r="AI853" i="2"/>
  <c r="AH853" i="2"/>
  <c r="X853" i="2"/>
  <c r="AA853" i="2" s="1"/>
  <c r="W853" i="2"/>
  <c r="Z853" i="2" s="1"/>
  <c r="AQ852" i="2"/>
  <c r="AI852" i="2"/>
  <c r="AH852" i="2"/>
  <c r="AA852" i="2"/>
  <c r="X852" i="2"/>
  <c r="W852" i="2"/>
  <c r="Z852" i="2" s="1"/>
  <c r="AQ851" i="2"/>
  <c r="X851" i="2"/>
  <c r="AA851" i="2" s="1"/>
  <c r="W851" i="2"/>
  <c r="Z851" i="2" s="1"/>
  <c r="AQ850" i="2"/>
  <c r="X850" i="2"/>
  <c r="AA850" i="2" s="1"/>
  <c r="W850" i="2"/>
  <c r="Z850" i="2" s="1"/>
  <c r="AQ849" i="2"/>
  <c r="AI849" i="2"/>
  <c r="AH849" i="2"/>
  <c r="X849" i="2"/>
  <c r="AA849" i="2" s="1"/>
  <c r="W849" i="2"/>
  <c r="Z849" i="2" s="1"/>
  <c r="AQ848" i="2"/>
  <c r="AI848" i="2"/>
  <c r="AH848" i="2"/>
  <c r="AA848" i="2"/>
  <c r="X848" i="2"/>
  <c r="W848" i="2"/>
  <c r="Z848" i="2" s="1"/>
  <c r="AQ847" i="2"/>
  <c r="AI847" i="2"/>
  <c r="AH847" i="2"/>
  <c r="Z847" i="2"/>
  <c r="X847" i="2"/>
  <c r="AA847" i="2" s="1"/>
  <c r="W847" i="2"/>
  <c r="AQ846" i="2"/>
  <c r="AI846" i="2"/>
  <c r="AH846" i="2"/>
  <c r="X846" i="2"/>
  <c r="AA846" i="2" s="1"/>
  <c r="W846" i="2"/>
  <c r="Z846" i="2" s="1"/>
  <c r="AQ845" i="2"/>
  <c r="AI845" i="2"/>
  <c r="AH845" i="2"/>
  <c r="S845" i="2"/>
  <c r="R845" i="2"/>
  <c r="Q845" i="2"/>
  <c r="AQ844" i="2"/>
  <c r="X844" i="2"/>
  <c r="AA844" i="2" s="1"/>
  <c r="W844" i="2"/>
  <c r="Z844" i="2" s="1"/>
  <c r="AQ843" i="2"/>
  <c r="AI843" i="2"/>
  <c r="AH843" i="2"/>
  <c r="AA843" i="2"/>
  <c r="X843" i="2"/>
  <c r="W843" i="2"/>
  <c r="Z843" i="2" s="1"/>
  <c r="AQ842" i="2"/>
  <c r="AI842" i="2"/>
  <c r="AH842" i="2"/>
  <c r="Z842" i="2"/>
  <c r="X842" i="2"/>
  <c r="AA842" i="2" s="1"/>
  <c r="W842" i="2"/>
  <c r="AQ841" i="2"/>
  <c r="AI841" i="2"/>
  <c r="AH841" i="2"/>
  <c r="X841" i="2"/>
  <c r="AA841" i="2" s="1"/>
  <c r="W841" i="2"/>
  <c r="Z841" i="2" s="1"/>
  <c r="AQ840" i="2"/>
  <c r="AI840" i="2"/>
  <c r="AH840" i="2"/>
  <c r="X840" i="2"/>
  <c r="AA840" i="2" s="1"/>
  <c r="W840" i="2"/>
  <c r="Z840" i="2" s="1"/>
  <c r="AQ839" i="2"/>
  <c r="X839" i="2"/>
  <c r="AA839" i="2" s="1"/>
  <c r="W839" i="2"/>
  <c r="Z839" i="2" s="1"/>
  <c r="AQ838" i="2"/>
  <c r="AI838" i="2"/>
  <c r="AH838" i="2"/>
  <c r="X838" i="2"/>
  <c r="AA838" i="2" s="1"/>
  <c r="W838" i="2"/>
  <c r="Z838" i="2" s="1"/>
  <c r="AQ837" i="2"/>
  <c r="AI837" i="2"/>
  <c r="AH837" i="2"/>
  <c r="AA837" i="2"/>
  <c r="X837" i="2"/>
  <c r="W837" i="2"/>
  <c r="Z837" i="2" s="1"/>
  <c r="AQ836" i="2"/>
  <c r="AI836" i="2"/>
  <c r="AH836" i="2"/>
  <c r="Z836" i="2"/>
  <c r="X836" i="2"/>
  <c r="AA836" i="2" s="1"/>
  <c r="W836" i="2"/>
  <c r="AQ835" i="2"/>
  <c r="AI835" i="2"/>
  <c r="AH835" i="2"/>
  <c r="X835" i="2"/>
  <c r="AA835" i="2" s="1"/>
  <c r="W835" i="2"/>
  <c r="Z835" i="2" s="1"/>
  <c r="AQ834" i="2"/>
  <c r="AI834" i="2"/>
  <c r="AH834" i="2"/>
  <c r="X834" i="2"/>
  <c r="AA834" i="2" s="1"/>
  <c r="W834" i="2"/>
  <c r="Z834" i="2" s="1"/>
  <c r="AQ833" i="2"/>
  <c r="AI833" i="2"/>
  <c r="AH833" i="2"/>
  <c r="AA833" i="2"/>
  <c r="X833" i="2"/>
  <c r="W833" i="2"/>
  <c r="Z833" i="2" s="1"/>
  <c r="AQ832" i="2"/>
  <c r="AI832" i="2"/>
  <c r="AH832" i="2"/>
  <c r="Z832" i="2"/>
  <c r="X832" i="2"/>
  <c r="AA832" i="2" s="1"/>
  <c r="W832" i="2"/>
  <c r="AQ831" i="2"/>
  <c r="AI831" i="2"/>
  <c r="AH831" i="2"/>
  <c r="X831" i="2"/>
  <c r="AA831" i="2" s="1"/>
  <c r="W831" i="2"/>
  <c r="Z831" i="2" s="1"/>
  <c r="AQ830" i="2"/>
  <c r="AI830" i="2"/>
  <c r="AH830" i="2"/>
  <c r="X830" i="2"/>
  <c r="AA830" i="2" s="1"/>
  <c r="W830" i="2"/>
  <c r="Z830" i="2" s="1"/>
  <c r="AQ829" i="2"/>
  <c r="AI829" i="2"/>
  <c r="AH829" i="2"/>
  <c r="AA829" i="2"/>
  <c r="X829" i="2"/>
  <c r="W829" i="2"/>
  <c r="Z829" i="2" s="1"/>
  <c r="AQ828" i="2"/>
  <c r="AA828" i="2"/>
  <c r="X828" i="2"/>
  <c r="W828" i="2"/>
  <c r="Z828" i="2" s="1"/>
  <c r="AQ827" i="2"/>
  <c r="AI827" i="2"/>
  <c r="AH827" i="2"/>
  <c r="AA827" i="2"/>
  <c r="Z827" i="2"/>
  <c r="X827" i="2"/>
  <c r="W827" i="2"/>
  <c r="AQ826" i="2"/>
  <c r="AI826" i="2"/>
  <c r="AH826" i="2"/>
  <c r="X826" i="2"/>
  <c r="AA826" i="2" s="1"/>
  <c r="W826" i="2"/>
  <c r="Z826" i="2" s="1"/>
  <c r="AQ825" i="2"/>
  <c r="Z825" i="2"/>
  <c r="X825" i="2"/>
  <c r="AA825" i="2" s="1"/>
  <c r="W825" i="2"/>
  <c r="AQ824" i="2"/>
  <c r="AI824" i="2"/>
  <c r="AC824" i="2"/>
  <c r="AB824" i="2"/>
  <c r="X824" i="2"/>
  <c r="AA824" i="2" s="1"/>
  <c r="W824" i="2"/>
  <c r="Z824" i="2" s="1"/>
  <c r="AQ823" i="2"/>
  <c r="AI823" i="2"/>
  <c r="AH823" i="2"/>
  <c r="AA823" i="2"/>
  <c r="X823" i="2"/>
  <c r="W823" i="2"/>
  <c r="Z823" i="2" s="1"/>
  <c r="AQ822" i="2"/>
  <c r="AI822" i="2"/>
  <c r="AH822" i="2"/>
  <c r="Z822" i="2"/>
  <c r="X822" i="2"/>
  <c r="AA822" i="2" s="1"/>
  <c r="W822" i="2"/>
  <c r="AQ821" i="2"/>
  <c r="AI821" i="2"/>
  <c r="AH821" i="2"/>
  <c r="X821" i="2"/>
  <c r="AA821" i="2" s="1"/>
  <c r="W821" i="2"/>
  <c r="Z821" i="2" s="1"/>
  <c r="AQ820" i="2"/>
  <c r="AI820" i="2"/>
  <c r="AH820" i="2"/>
  <c r="X820" i="2"/>
  <c r="AA820" i="2" s="1"/>
  <c r="W820" i="2"/>
  <c r="Z820" i="2" s="1"/>
  <c r="AQ819" i="2"/>
  <c r="AI819" i="2"/>
  <c r="AH819" i="2"/>
  <c r="AA819" i="2"/>
  <c r="X819" i="2"/>
  <c r="W819" i="2"/>
  <c r="Z819" i="2" s="1"/>
  <c r="AQ818" i="2"/>
  <c r="AI818" i="2"/>
  <c r="AH818" i="2"/>
  <c r="Z818" i="2"/>
  <c r="X818" i="2"/>
  <c r="AA818" i="2" s="1"/>
  <c r="W818" i="2"/>
  <c r="AQ817" i="2"/>
  <c r="AI817" i="2"/>
  <c r="AH817" i="2"/>
  <c r="X817" i="2"/>
  <c r="AA817" i="2" s="1"/>
  <c r="W817" i="2"/>
  <c r="Z817" i="2" s="1"/>
  <c r="AQ816" i="2"/>
  <c r="AI816" i="2"/>
  <c r="AH816" i="2"/>
  <c r="X816" i="2"/>
  <c r="AA816" i="2" s="1"/>
  <c r="W816" i="2"/>
  <c r="Z816" i="2" s="1"/>
  <c r="AQ815" i="2"/>
  <c r="AI815" i="2"/>
  <c r="AH815" i="2"/>
  <c r="AA815" i="2"/>
  <c r="X815" i="2"/>
  <c r="W815" i="2"/>
  <c r="Z815" i="2" s="1"/>
  <c r="AQ814" i="2"/>
  <c r="AI814" i="2"/>
  <c r="AH814" i="2"/>
  <c r="Z814" i="2"/>
  <c r="X814" i="2"/>
  <c r="AA814" i="2" s="1"/>
  <c r="W814" i="2"/>
  <c r="AQ813" i="2"/>
  <c r="AI813" i="2"/>
  <c r="AH813" i="2"/>
  <c r="X813" i="2"/>
  <c r="AA813" i="2" s="1"/>
  <c r="W813" i="2"/>
  <c r="Z813" i="2" s="1"/>
  <c r="AQ812" i="2"/>
  <c r="AI812" i="2"/>
  <c r="AH812" i="2"/>
  <c r="X812" i="2"/>
  <c r="AA812" i="2" s="1"/>
  <c r="W812" i="2"/>
  <c r="Z812" i="2" s="1"/>
  <c r="AQ811" i="2"/>
  <c r="AI811" i="2"/>
  <c r="AH811" i="2"/>
  <c r="AA811" i="2"/>
  <c r="X811" i="2"/>
  <c r="W811" i="2"/>
  <c r="Z811" i="2" s="1"/>
  <c r="AQ810" i="2"/>
  <c r="AI810" i="2"/>
  <c r="AH810" i="2"/>
  <c r="Z810" i="2"/>
  <c r="X810" i="2"/>
  <c r="AA810" i="2" s="1"/>
  <c r="W810" i="2"/>
  <c r="AQ809" i="2"/>
  <c r="AI809" i="2"/>
  <c r="AH809" i="2"/>
  <c r="X809" i="2"/>
  <c r="AA809" i="2" s="1"/>
  <c r="W809" i="2"/>
  <c r="Z809" i="2" s="1"/>
  <c r="AQ808" i="2"/>
  <c r="AI808" i="2"/>
  <c r="AH808" i="2"/>
  <c r="X808" i="2"/>
  <c r="AA808" i="2" s="1"/>
  <c r="W808" i="2"/>
  <c r="Z808" i="2" s="1"/>
  <c r="AQ807" i="2"/>
  <c r="AI807" i="2"/>
  <c r="AH807" i="2"/>
  <c r="AA807" i="2"/>
  <c r="X807" i="2"/>
  <c r="W807" i="2"/>
  <c r="Z807" i="2" s="1"/>
  <c r="AQ806" i="2"/>
  <c r="AI806" i="2"/>
  <c r="AH806" i="2"/>
  <c r="Z806" i="2"/>
  <c r="X806" i="2"/>
  <c r="AA806" i="2" s="1"/>
  <c r="W806" i="2"/>
  <c r="AQ805" i="2"/>
  <c r="AA805" i="2"/>
  <c r="Z805" i="2"/>
  <c r="X805" i="2"/>
  <c r="W805" i="2"/>
  <c r="AQ804" i="2"/>
  <c r="AI804" i="2"/>
  <c r="AH804" i="2"/>
  <c r="X804" i="2"/>
  <c r="AA804" i="2" s="1"/>
  <c r="W804" i="2"/>
  <c r="Z804" i="2" s="1"/>
  <c r="AQ803" i="2"/>
  <c r="AI803" i="2"/>
  <c r="AH803" i="2"/>
  <c r="X803" i="2"/>
  <c r="AA803" i="2" s="1"/>
  <c r="W803" i="2"/>
  <c r="Z803" i="2" s="1"/>
  <c r="AQ802" i="2"/>
  <c r="AI802" i="2"/>
  <c r="AH802" i="2"/>
  <c r="AA802" i="2"/>
  <c r="X802" i="2"/>
  <c r="W802" i="2"/>
  <c r="Z802" i="2" s="1"/>
  <c r="AQ801" i="2"/>
  <c r="AI801" i="2"/>
  <c r="AH801" i="2"/>
  <c r="AA801" i="2"/>
  <c r="Z801" i="2"/>
  <c r="X801" i="2"/>
  <c r="W801" i="2"/>
  <c r="AQ800" i="2"/>
  <c r="AI800" i="2"/>
  <c r="AH800" i="2"/>
  <c r="X800" i="2"/>
  <c r="AA800" i="2" s="1"/>
  <c r="W800" i="2"/>
  <c r="Z800" i="2" s="1"/>
  <c r="AQ799" i="2"/>
  <c r="AI799" i="2"/>
  <c r="AH799" i="2"/>
  <c r="X799" i="2"/>
  <c r="AA799" i="2" s="1"/>
  <c r="W799" i="2"/>
  <c r="Z799" i="2" s="1"/>
  <c r="AQ798" i="2"/>
  <c r="AI798" i="2"/>
  <c r="AH798" i="2"/>
  <c r="AA798" i="2"/>
  <c r="X798" i="2"/>
  <c r="W798" i="2"/>
  <c r="Z798" i="2" s="1"/>
  <c r="AQ797" i="2"/>
  <c r="AI797" i="2"/>
  <c r="AH797" i="2"/>
  <c r="AA797" i="2"/>
  <c r="Z797" i="2"/>
  <c r="X797" i="2"/>
  <c r="W797" i="2"/>
  <c r="AQ796" i="2"/>
  <c r="AA796" i="2"/>
  <c r="X796" i="2"/>
  <c r="W796" i="2"/>
  <c r="Z796" i="2" s="1"/>
  <c r="AQ795" i="2"/>
  <c r="X795" i="2"/>
  <c r="AA795" i="2" s="1"/>
  <c r="W795" i="2"/>
  <c r="Z795" i="2" s="1"/>
  <c r="AQ794" i="2"/>
  <c r="Z794" i="2"/>
  <c r="X794" i="2"/>
  <c r="AA794" i="2" s="1"/>
  <c r="W794" i="2"/>
  <c r="AQ793" i="2"/>
  <c r="AA793" i="2"/>
  <c r="Z793" i="2"/>
  <c r="X793" i="2"/>
  <c r="W793" i="2"/>
  <c r="AQ792" i="2"/>
  <c r="AA792" i="2"/>
  <c r="X792" i="2"/>
  <c r="W792" i="2"/>
  <c r="Z792" i="2" s="1"/>
  <c r="AQ791" i="2"/>
  <c r="X791" i="2"/>
  <c r="AA791" i="2" s="1"/>
  <c r="W791" i="2"/>
  <c r="Z791" i="2" s="1"/>
  <c r="AQ790" i="2"/>
  <c r="X790" i="2"/>
  <c r="AA790" i="2" s="1"/>
  <c r="W790" i="2"/>
  <c r="Z790" i="2" s="1"/>
  <c r="AQ789" i="2"/>
  <c r="AI789" i="2"/>
  <c r="AH789" i="2"/>
  <c r="X789" i="2"/>
  <c r="AA789" i="2" s="1"/>
  <c r="W789" i="2"/>
  <c r="Z789" i="2" s="1"/>
  <c r="AQ788" i="2"/>
  <c r="X788" i="2"/>
  <c r="AA788" i="2" s="1"/>
  <c r="W788" i="2"/>
  <c r="Z788" i="2" s="1"/>
  <c r="AQ787" i="2"/>
  <c r="X787" i="2"/>
  <c r="AA787" i="2" s="1"/>
  <c r="W787" i="2"/>
  <c r="Z787" i="2" s="1"/>
  <c r="AQ786" i="2"/>
  <c r="X786" i="2"/>
  <c r="AA786" i="2" s="1"/>
  <c r="W786" i="2"/>
  <c r="Z786" i="2" s="1"/>
  <c r="AQ785" i="2"/>
  <c r="AI785" i="2"/>
  <c r="AH785" i="2"/>
  <c r="AA785" i="2"/>
  <c r="X785" i="2"/>
  <c r="W785" i="2"/>
  <c r="Z785" i="2" s="1"/>
  <c r="AQ784" i="2"/>
  <c r="X784" i="2"/>
  <c r="AA784" i="2" s="1"/>
  <c r="W784" i="2"/>
  <c r="Z784" i="2" s="1"/>
  <c r="AQ783" i="2"/>
  <c r="AI783" i="2"/>
  <c r="AH783" i="2"/>
  <c r="AA783" i="2"/>
  <c r="Z783" i="2"/>
  <c r="X783" i="2"/>
  <c r="W783" i="2"/>
  <c r="AQ782" i="2"/>
  <c r="AI782" i="2"/>
  <c r="AH782" i="2"/>
  <c r="X782" i="2"/>
  <c r="AA782" i="2" s="1"/>
  <c r="W782" i="2"/>
  <c r="Z782" i="2" s="1"/>
  <c r="AQ781" i="2"/>
  <c r="Z781" i="2"/>
  <c r="X781" i="2"/>
  <c r="AA781" i="2" s="1"/>
  <c r="W781" i="2"/>
  <c r="AQ780" i="2"/>
  <c r="AA780" i="2"/>
  <c r="X780" i="2"/>
  <c r="W780" i="2"/>
  <c r="Z780" i="2" s="1"/>
  <c r="AQ779" i="2"/>
  <c r="X779" i="2"/>
  <c r="W779" i="2"/>
  <c r="AQ778" i="2"/>
  <c r="X778" i="2"/>
  <c r="AA778" i="2" s="1"/>
  <c r="W778" i="2"/>
  <c r="Z778" i="2" s="1"/>
  <c r="AQ777" i="2"/>
  <c r="Z777" i="2"/>
  <c r="X777" i="2"/>
  <c r="AA777" i="2" s="1"/>
  <c r="W777" i="2"/>
  <c r="AQ776" i="2"/>
  <c r="X776" i="2"/>
  <c r="AA776" i="2" s="1"/>
  <c r="W776" i="2"/>
  <c r="Z776" i="2" s="1"/>
  <c r="AQ775" i="2"/>
  <c r="X775" i="2"/>
  <c r="AA775" i="2" s="1"/>
  <c r="W775" i="2"/>
  <c r="Z775" i="2" s="1"/>
  <c r="AQ774" i="2"/>
  <c r="X774" i="2"/>
  <c r="AA774" i="2" s="1"/>
  <c r="W774" i="2"/>
  <c r="Z774" i="2" s="1"/>
  <c r="AQ773" i="2"/>
  <c r="X773" i="2"/>
  <c r="AA773" i="2" s="1"/>
  <c r="W773" i="2"/>
  <c r="Z773" i="2" s="1"/>
  <c r="AQ772" i="2"/>
  <c r="X772" i="2"/>
  <c r="AA772" i="2" s="1"/>
  <c r="W772" i="2"/>
  <c r="Z772" i="2" s="1"/>
  <c r="AQ771" i="2"/>
  <c r="X771" i="2"/>
  <c r="AA771" i="2" s="1"/>
  <c r="W771" i="2"/>
  <c r="Z771" i="2" s="1"/>
  <c r="AQ770" i="2"/>
  <c r="X770" i="2"/>
  <c r="AA770" i="2" s="1"/>
  <c r="W770" i="2"/>
  <c r="Z770" i="2" s="1"/>
  <c r="AQ769" i="2"/>
  <c r="X769" i="2"/>
  <c r="AA769" i="2" s="1"/>
  <c r="W769" i="2"/>
  <c r="Z769" i="2" s="1"/>
  <c r="AQ768" i="2"/>
  <c r="X768" i="2"/>
  <c r="AA768" i="2" s="1"/>
  <c r="W768" i="2"/>
  <c r="Z768" i="2" s="1"/>
  <c r="AQ767" i="2"/>
  <c r="X767" i="2"/>
  <c r="W767" i="2"/>
  <c r="AQ766" i="2"/>
  <c r="X766" i="2"/>
  <c r="AA766" i="2" s="1"/>
  <c r="W766" i="2"/>
  <c r="Z766" i="2" s="1"/>
  <c r="AQ765" i="2"/>
  <c r="X765" i="2"/>
  <c r="AA765" i="2" s="1"/>
  <c r="W765" i="2"/>
  <c r="Z765" i="2" s="1"/>
  <c r="AQ764" i="2"/>
  <c r="X764" i="2"/>
  <c r="AA764" i="2" s="1"/>
  <c r="W764" i="2"/>
  <c r="Z764" i="2" s="1"/>
  <c r="AQ763" i="2"/>
  <c r="AI763" i="2"/>
  <c r="AH763" i="2"/>
  <c r="AA763" i="2"/>
  <c r="X763" i="2"/>
  <c r="W763" i="2"/>
  <c r="Z763" i="2" s="1"/>
  <c r="AQ762" i="2"/>
  <c r="AI762" i="2"/>
  <c r="AH762" i="2"/>
  <c r="Z762" i="2"/>
  <c r="X762" i="2"/>
  <c r="AA762" i="2" s="1"/>
  <c r="W762" i="2"/>
  <c r="AQ761" i="2"/>
  <c r="AA761" i="2"/>
  <c r="Z761" i="2"/>
  <c r="X761" i="2"/>
  <c r="W761" i="2"/>
  <c r="AQ760" i="2"/>
  <c r="AA760" i="2"/>
  <c r="X760" i="2"/>
  <c r="W760" i="2"/>
  <c r="Z760" i="2" s="1"/>
  <c r="AQ759" i="2"/>
  <c r="AI759" i="2"/>
  <c r="AH759" i="2"/>
  <c r="X759" i="2"/>
  <c r="AA759" i="2" s="1"/>
  <c r="W759" i="2"/>
  <c r="Z759" i="2" s="1"/>
  <c r="AQ758" i="2"/>
  <c r="X758" i="2"/>
  <c r="AA758" i="2" s="1"/>
  <c r="W758" i="2"/>
  <c r="Z758" i="2" s="1"/>
  <c r="AQ757" i="2"/>
  <c r="X757" i="2"/>
  <c r="AA757" i="2" s="1"/>
  <c r="W757" i="2"/>
  <c r="Z757" i="2" s="1"/>
  <c r="AQ756" i="2"/>
  <c r="AI756" i="2"/>
  <c r="AH756" i="2"/>
  <c r="X756" i="2"/>
  <c r="AA756" i="2" s="1"/>
  <c r="W756" i="2"/>
  <c r="Z756" i="2" s="1"/>
  <c r="AQ755" i="2"/>
  <c r="X755" i="2"/>
  <c r="AA755" i="2" s="1"/>
  <c r="W755" i="2"/>
  <c r="Z755" i="2" s="1"/>
  <c r="AQ754" i="2"/>
  <c r="Z754" i="2"/>
  <c r="X754" i="2"/>
  <c r="AA754" i="2" s="1"/>
  <c r="W754" i="2"/>
  <c r="AQ753" i="2"/>
  <c r="X753" i="2"/>
  <c r="AA753" i="2" s="1"/>
  <c r="W753" i="2"/>
  <c r="Z753" i="2" s="1"/>
  <c r="AQ752" i="2"/>
  <c r="AI752" i="2"/>
  <c r="AH752" i="2"/>
  <c r="X752" i="2"/>
  <c r="AA752" i="2" s="1"/>
  <c r="W752" i="2"/>
  <c r="Z752" i="2" s="1"/>
  <c r="AQ751" i="2"/>
  <c r="X751" i="2"/>
  <c r="AA751" i="2" s="1"/>
  <c r="W751" i="2"/>
  <c r="Z751" i="2" s="1"/>
  <c r="AQ750" i="2"/>
  <c r="X750" i="2"/>
  <c r="AA750" i="2" s="1"/>
  <c r="W750" i="2"/>
  <c r="Z750" i="2" s="1"/>
  <c r="AQ749" i="2"/>
  <c r="X749" i="2"/>
  <c r="AA749" i="2" s="1"/>
  <c r="W749" i="2"/>
  <c r="Z749" i="2" s="1"/>
  <c r="AQ748" i="2"/>
  <c r="X748" i="2"/>
  <c r="AA748" i="2" s="1"/>
  <c r="W748" i="2"/>
  <c r="Z748" i="2" s="1"/>
  <c r="AQ747" i="2"/>
  <c r="X747" i="2"/>
  <c r="AA747" i="2" s="1"/>
  <c r="W747" i="2"/>
  <c r="Z747" i="2" s="1"/>
  <c r="AQ746" i="2"/>
  <c r="X746" i="2"/>
  <c r="AA746" i="2" s="1"/>
  <c r="W746" i="2"/>
  <c r="Z746" i="2" s="1"/>
  <c r="AQ745" i="2"/>
  <c r="X745" i="2"/>
  <c r="AA745" i="2" s="1"/>
  <c r="W745" i="2"/>
  <c r="Z745" i="2" s="1"/>
  <c r="AQ744" i="2"/>
  <c r="AI744" i="2"/>
  <c r="AH744" i="2"/>
  <c r="X744" i="2"/>
  <c r="AA744" i="2" s="1"/>
  <c r="W744" i="2"/>
  <c r="Z744" i="2" s="1"/>
  <c r="AQ743" i="2"/>
  <c r="AI743" i="2"/>
  <c r="AH743" i="2"/>
  <c r="AA743" i="2"/>
  <c r="X743" i="2"/>
  <c r="W743" i="2"/>
  <c r="Z743" i="2" s="1"/>
  <c r="AQ742" i="2"/>
  <c r="X742" i="2"/>
  <c r="AA742" i="2" s="1"/>
  <c r="W742" i="2"/>
  <c r="Z742" i="2" s="1"/>
  <c r="AQ741" i="2"/>
  <c r="Z741" i="2"/>
  <c r="X741" i="2"/>
  <c r="AA741" i="2" s="1"/>
  <c r="W741" i="2"/>
  <c r="AQ740" i="2"/>
  <c r="AA740" i="2"/>
  <c r="Z740" i="2"/>
  <c r="X740" i="2"/>
  <c r="W740" i="2"/>
  <c r="AQ739" i="2"/>
  <c r="AA739" i="2"/>
  <c r="X739" i="2"/>
  <c r="W739" i="2"/>
  <c r="Z739" i="2" s="1"/>
  <c r="AQ738" i="2"/>
  <c r="X738" i="2"/>
  <c r="AA738" i="2" s="1"/>
  <c r="W738" i="2"/>
  <c r="Z738" i="2" s="1"/>
  <c r="AQ737" i="2"/>
  <c r="Z737" i="2"/>
  <c r="X737" i="2"/>
  <c r="AA737" i="2" s="1"/>
  <c r="W737" i="2"/>
  <c r="AQ736" i="2"/>
  <c r="AA736" i="2"/>
  <c r="Z736" i="2"/>
  <c r="X736" i="2"/>
  <c r="W736" i="2"/>
  <c r="AQ735" i="2"/>
  <c r="AA735" i="2"/>
  <c r="X735" i="2"/>
  <c r="W735" i="2"/>
  <c r="Z735" i="2" s="1"/>
  <c r="AQ734" i="2"/>
  <c r="X734" i="2"/>
  <c r="AA734" i="2" s="1"/>
  <c r="W734" i="2"/>
  <c r="Z734" i="2" s="1"/>
  <c r="AQ733" i="2"/>
  <c r="Z733" i="2"/>
  <c r="X733" i="2"/>
  <c r="AA733" i="2" s="1"/>
  <c r="W733" i="2"/>
  <c r="AQ732" i="2"/>
  <c r="AA732" i="2"/>
  <c r="Z732" i="2"/>
  <c r="X732" i="2"/>
  <c r="W732" i="2"/>
  <c r="AQ731" i="2"/>
  <c r="AA731" i="2"/>
  <c r="X731" i="2"/>
  <c r="W731" i="2"/>
  <c r="Z731" i="2" s="1"/>
  <c r="AQ730" i="2"/>
  <c r="X730" i="2"/>
  <c r="AA730" i="2" s="1"/>
  <c r="W730" i="2"/>
  <c r="Z730" i="2" s="1"/>
  <c r="AQ729" i="2"/>
  <c r="Z729" i="2"/>
  <c r="X729" i="2"/>
  <c r="AA729" i="2" s="1"/>
  <c r="W729" i="2"/>
  <c r="AQ728" i="2"/>
  <c r="AA728" i="2"/>
  <c r="Z728" i="2"/>
  <c r="X728" i="2"/>
  <c r="W728" i="2"/>
  <c r="AQ727" i="2"/>
  <c r="AA727" i="2"/>
  <c r="X727" i="2"/>
  <c r="W727" i="2"/>
  <c r="Z727" i="2" s="1"/>
  <c r="AQ726" i="2"/>
  <c r="X726" i="2"/>
  <c r="AA726" i="2" s="1"/>
  <c r="W726" i="2"/>
  <c r="Z726" i="2" s="1"/>
  <c r="AQ725" i="2"/>
  <c r="Z725" i="2"/>
  <c r="X725" i="2"/>
  <c r="AA725" i="2" s="1"/>
  <c r="W725" i="2"/>
  <c r="AQ724" i="2"/>
  <c r="AA724" i="2"/>
  <c r="Z724" i="2"/>
  <c r="X724" i="2"/>
  <c r="W724" i="2"/>
  <c r="AQ723" i="2"/>
  <c r="AA723" i="2"/>
  <c r="X723" i="2"/>
  <c r="W723" i="2"/>
  <c r="Z723" i="2" s="1"/>
  <c r="AQ722" i="2"/>
  <c r="X722" i="2"/>
  <c r="AA722" i="2" s="1"/>
  <c r="W722" i="2"/>
  <c r="Z722" i="2" s="1"/>
  <c r="AQ721" i="2"/>
  <c r="Z721" i="2"/>
  <c r="X721" i="2"/>
  <c r="AA721" i="2" s="1"/>
  <c r="W721" i="2"/>
  <c r="AQ720" i="2"/>
  <c r="AA720" i="2"/>
  <c r="Z720" i="2"/>
  <c r="X720" i="2"/>
  <c r="W720" i="2"/>
  <c r="AQ719" i="2"/>
  <c r="AA719" i="2"/>
  <c r="X719" i="2"/>
  <c r="W719" i="2"/>
  <c r="Z719" i="2" s="1"/>
  <c r="AQ718" i="2"/>
  <c r="X718" i="2"/>
  <c r="AA718" i="2" s="1"/>
  <c r="W718" i="2"/>
  <c r="Z718" i="2" s="1"/>
  <c r="AQ717" i="2"/>
  <c r="X717" i="2"/>
  <c r="AA717" i="2" s="1"/>
  <c r="W717" i="2"/>
  <c r="Z717" i="2" s="1"/>
  <c r="AQ716" i="2"/>
  <c r="X716" i="2"/>
  <c r="AA716" i="2" s="1"/>
  <c r="W716" i="2"/>
  <c r="Z716" i="2" s="1"/>
  <c r="AQ715" i="2"/>
  <c r="X715" i="2"/>
  <c r="AA715" i="2" s="1"/>
  <c r="W715" i="2"/>
  <c r="Z715" i="2" s="1"/>
  <c r="AQ714" i="2"/>
  <c r="X714" i="2"/>
  <c r="AA714" i="2" s="1"/>
  <c r="W714" i="2"/>
  <c r="Z714" i="2" s="1"/>
  <c r="AQ713" i="2"/>
  <c r="X713" i="2"/>
  <c r="AA713" i="2" s="1"/>
  <c r="W713" i="2"/>
  <c r="Z713" i="2" s="1"/>
  <c r="AQ712" i="2"/>
  <c r="Z712" i="2"/>
  <c r="X712" i="2"/>
  <c r="AA712" i="2" s="1"/>
  <c r="W712" i="2"/>
  <c r="AQ711" i="2"/>
  <c r="AA711" i="2"/>
  <c r="X711" i="2"/>
  <c r="W711" i="2"/>
  <c r="Z711" i="2" s="1"/>
  <c r="AQ710" i="2"/>
  <c r="X710" i="2"/>
  <c r="AA710" i="2" s="1"/>
  <c r="W710" i="2"/>
  <c r="Z710" i="2" s="1"/>
  <c r="AQ709" i="2"/>
  <c r="X709" i="2"/>
  <c r="AA709" i="2" s="1"/>
  <c r="W709" i="2"/>
  <c r="Z709" i="2" s="1"/>
  <c r="AQ708" i="2"/>
  <c r="X708" i="2"/>
  <c r="AA708" i="2" s="1"/>
  <c r="W708" i="2"/>
  <c r="Z708" i="2" s="1"/>
  <c r="AQ707" i="2"/>
  <c r="Z707" i="2"/>
  <c r="X707" i="2"/>
  <c r="AA707" i="2" s="1"/>
  <c r="W707" i="2"/>
  <c r="AQ706" i="2"/>
  <c r="X706" i="2"/>
  <c r="AA706" i="2" s="1"/>
  <c r="W706" i="2"/>
  <c r="Z706" i="2" s="1"/>
  <c r="AQ705" i="2"/>
  <c r="X705" i="2"/>
  <c r="AA705" i="2" s="1"/>
  <c r="W705" i="2"/>
  <c r="Z705" i="2" s="1"/>
  <c r="AQ704" i="2"/>
  <c r="X704" i="2"/>
  <c r="AA704" i="2" s="1"/>
  <c r="W704" i="2"/>
  <c r="Z704" i="2" s="1"/>
  <c r="AQ703" i="2"/>
  <c r="Z703" i="2"/>
  <c r="X703" i="2"/>
  <c r="AA703" i="2" s="1"/>
  <c r="W703" i="2"/>
  <c r="AQ702" i="2"/>
  <c r="X702" i="2"/>
  <c r="AA702" i="2" s="1"/>
  <c r="W702" i="2"/>
  <c r="Z702" i="2" s="1"/>
  <c r="AQ701" i="2"/>
  <c r="X701" i="2"/>
  <c r="AA701" i="2" s="1"/>
  <c r="W701" i="2"/>
  <c r="Z701" i="2" s="1"/>
  <c r="AQ700" i="2"/>
  <c r="X700" i="2"/>
  <c r="AA700" i="2" s="1"/>
  <c r="W700" i="2"/>
  <c r="Z700" i="2" s="1"/>
  <c r="AQ699" i="2"/>
  <c r="Z699" i="2"/>
  <c r="X699" i="2"/>
  <c r="AA699" i="2" s="1"/>
  <c r="W699" i="2"/>
  <c r="AQ698" i="2"/>
  <c r="X698" i="2"/>
  <c r="AA698" i="2" s="1"/>
  <c r="W698" i="2"/>
  <c r="Z698" i="2" s="1"/>
  <c r="AQ697" i="2"/>
  <c r="X697" i="2"/>
  <c r="AA697" i="2" s="1"/>
  <c r="W697" i="2"/>
  <c r="Z697" i="2" s="1"/>
  <c r="AQ696" i="2"/>
  <c r="X696" i="2"/>
  <c r="AA696" i="2" s="1"/>
  <c r="W696" i="2"/>
  <c r="Z696" i="2" s="1"/>
  <c r="AQ695" i="2"/>
  <c r="Z695" i="2"/>
  <c r="X695" i="2"/>
  <c r="AA695" i="2" s="1"/>
  <c r="W695" i="2"/>
  <c r="AQ694" i="2"/>
  <c r="X694" i="2"/>
  <c r="AA694" i="2" s="1"/>
  <c r="W694" i="2"/>
  <c r="Z694" i="2" s="1"/>
  <c r="AQ693" i="2"/>
  <c r="X693" i="2"/>
  <c r="AA693" i="2" s="1"/>
  <c r="W693" i="2"/>
  <c r="Z693" i="2" s="1"/>
  <c r="AQ692" i="2"/>
  <c r="X692" i="2"/>
  <c r="AA692" i="2" s="1"/>
  <c r="W692" i="2"/>
  <c r="Z692" i="2" s="1"/>
  <c r="AQ691" i="2"/>
  <c r="Z691" i="2"/>
  <c r="X691" i="2"/>
  <c r="AA691" i="2" s="1"/>
  <c r="W691" i="2"/>
  <c r="AQ690" i="2"/>
  <c r="X690" i="2"/>
  <c r="AA690" i="2" s="1"/>
  <c r="W690" i="2"/>
  <c r="Z690" i="2" s="1"/>
  <c r="AQ689" i="2"/>
  <c r="X689" i="2"/>
  <c r="AA689" i="2" s="1"/>
  <c r="W689" i="2"/>
  <c r="Z689" i="2" s="1"/>
  <c r="AQ688" i="2"/>
  <c r="X688" i="2"/>
  <c r="AA688" i="2" s="1"/>
  <c r="W688" i="2"/>
  <c r="Z688" i="2" s="1"/>
  <c r="AQ687" i="2"/>
  <c r="Z687" i="2"/>
  <c r="X687" i="2"/>
  <c r="AA687" i="2" s="1"/>
  <c r="W687" i="2"/>
  <c r="AQ686" i="2"/>
  <c r="X686" i="2"/>
  <c r="AA686" i="2" s="1"/>
  <c r="W686" i="2"/>
  <c r="Z686" i="2" s="1"/>
  <c r="AQ685" i="2"/>
  <c r="X685" i="2"/>
  <c r="AA685" i="2" s="1"/>
  <c r="W685" i="2"/>
  <c r="Z685" i="2" s="1"/>
  <c r="AQ684" i="2"/>
  <c r="X684" i="2"/>
  <c r="AA684" i="2" s="1"/>
  <c r="W684" i="2"/>
  <c r="Z684" i="2" s="1"/>
  <c r="AQ683" i="2"/>
  <c r="X683" i="2"/>
  <c r="AA683" i="2" s="1"/>
  <c r="W683" i="2"/>
  <c r="Z683" i="2" s="1"/>
  <c r="AQ682" i="2"/>
  <c r="X682" i="2"/>
  <c r="AA682" i="2" s="1"/>
  <c r="W682" i="2"/>
  <c r="Z682" i="2" s="1"/>
  <c r="AQ681" i="2"/>
  <c r="X681" i="2"/>
  <c r="AA681" i="2" s="1"/>
  <c r="W681" i="2"/>
  <c r="Z681" i="2" s="1"/>
  <c r="AQ680" i="2"/>
  <c r="X680" i="2"/>
  <c r="AA680" i="2" s="1"/>
  <c r="W680" i="2"/>
  <c r="Z680" i="2" s="1"/>
  <c r="AQ679" i="2"/>
  <c r="X679" i="2"/>
  <c r="AA679" i="2" s="1"/>
  <c r="W679" i="2"/>
  <c r="Z679" i="2" s="1"/>
  <c r="AQ678" i="2"/>
  <c r="X678" i="2"/>
  <c r="AA678" i="2" s="1"/>
  <c r="W678" i="2"/>
  <c r="Z678" i="2" s="1"/>
  <c r="AQ677" i="2"/>
  <c r="X677" i="2"/>
  <c r="AA677" i="2" s="1"/>
  <c r="W677" i="2"/>
  <c r="Z677" i="2" s="1"/>
  <c r="AQ676" i="2"/>
  <c r="X676" i="2"/>
  <c r="AA676" i="2" s="1"/>
  <c r="W676" i="2"/>
  <c r="Z676" i="2" s="1"/>
  <c r="AQ675" i="2"/>
  <c r="X675" i="2"/>
  <c r="AA675" i="2" s="1"/>
  <c r="W675" i="2"/>
  <c r="Z675" i="2" s="1"/>
  <c r="AQ674" i="2"/>
  <c r="X674" i="2"/>
  <c r="AA674" i="2" s="1"/>
  <c r="W674" i="2"/>
  <c r="Z674" i="2" s="1"/>
  <c r="AQ673" i="2"/>
  <c r="X673" i="2"/>
  <c r="AA673" i="2" s="1"/>
  <c r="W673" i="2"/>
  <c r="Z673" i="2" s="1"/>
  <c r="AQ672" i="2"/>
  <c r="X672" i="2"/>
  <c r="AA672" i="2" s="1"/>
  <c r="W672" i="2"/>
  <c r="Z672" i="2" s="1"/>
  <c r="AQ671" i="2"/>
  <c r="X671" i="2"/>
  <c r="AA671" i="2" s="1"/>
  <c r="W671" i="2"/>
  <c r="Z671" i="2" s="1"/>
  <c r="AQ670" i="2"/>
  <c r="X670" i="2"/>
  <c r="AA670" i="2" s="1"/>
  <c r="W670" i="2"/>
  <c r="Z670" i="2" s="1"/>
  <c r="AQ669" i="2"/>
  <c r="X669" i="2"/>
  <c r="AA669" i="2" s="1"/>
  <c r="W669" i="2"/>
  <c r="Z669" i="2" s="1"/>
  <c r="AQ668" i="2"/>
  <c r="Z668" i="2"/>
  <c r="X668" i="2"/>
  <c r="AA668" i="2" s="1"/>
  <c r="W668" i="2"/>
  <c r="AQ667" i="2"/>
  <c r="AA667" i="2"/>
  <c r="X667" i="2"/>
  <c r="W667" i="2"/>
  <c r="Z667" i="2" s="1"/>
  <c r="AQ666" i="2"/>
  <c r="X666" i="2"/>
  <c r="AA666" i="2" s="1"/>
  <c r="W666" i="2"/>
  <c r="Z666" i="2" s="1"/>
  <c r="AQ665" i="2"/>
  <c r="X665" i="2"/>
  <c r="AA665" i="2" s="1"/>
  <c r="W665" i="2"/>
  <c r="Z665" i="2" s="1"/>
  <c r="AQ664" i="2"/>
  <c r="X664" i="2"/>
  <c r="AA664" i="2" s="1"/>
  <c r="W664" i="2"/>
  <c r="Z664" i="2" s="1"/>
  <c r="AQ663" i="2"/>
  <c r="X663" i="2"/>
  <c r="AA663" i="2" s="1"/>
  <c r="W663" i="2"/>
  <c r="Z663" i="2" s="1"/>
  <c r="AQ662" i="2"/>
  <c r="X662" i="2"/>
  <c r="AA662" i="2" s="1"/>
  <c r="W662" i="2"/>
  <c r="Z662" i="2" s="1"/>
  <c r="AQ661" i="2"/>
  <c r="X661" i="2"/>
  <c r="AA661" i="2" s="1"/>
  <c r="W661" i="2"/>
  <c r="Z661" i="2" s="1"/>
  <c r="AQ660" i="2"/>
  <c r="Z660" i="2"/>
  <c r="X660" i="2"/>
  <c r="AA660" i="2" s="1"/>
  <c r="W660" i="2"/>
  <c r="AQ659" i="2"/>
  <c r="AA659" i="2"/>
  <c r="X659" i="2"/>
  <c r="W659" i="2"/>
  <c r="Z659" i="2" s="1"/>
  <c r="AQ658" i="2"/>
  <c r="X658" i="2"/>
  <c r="AA658" i="2" s="1"/>
  <c r="W658" i="2"/>
  <c r="Z658" i="2" s="1"/>
  <c r="AQ657" i="2"/>
  <c r="X657" i="2"/>
  <c r="AA657" i="2" s="1"/>
  <c r="W657" i="2"/>
  <c r="Z657" i="2" s="1"/>
  <c r="AQ656" i="2"/>
  <c r="Z656" i="2"/>
  <c r="X656" i="2"/>
  <c r="AA656" i="2" s="1"/>
  <c r="W656" i="2"/>
  <c r="AQ655" i="2"/>
  <c r="AA655" i="2"/>
  <c r="X655" i="2"/>
  <c r="W655" i="2"/>
  <c r="AQ654" i="2"/>
  <c r="X654" i="2"/>
  <c r="AA654" i="2" s="1"/>
  <c r="W654" i="2"/>
  <c r="Z654" i="2" s="1"/>
  <c r="AQ653" i="2"/>
  <c r="X653" i="2"/>
  <c r="AA653" i="2" s="1"/>
  <c r="W653" i="2"/>
  <c r="Z653" i="2" s="1"/>
  <c r="AQ652" i="2"/>
  <c r="Z652" i="2"/>
  <c r="X652" i="2"/>
  <c r="AA652" i="2" s="1"/>
  <c r="W652" i="2"/>
  <c r="AQ651" i="2"/>
  <c r="AA651" i="2"/>
  <c r="X651" i="2"/>
  <c r="W651" i="2"/>
  <c r="Z651" i="2" s="1"/>
  <c r="AQ650" i="2"/>
  <c r="X650" i="2"/>
  <c r="AA650" i="2" s="1"/>
  <c r="W650" i="2"/>
  <c r="Z650" i="2" s="1"/>
  <c r="AQ649" i="2"/>
  <c r="X649" i="2"/>
  <c r="AA649" i="2" s="1"/>
  <c r="W649" i="2"/>
  <c r="Z649" i="2" s="1"/>
  <c r="AQ648" i="2"/>
  <c r="Z648" i="2"/>
  <c r="X648" i="2"/>
  <c r="AA648" i="2" s="1"/>
  <c r="W648" i="2"/>
  <c r="AQ647" i="2"/>
  <c r="AA647" i="2"/>
  <c r="X647" i="2"/>
  <c r="W647" i="2"/>
  <c r="Z647" i="2" s="1"/>
  <c r="AQ646" i="2"/>
  <c r="X646" i="2"/>
  <c r="AA646" i="2" s="1"/>
  <c r="W646" i="2"/>
  <c r="Z646" i="2" s="1"/>
  <c r="AQ645" i="2"/>
  <c r="X645" i="2"/>
  <c r="AA645" i="2" s="1"/>
  <c r="W645" i="2"/>
  <c r="Z645" i="2" s="1"/>
  <c r="AQ644" i="2"/>
  <c r="Z644" i="2"/>
  <c r="X644" i="2"/>
  <c r="AA644" i="2" s="1"/>
  <c r="W644" i="2"/>
  <c r="AQ643" i="2"/>
  <c r="AA643" i="2"/>
  <c r="X643" i="2"/>
  <c r="W643" i="2"/>
  <c r="Z643" i="2" s="1"/>
  <c r="AQ642" i="2"/>
  <c r="X642" i="2"/>
  <c r="AA642" i="2" s="1"/>
  <c r="W642" i="2"/>
  <c r="Z642" i="2" s="1"/>
  <c r="AQ641" i="2"/>
  <c r="X641" i="2"/>
  <c r="AA641" i="2" s="1"/>
  <c r="W641" i="2"/>
  <c r="Z641" i="2" s="1"/>
  <c r="AQ640" i="2"/>
  <c r="Z640" i="2"/>
  <c r="X640" i="2"/>
  <c r="AA640" i="2" s="1"/>
  <c r="W640" i="2"/>
  <c r="AQ639" i="2"/>
  <c r="AA639" i="2"/>
  <c r="X639" i="2"/>
  <c r="W639" i="2"/>
  <c r="Z639" i="2" s="1"/>
  <c r="AQ638" i="2"/>
  <c r="X638" i="2"/>
  <c r="AA638" i="2" s="1"/>
  <c r="W638" i="2"/>
  <c r="Z638" i="2" s="1"/>
  <c r="AQ637" i="2"/>
  <c r="X637" i="2"/>
  <c r="AA637" i="2" s="1"/>
  <c r="W637" i="2"/>
  <c r="Z637" i="2" s="1"/>
  <c r="AQ636" i="2"/>
  <c r="Z636" i="2"/>
  <c r="X636" i="2"/>
  <c r="AA636" i="2" s="1"/>
  <c r="W636" i="2"/>
  <c r="AQ635" i="2"/>
  <c r="AA635" i="2"/>
  <c r="X635" i="2"/>
  <c r="W635" i="2"/>
  <c r="Z635" i="2" s="1"/>
  <c r="AQ634" i="2"/>
  <c r="X634" i="2"/>
  <c r="AA634" i="2" s="1"/>
  <c r="W634" i="2"/>
  <c r="Z634" i="2" s="1"/>
  <c r="AQ633" i="2"/>
  <c r="X633" i="2"/>
  <c r="AA633" i="2" s="1"/>
  <c r="W633" i="2"/>
  <c r="Z633" i="2" s="1"/>
  <c r="AQ632" i="2"/>
  <c r="Z632" i="2"/>
  <c r="X632" i="2"/>
  <c r="AA632" i="2" s="1"/>
  <c r="W632" i="2"/>
  <c r="AQ631" i="2"/>
  <c r="AA631" i="2"/>
  <c r="X631" i="2"/>
  <c r="W631" i="2"/>
  <c r="Z631" i="2" s="1"/>
  <c r="AQ630" i="2"/>
  <c r="X630" i="2"/>
  <c r="AA630" i="2" s="1"/>
  <c r="W630" i="2"/>
  <c r="Z630" i="2" s="1"/>
  <c r="AQ629" i="2"/>
  <c r="X629" i="2"/>
  <c r="AA629" i="2" s="1"/>
  <c r="W629" i="2"/>
  <c r="Z629" i="2" s="1"/>
  <c r="AQ628" i="2"/>
  <c r="Z628" i="2"/>
  <c r="X628" i="2"/>
  <c r="AA628" i="2" s="1"/>
  <c r="W628" i="2"/>
  <c r="AQ627" i="2"/>
  <c r="AA627" i="2"/>
  <c r="X627" i="2"/>
  <c r="W627" i="2"/>
  <c r="Z627" i="2" s="1"/>
  <c r="AQ626" i="2"/>
  <c r="X626" i="2"/>
  <c r="AA626" i="2" s="1"/>
  <c r="W626" i="2"/>
  <c r="Z626" i="2" s="1"/>
  <c r="AQ625" i="2"/>
  <c r="X625" i="2"/>
  <c r="AA625" i="2" s="1"/>
  <c r="W625" i="2"/>
  <c r="Z625" i="2" s="1"/>
  <c r="AQ624" i="2"/>
  <c r="Z624" i="2"/>
  <c r="X624" i="2"/>
  <c r="AA624" i="2" s="1"/>
  <c r="W624" i="2"/>
  <c r="AQ623" i="2"/>
  <c r="AA623" i="2"/>
  <c r="X623" i="2"/>
  <c r="W623" i="2"/>
  <c r="Z623" i="2" s="1"/>
  <c r="AQ622" i="2"/>
  <c r="X622" i="2"/>
  <c r="AA622" i="2" s="1"/>
  <c r="W622" i="2"/>
  <c r="Z622" i="2" s="1"/>
  <c r="AQ621" i="2"/>
  <c r="X621" i="2"/>
  <c r="AA621" i="2" s="1"/>
  <c r="W621" i="2"/>
  <c r="Z621" i="2" s="1"/>
  <c r="AQ620" i="2"/>
  <c r="Z620" i="2"/>
  <c r="X620" i="2"/>
  <c r="AA620" i="2" s="1"/>
  <c r="W620" i="2"/>
  <c r="AQ619" i="2"/>
  <c r="AA619" i="2"/>
  <c r="X619" i="2"/>
  <c r="W619" i="2"/>
  <c r="Z619" i="2" s="1"/>
  <c r="AQ618" i="2"/>
  <c r="X618" i="2"/>
  <c r="AA618" i="2" s="1"/>
  <c r="W618" i="2"/>
  <c r="Z618" i="2" s="1"/>
  <c r="AQ617" i="2"/>
  <c r="X617" i="2"/>
  <c r="AA617" i="2" s="1"/>
  <c r="W617" i="2"/>
  <c r="Z617" i="2" s="1"/>
  <c r="AQ616" i="2"/>
  <c r="Z616" i="2"/>
  <c r="X616" i="2"/>
  <c r="AA616" i="2" s="1"/>
  <c r="W616" i="2"/>
  <c r="AQ615" i="2"/>
  <c r="AA615" i="2"/>
  <c r="X615" i="2"/>
  <c r="W615" i="2"/>
  <c r="Z615" i="2" s="1"/>
  <c r="AQ614" i="2"/>
  <c r="X614" i="2"/>
  <c r="AA614" i="2" s="1"/>
  <c r="W614" i="2"/>
  <c r="Z614" i="2" s="1"/>
  <c r="AQ613" i="2"/>
  <c r="X613" i="2"/>
  <c r="AA613" i="2" s="1"/>
  <c r="W613" i="2"/>
  <c r="Z613" i="2" s="1"/>
  <c r="AQ612" i="2"/>
  <c r="X612" i="2"/>
  <c r="AA612" i="2" s="1"/>
  <c r="W612" i="2"/>
  <c r="Z612" i="2" s="1"/>
  <c r="AQ611" i="2"/>
  <c r="X611" i="2"/>
  <c r="AA611" i="2" s="1"/>
  <c r="W611" i="2"/>
  <c r="Z611" i="2" s="1"/>
  <c r="AQ610" i="2"/>
  <c r="X610" i="2"/>
  <c r="AA610" i="2" s="1"/>
  <c r="W610" i="2"/>
  <c r="Z610" i="2" s="1"/>
  <c r="AQ609" i="2"/>
  <c r="X609" i="2"/>
  <c r="AA609" i="2" s="1"/>
  <c r="W609" i="2"/>
  <c r="Z609" i="2" s="1"/>
  <c r="AQ608" i="2"/>
  <c r="Z608" i="2"/>
  <c r="X608" i="2"/>
  <c r="AA608" i="2" s="1"/>
  <c r="W608" i="2"/>
  <c r="AQ607" i="2"/>
  <c r="AA607" i="2"/>
  <c r="X607" i="2"/>
  <c r="W607" i="2"/>
  <c r="Z607" i="2" s="1"/>
  <c r="AQ606" i="2"/>
  <c r="X606" i="2"/>
  <c r="AA606" i="2" s="1"/>
  <c r="W606" i="2"/>
  <c r="Z606" i="2" s="1"/>
  <c r="AQ605" i="2"/>
  <c r="X605" i="2"/>
  <c r="AA605" i="2" s="1"/>
  <c r="W605" i="2"/>
  <c r="Z605" i="2" s="1"/>
  <c r="AQ604" i="2"/>
  <c r="X604" i="2"/>
  <c r="AA604" i="2" s="1"/>
  <c r="W604" i="2"/>
  <c r="Z604" i="2" s="1"/>
  <c r="AQ603" i="2"/>
  <c r="X603" i="2"/>
  <c r="AA603" i="2" s="1"/>
  <c r="W603" i="2"/>
  <c r="Z603" i="2" s="1"/>
  <c r="AQ602" i="2"/>
  <c r="X602" i="2"/>
  <c r="AA602" i="2" s="1"/>
  <c r="W602" i="2"/>
  <c r="Z602" i="2" s="1"/>
  <c r="AQ601" i="2"/>
  <c r="X601" i="2"/>
  <c r="AA601" i="2" s="1"/>
  <c r="W601" i="2"/>
  <c r="Z601" i="2" s="1"/>
  <c r="AQ600" i="2"/>
  <c r="Z600" i="2"/>
  <c r="X600" i="2"/>
  <c r="AA600" i="2" s="1"/>
  <c r="W600" i="2"/>
  <c r="AQ599" i="2"/>
  <c r="AA599" i="2"/>
  <c r="X599" i="2"/>
  <c r="W599" i="2"/>
  <c r="Z599" i="2" s="1"/>
  <c r="AQ598" i="2"/>
  <c r="X598" i="2"/>
  <c r="AA598" i="2" s="1"/>
  <c r="W598" i="2"/>
  <c r="Z598" i="2" s="1"/>
  <c r="AQ597" i="2"/>
  <c r="X597" i="2"/>
  <c r="AA597" i="2" s="1"/>
  <c r="W597" i="2"/>
  <c r="Z597" i="2" s="1"/>
  <c r="AQ596" i="2"/>
  <c r="X596" i="2"/>
  <c r="AA596" i="2" s="1"/>
  <c r="W596" i="2"/>
  <c r="Z596" i="2" s="1"/>
  <c r="AQ595" i="2"/>
  <c r="X595" i="2"/>
  <c r="AA595" i="2" s="1"/>
  <c r="W595" i="2"/>
  <c r="Z595" i="2" s="1"/>
  <c r="AQ594" i="2"/>
  <c r="X594" i="2"/>
  <c r="AA594" i="2" s="1"/>
  <c r="W594" i="2"/>
  <c r="Z594" i="2" s="1"/>
  <c r="AQ593" i="2"/>
  <c r="X593" i="2"/>
  <c r="AA593" i="2" s="1"/>
  <c r="W593" i="2"/>
  <c r="Z593" i="2" s="1"/>
  <c r="AQ592" i="2"/>
  <c r="Z592" i="2"/>
  <c r="X592" i="2"/>
  <c r="AA592" i="2" s="1"/>
  <c r="W592" i="2"/>
  <c r="AQ591" i="2"/>
  <c r="AA591" i="2"/>
  <c r="X591" i="2"/>
  <c r="W591" i="2"/>
  <c r="Z591" i="2" s="1"/>
  <c r="AQ590" i="2"/>
  <c r="X590" i="2"/>
  <c r="AA590" i="2" s="1"/>
  <c r="W590" i="2"/>
  <c r="Z590" i="2" s="1"/>
  <c r="AQ589" i="2"/>
  <c r="X589" i="2"/>
  <c r="AA589" i="2" s="1"/>
  <c r="W589" i="2"/>
  <c r="Z589" i="2" s="1"/>
  <c r="AQ588" i="2"/>
  <c r="Z588" i="2"/>
  <c r="X588" i="2"/>
  <c r="AA588" i="2" s="1"/>
  <c r="W588" i="2"/>
  <c r="AQ587" i="2"/>
  <c r="AA587" i="2"/>
  <c r="X587" i="2"/>
  <c r="W587" i="2"/>
  <c r="Z587" i="2" s="1"/>
  <c r="AQ586" i="2"/>
  <c r="X586" i="2"/>
  <c r="AA586" i="2" s="1"/>
  <c r="W586" i="2"/>
  <c r="Z586" i="2" s="1"/>
  <c r="AQ585" i="2"/>
  <c r="X585" i="2"/>
  <c r="AA585" i="2" s="1"/>
  <c r="W585" i="2"/>
  <c r="Z585" i="2" s="1"/>
  <c r="AQ584" i="2"/>
  <c r="Z584" i="2"/>
  <c r="X584" i="2"/>
  <c r="AA584" i="2" s="1"/>
  <c r="W584" i="2"/>
  <c r="AQ583" i="2"/>
  <c r="AA583" i="2"/>
  <c r="X583" i="2"/>
  <c r="W583" i="2"/>
  <c r="Z583" i="2" s="1"/>
  <c r="AQ582" i="2"/>
  <c r="X582" i="2"/>
  <c r="AA582" i="2" s="1"/>
  <c r="W582" i="2"/>
  <c r="Z582" i="2" s="1"/>
  <c r="AQ581" i="2"/>
  <c r="X581" i="2"/>
  <c r="AA581" i="2" s="1"/>
  <c r="W581" i="2"/>
  <c r="Z581" i="2" s="1"/>
  <c r="AQ580" i="2"/>
  <c r="Z580" i="2"/>
  <c r="X580" i="2"/>
  <c r="AA580" i="2" s="1"/>
  <c r="W580" i="2"/>
  <c r="AQ579" i="2"/>
  <c r="AA579" i="2"/>
  <c r="X579" i="2"/>
  <c r="W579" i="2"/>
  <c r="Z579" i="2" s="1"/>
  <c r="AQ578" i="2"/>
  <c r="X578" i="2"/>
  <c r="AA578" i="2" s="1"/>
  <c r="W578" i="2"/>
  <c r="Z578" i="2" s="1"/>
  <c r="AQ577" i="2"/>
  <c r="X577" i="2"/>
  <c r="AA577" i="2" s="1"/>
  <c r="W577" i="2"/>
  <c r="Z577" i="2" s="1"/>
  <c r="AQ576" i="2"/>
  <c r="Z576" i="2"/>
  <c r="X576" i="2"/>
  <c r="AA576" i="2" s="1"/>
  <c r="W576" i="2"/>
  <c r="AQ575" i="2"/>
  <c r="AA575" i="2"/>
  <c r="X575" i="2"/>
  <c r="W575" i="2"/>
  <c r="Z575" i="2" s="1"/>
  <c r="AQ574" i="2"/>
  <c r="X574" i="2"/>
  <c r="AA574" i="2" s="1"/>
  <c r="W574" i="2"/>
  <c r="Z574" i="2" s="1"/>
  <c r="AQ573" i="2"/>
  <c r="X573" i="2"/>
  <c r="AA573" i="2" s="1"/>
  <c r="W573" i="2"/>
  <c r="Z573" i="2" s="1"/>
  <c r="AQ572" i="2"/>
  <c r="Z572" i="2"/>
  <c r="X572" i="2"/>
  <c r="AA572" i="2" s="1"/>
  <c r="W572" i="2"/>
  <c r="AQ571" i="2"/>
  <c r="AA571" i="2"/>
  <c r="X571" i="2"/>
  <c r="W571" i="2"/>
  <c r="Z571" i="2" s="1"/>
  <c r="AQ570" i="2"/>
  <c r="X570" i="2"/>
  <c r="AA570" i="2" s="1"/>
  <c r="W570" i="2"/>
  <c r="Z570" i="2" s="1"/>
  <c r="AQ569" i="2"/>
  <c r="X569" i="2"/>
  <c r="AA569" i="2" s="1"/>
  <c r="W569" i="2"/>
  <c r="Z569" i="2" s="1"/>
  <c r="AQ568" i="2"/>
  <c r="Z568" i="2"/>
  <c r="X568" i="2"/>
  <c r="AA568" i="2" s="1"/>
  <c r="W568" i="2"/>
  <c r="AQ567" i="2"/>
  <c r="AA567" i="2"/>
  <c r="X567" i="2"/>
  <c r="W567" i="2"/>
  <c r="Z567" i="2" s="1"/>
  <c r="AQ566" i="2"/>
  <c r="X566" i="2"/>
  <c r="AA566" i="2" s="1"/>
  <c r="W566" i="2"/>
  <c r="Z566" i="2" s="1"/>
  <c r="AQ565" i="2"/>
  <c r="X565" i="2"/>
  <c r="AA565" i="2" s="1"/>
  <c r="W565" i="2"/>
  <c r="Z565" i="2" s="1"/>
  <c r="AQ564" i="2"/>
  <c r="Z564" i="2"/>
  <c r="X564" i="2"/>
  <c r="AA564" i="2" s="1"/>
  <c r="W564" i="2"/>
  <c r="AQ563" i="2"/>
  <c r="AA563" i="2"/>
  <c r="X563" i="2"/>
  <c r="W563" i="2"/>
  <c r="Z563" i="2" s="1"/>
  <c r="AQ562" i="2"/>
  <c r="X562" i="2"/>
  <c r="AA562" i="2" s="1"/>
  <c r="W562" i="2"/>
  <c r="Z562" i="2" s="1"/>
  <c r="AQ561" i="2"/>
  <c r="X561" i="2"/>
  <c r="AA561" i="2" s="1"/>
  <c r="W561" i="2"/>
  <c r="Z561" i="2" s="1"/>
  <c r="AQ560" i="2"/>
  <c r="Z560" i="2"/>
  <c r="X560" i="2"/>
  <c r="AA560" i="2" s="1"/>
  <c r="W560" i="2"/>
  <c r="AQ559" i="2"/>
  <c r="AA559" i="2"/>
  <c r="X559" i="2"/>
  <c r="W559" i="2"/>
  <c r="Z559" i="2" s="1"/>
  <c r="AQ558" i="2"/>
  <c r="X558" i="2"/>
  <c r="AA558" i="2" s="1"/>
  <c r="W558" i="2"/>
  <c r="Z558" i="2" s="1"/>
  <c r="AQ557" i="2"/>
  <c r="X557" i="2"/>
  <c r="AA557" i="2" s="1"/>
  <c r="W557" i="2"/>
  <c r="Z557" i="2" s="1"/>
  <c r="AQ556" i="2"/>
  <c r="Z556" i="2"/>
  <c r="X556" i="2"/>
  <c r="AA556" i="2" s="1"/>
  <c r="W556" i="2"/>
  <c r="AQ555" i="2"/>
  <c r="AA555" i="2"/>
  <c r="X555" i="2"/>
  <c r="W555" i="2"/>
  <c r="Z555" i="2" s="1"/>
  <c r="AQ554" i="2"/>
  <c r="X554" i="2"/>
  <c r="AA554" i="2" s="1"/>
  <c r="W554" i="2"/>
  <c r="Z554" i="2" s="1"/>
  <c r="AQ553" i="2"/>
  <c r="X553" i="2"/>
  <c r="AA553" i="2" s="1"/>
  <c r="W553" i="2"/>
  <c r="Z553" i="2" s="1"/>
  <c r="AQ552" i="2"/>
  <c r="Z552" i="2"/>
  <c r="X552" i="2"/>
  <c r="AA552" i="2" s="1"/>
  <c r="W552" i="2"/>
  <c r="AQ551" i="2"/>
  <c r="AA551" i="2"/>
  <c r="X551" i="2"/>
  <c r="W551" i="2"/>
  <c r="Z551" i="2" s="1"/>
  <c r="AQ550" i="2"/>
  <c r="X550" i="2"/>
  <c r="AA550" i="2" s="1"/>
  <c r="W550" i="2"/>
  <c r="Z550" i="2" s="1"/>
  <c r="AQ549" i="2"/>
  <c r="X549" i="2"/>
  <c r="AA549" i="2" s="1"/>
  <c r="W549" i="2"/>
  <c r="Z549" i="2" s="1"/>
  <c r="AQ548" i="2"/>
  <c r="Z548" i="2"/>
  <c r="X548" i="2"/>
  <c r="AA548" i="2" s="1"/>
  <c r="W548" i="2"/>
  <c r="AQ547" i="2"/>
  <c r="AA547" i="2"/>
  <c r="X547" i="2"/>
  <c r="W547" i="2"/>
  <c r="Z547" i="2" s="1"/>
  <c r="AQ546" i="2"/>
  <c r="X546" i="2"/>
  <c r="AA546" i="2" s="1"/>
  <c r="W546" i="2"/>
  <c r="Z546" i="2" s="1"/>
  <c r="AQ545" i="2"/>
  <c r="X545" i="2"/>
  <c r="AA545" i="2" s="1"/>
  <c r="W545" i="2"/>
  <c r="Z545" i="2" s="1"/>
  <c r="AQ544" i="2"/>
  <c r="Z544" i="2"/>
  <c r="X544" i="2"/>
  <c r="AA544" i="2" s="1"/>
  <c r="W544" i="2"/>
  <c r="AQ543" i="2"/>
  <c r="AA543" i="2"/>
  <c r="X543" i="2"/>
  <c r="W543" i="2"/>
  <c r="Z543" i="2" s="1"/>
  <c r="AQ542" i="2"/>
  <c r="X542" i="2"/>
  <c r="AA542" i="2" s="1"/>
  <c r="W542" i="2"/>
  <c r="Z542" i="2" s="1"/>
  <c r="AQ541" i="2"/>
  <c r="X541" i="2"/>
  <c r="AA541" i="2" s="1"/>
  <c r="W541" i="2"/>
  <c r="Z541" i="2" s="1"/>
  <c r="AQ540" i="2"/>
  <c r="Z540" i="2"/>
  <c r="X540" i="2"/>
  <c r="AA540" i="2" s="1"/>
  <c r="W540" i="2"/>
  <c r="AQ539" i="2"/>
  <c r="AA539" i="2"/>
  <c r="X539" i="2"/>
  <c r="W539" i="2"/>
  <c r="Z539" i="2" s="1"/>
  <c r="AQ538" i="2"/>
  <c r="X538" i="2"/>
  <c r="AA538" i="2" s="1"/>
  <c r="W538" i="2"/>
  <c r="Z538" i="2" s="1"/>
  <c r="AQ537" i="2"/>
  <c r="X537" i="2"/>
  <c r="AA537" i="2" s="1"/>
  <c r="W537" i="2"/>
  <c r="Z537" i="2" s="1"/>
  <c r="AQ536" i="2"/>
  <c r="Z536" i="2"/>
  <c r="X536" i="2"/>
  <c r="AA536" i="2" s="1"/>
  <c r="W536" i="2"/>
  <c r="AQ535" i="2"/>
  <c r="AA535" i="2"/>
  <c r="X535" i="2"/>
  <c r="W535" i="2"/>
  <c r="Z535" i="2" s="1"/>
  <c r="AQ534" i="2"/>
  <c r="X534" i="2"/>
  <c r="AA534" i="2" s="1"/>
  <c r="W534" i="2"/>
  <c r="Z534" i="2" s="1"/>
  <c r="AQ533" i="2"/>
  <c r="X533" i="2"/>
  <c r="AA533" i="2" s="1"/>
  <c r="W533" i="2"/>
  <c r="Z533" i="2" s="1"/>
  <c r="AQ532" i="2"/>
  <c r="Z532" i="2"/>
  <c r="X532" i="2"/>
  <c r="AA532" i="2" s="1"/>
  <c r="W532" i="2"/>
  <c r="AQ531" i="2"/>
  <c r="AA531" i="2"/>
  <c r="X531" i="2"/>
  <c r="W531" i="2"/>
  <c r="Z531" i="2" s="1"/>
  <c r="AQ530" i="2"/>
  <c r="X530" i="2"/>
  <c r="AA530" i="2" s="1"/>
  <c r="W530" i="2"/>
  <c r="Z530" i="2" s="1"/>
  <c r="AQ529" i="2"/>
  <c r="X529" i="2"/>
  <c r="AA529" i="2" s="1"/>
  <c r="W529" i="2"/>
  <c r="Z529" i="2" s="1"/>
  <c r="AQ528" i="2"/>
  <c r="Z528" i="2"/>
  <c r="X528" i="2"/>
  <c r="AA528" i="2" s="1"/>
  <c r="W528" i="2"/>
  <c r="AQ527" i="2"/>
  <c r="AA527" i="2"/>
  <c r="X527" i="2"/>
  <c r="W527" i="2"/>
  <c r="Z527" i="2" s="1"/>
  <c r="AQ526" i="2"/>
  <c r="X526" i="2"/>
  <c r="AA526" i="2" s="1"/>
  <c r="W526" i="2"/>
  <c r="Z526" i="2" s="1"/>
  <c r="AQ525" i="2"/>
  <c r="X525" i="2"/>
  <c r="AA525" i="2" s="1"/>
  <c r="W525" i="2"/>
  <c r="Z525" i="2" s="1"/>
  <c r="AQ524" i="2"/>
  <c r="Z524" i="2"/>
  <c r="X524" i="2"/>
  <c r="AA524" i="2" s="1"/>
  <c r="W524" i="2"/>
  <c r="AQ523" i="2"/>
  <c r="AA523" i="2"/>
  <c r="X523" i="2"/>
  <c r="W523" i="2"/>
  <c r="Z523" i="2" s="1"/>
  <c r="AQ522" i="2"/>
  <c r="X522" i="2"/>
  <c r="AA522" i="2" s="1"/>
  <c r="W522" i="2"/>
  <c r="Z522" i="2" s="1"/>
  <c r="AQ521" i="2"/>
  <c r="X521" i="2"/>
  <c r="AA521" i="2" s="1"/>
  <c r="W521" i="2"/>
  <c r="Z521" i="2" s="1"/>
  <c r="AQ520" i="2"/>
  <c r="Z520" i="2"/>
  <c r="X520" i="2"/>
  <c r="AA520" i="2" s="1"/>
  <c r="W520" i="2"/>
  <c r="AQ519" i="2"/>
  <c r="AA519" i="2"/>
  <c r="X519" i="2"/>
  <c r="W519" i="2"/>
  <c r="Z519" i="2" s="1"/>
  <c r="AQ518" i="2"/>
  <c r="X518" i="2"/>
  <c r="AA518" i="2" s="1"/>
  <c r="W518" i="2"/>
  <c r="Z518" i="2" s="1"/>
  <c r="AQ517" i="2"/>
  <c r="X517" i="2"/>
  <c r="AA517" i="2" s="1"/>
  <c r="W517" i="2"/>
  <c r="Z517" i="2" s="1"/>
  <c r="AQ516" i="2"/>
  <c r="Z516" i="2"/>
  <c r="X516" i="2"/>
  <c r="AA516" i="2" s="1"/>
  <c r="W516" i="2"/>
  <c r="AQ515" i="2"/>
  <c r="AA515" i="2"/>
  <c r="X515" i="2"/>
  <c r="W515" i="2"/>
  <c r="Z515" i="2" s="1"/>
  <c r="AQ514" i="2"/>
  <c r="X514" i="2"/>
  <c r="AA514" i="2" s="1"/>
  <c r="W514" i="2"/>
  <c r="Z514" i="2" s="1"/>
  <c r="AQ513" i="2"/>
  <c r="X513" i="2"/>
  <c r="AA513" i="2" s="1"/>
  <c r="W513" i="2"/>
  <c r="Z513" i="2" s="1"/>
  <c r="AQ512" i="2"/>
  <c r="Z512" i="2"/>
  <c r="X512" i="2"/>
  <c r="AA512" i="2" s="1"/>
  <c r="W512" i="2"/>
  <c r="AQ511" i="2"/>
  <c r="AA511" i="2"/>
  <c r="X511" i="2"/>
  <c r="W511" i="2"/>
  <c r="Z511" i="2" s="1"/>
  <c r="AQ510" i="2"/>
  <c r="X510" i="2"/>
  <c r="AA510" i="2" s="1"/>
  <c r="W510" i="2"/>
  <c r="Z510" i="2" s="1"/>
  <c r="AQ509" i="2"/>
  <c r="X509" i="2"/>
  <c r="AA509" i="2" s="1"/>
  <c r="W509" i="2"/>
  <c r="Z509" i="2" s="1"/>
  <c r="AQ508" i="2"/>
  <c r="Z508" i="2"/>
  <c r="X508" i="2"/>
  <c r="AA508" i="2" s="1"/>
  <c r="W508" i="2"/>
  <c r="AQ507" i="2"/>
  <c r="AA507" i="2"/>
  <c r="X507" i="2"/>
  <c r="W507" i="2"/>
  <c r="Z507" i="2" s="1"/>
  <c r="AQ506" i="2"/>
  <c r="X506" i="2"/>
  <c r="AA506" i="2" s="1"/>
  <c r="W506" i="2"/>
  <c r="Z506" i="2" s="1"/>
  <c r="AQ505" i="2"/>
  <c r="X505" i="2"/>
  <c r="AA505" i="2" s="1"/>
  <c r="W505" i="2"/>
  <c r="Z505" i="2" s="1"/>
  <c r="AQ504" i="2"/>
  <c r="Z504" i="2"/>
  <c r="X504" i="2"/>
  <c r="AA504" i="2" s="1"/>
  <c r="W504" i="2"/>
  <c r="AQ503" i="2"/>
  <c r="AA503" i="2"/>
  <c r="X503" i="2"/>
  <c r="W503" i="2"/>
  <c r="Z503" i="2" s="1"/>
  <c r="AQ502" i="2"/>
  <c r="X502" i="2"/>
  <c r="AA502" i="2" s="1"/>
  <c r="W502" i="2"/>
  <c r="Z502" i="2" s="1"/>
  <c r="AQ501" i="2"/>
  <c r="X501" i="2"/>
  <c r="AA501" i="2" s="1"/>
  <c r="W501" i="2"/>
  <c r="Z501" i="2" s="1"/>
  <c r="AQ500" i="2"/>
  <c r="Z500" i="2"/>
  <c r="X500" i="2"/>
  <c r="AA500" i="2" s="1"/>
  <c r="W500" i="2"/>
  <c r="AQ499" i="2"/>
  <c r="AA499" i="2"/>
  <c r="X499" i="2"/>
  <c r="W499" i="2"/>
  <c r="Z499" i="2" s="1"/>
  <c r="AQ498" i="2"/>
  <c r="X498" i="2"/>
  <c r="AA498" i="2" s="1"/>
  <c r="W498" i="2"/>
  <c r="Z498" i="2" s="1"/>
  <c r="AQ497" i="2"/>
  <c r="X497" i="2"/>
  <c r="AA497" i="2" s="1"/>
  <c r="W497" i="2"/>
  <c r="Z497" i="2" s="1"/>
  <c r="AQ496" i="2"/>
  <c r="Z496" i="2"/>
  <c r="X496" i="2"/>
  <c r="AA496" i="2" s="1"/>
  <c r="W496" i="2"/>
  <c r="AQ495" i="2"/>
  <c r="AA495" i="2"/>
  <c r="X495" i="2"/>
  <c r="W495" i="2"/>
  <c r="Z495" i="2" s="1"/>
  <c r="AQ494" i="2"/>
  <c r="X494" i="2"/>
  <c r="AA494" i="2" s="1"/>
  <c r="W494" i="2"/>
  <c r="Z494" i="2" s="1"/>
  <c r="AQ493" i="2"/>
  <c r="X493" i="2"/>
  <c r="AA493" i="2" s="1"/>
  <c r="W493" i="2"/>
  <c r="Z493" i="2" s="1"/>
  <c r="AQ492" i="2"/>
  <c r="Z492" i="2"/>
  <c r="X492" i="2"/>
  <c r="AA492" i="2" s="1"/>
  <c r="W492" i="2"/>
  <c r="AQ491" i="2"/>
  <c r="AA491" i="2"/>
  <c r="X491" i="2"/>
  <c r="W491" i="2"/>
  <c r="Z491" i="2" s="1"/>
  <c r="AQ490" i="2"/>
  <c r="X490" i="2"/>
  <c r="AA490" i="2" s="1"/>
  <c r="W490" i="2"/>
  <c r="Z490" i="2" s="1"/>
  <c r="AQ489" i="2"/>
  <c r="X489" i="2"/>
  <c r="AA489" i="2" s="1"/>
  <c r="W489" i="2"/>
  <c r="Z489" i="2" s="1"/>
  <c r="AQ488" i="2"/>
  <c r="Z488" i="2"/>
  <c r="X488" i="2"/>
  <c r="AA488" i="2" s="1"/>
  <c r="W488" i="2"/>
  <c r="AQ487" i="2"/>
  <c r="AA487" i="2"/>
  <c r="X487" i="2"/>
  <c r="W487" i="2"/>
  <c r="Z487" i="2" s="1"/>
  <c r="AQ486" i="2"/>
  <c r="X486" i="2"/>
  <c r="AA486" i="2" s="1"/>
  <c r="W486" i="2"/>
  <c r="Z486" i="2" s="1"/>
  <c r="AQ485" i="2"/>
  <c r="X485" i="2"/>
  <c r="AA485" i="2" s="1"/>
  <c r="W485" i="2"/>
  <c r="Z485" i="2" s="1"/>
  <c r="AQ484" i="2"/>
  <c r="Z484" i="2"/>
  <c r="X484" i="2"/>
  <c r="AA484" i="2" s="1"/>
  <c r="W484" i="2"/>
  <c r="AQ483" i="2"/>
  <c r="AA483" i="2"/>
  <c r="X483" i="2"/>
  <c r="W483" i="2"/>
  <c r="Z483" i="2" s="1"/>
  <c r="AQ482" i="2"/>
  <c r="X482" i="2"/>
  <c r="AA482" i="2" s="1"/>
  <c r="W482" i="2"/>
  <c r="Z482" i="2" s="1"/>
  <c r="AQ481" i="2"/>
  <c r="X481" i="2"/>
  <c r="AA481" i="2" s="1"/>
  <c r="W481" i="2"/>
  <c r="Z481" i="2" s="1"/>
  <c r="AQ480" i="2"/>
  <c r="Z480" i="2"/>
  <c r="X480" i="2"/>
  <c r="AA480" i="2" s="1"/>
  <c r="W480" i="2"/>
  <c r="AQ479" i="2"/>
  <c r="AA479" i="2"/>
  <c r="X479" i="2"/>
  <c r="W479" i="2"/>
  <c r="Z479" i="2" s="1"/>
  <c r="AQ478" i="2"/>
  <c r="X478" i="2"/>
  <c r="AA478" i="2" s="1"/>
  <c r="W478" i="2"/>
  <c r="Z478" i="2" s="1"/>
  <c r="AQ477" i="2"/>
  <c r="X477" i="2"/>
  <c r="AA477" i="2" s="1"/>
  <c r="W477" i="2"/>
  <c r="Z477" i="2" s="1"/>
  <c r="AQ476" i="2"/>
  <c r="Z476" i="2"/>
  <c r="X476" i="2"/>
  <c r="AA476" i="2" s="1"/>
  <c r="W476" i="2"/>
  <c r="AQ475" i="2"/>
  <c r="AA475" i="2"/>
  <c r="X475" i="2"/>
  <c r="W475" i="2"/>
  <c r="Z475" i="2" s="1"/>
  <c r="AQ474" i="2"/>
  <c r="X474" i="2"/>
  <c r="AA474" i="2" s="1"/>
  <c r="W474" i="2"/>
  <c r="Z474" i="2" s="1"/>
  <c r="AQ473" i="2"/>
  <c r="X473" i="2"/>
  <c r="AA473" i="2" s="1"/>
  <c r="W473" i="2"/>
  <c r="Z473" i="2" s="1"/>
  <c r="AQ472" i="2"/>
  <c r="Z472" i="2"/>
  <c r="X472" i="2"/>
  <c r="AA472" i="2" s="1"/>
  <c r="W472" i="2"/>
  <c r="AQ471" i="2"/>
  <c r="AA471" i="2"/>
  <c r="X471" i="2"/>
  <c r="W471" i="2"/>
  <c r="Z471" i="2" s="1"/>
  <c r="AQ470" i="2"/>
  <c r="X470" i="2"/>
  <c r="AA470" i="2" s="1"/>
  <c r="W470" i="2"/>
  <c r="Z470" i="2" s="1"/>
  <c r="AQ469" i="2"/>
  <c r="X469" i="2"/>
  <c r="AA469" i="2" s="1"/>
  <c r="W469" i="2"/>
  <c r="Z469" i="2" s="1"/>
  <c r="AQ468" i="2"/>
  <c r="Z468" i="2"/>
  <c r="X468" i="2"/>
  <c r="AA468" i="2" s="1"/>
  <c r="W468" i="2"/>
  <c r="AQ467" i="2"/>
  <c r="AA467" i="2"/>
  <c r="X467" i="2"/>
  <c r="W467" i="2"/>
  <c r="Z467" i="2" s="1"/>
  <c r="AQ466" i="2"/>
  <c r="X466" i="2"/>
  <c r="AA466" i="2" s="1"/>
  <c r="W466" i="2"/>
  <c r="Z466" i="2" s="1"/>
  <c r="AQ465" i="2"/>
  <c r="X465" i="2"/>
  <c r="AA465" i="2" s="1"/>
  <c r="W465" i="2"/>
  <c r="Z465" i="2" s="1"/>
  <c r="AQ464" i="2"/>
  <c r="Z464" i="2"/>
  <c r="X464" i="2"/>
  <c r="AA464" i="2" s="1"/>
  <c r="W464" i="2"/>
  <c r="AQ463" i="2"/>
  <c r="AA463" i="2"/>
  <c r="X463" i="2"/>
  <c r="W463" i="2"/>
  <c r="Z463" i="2" s="1"/>
  <c r="AQ462" i="2"/>
  <c r="X462" i="2"/>
  <c r="AA462" i="2" s="1"/>
  <c r="W462" i="2"/>
  <c r="Z462" i="2" s="1"/>
  <c r="AQ461" i="2"/>
  <c r="X461" i="2"/>
  <c r="AA461" i="2" s="1"/>
  <c r="W461" i="2"/>
  <c r="Z461" i="2" s="1"/>
  <c r="AQ460" i="2"/>
  <c r="Z460" i="2"/>
  <c r="X460" i="2"/>
  <c r="AA460" i="2" s="1"/>
  <c r="W460" i="2"/>
  <c r="AQ459" i="2"/>
  <c r="X459" i="2"/>
  <c r="AA459" i="2" s="1"/>
  <c r="W459" i="2"/>
  <c r="Z459" i="2" s="1"/>
  <c r="AQ458" i="2"/>
  <c r="X458" i="2"/>
  <c r="AA458" i="2" s="1"/>
  <c r="W458" i="2"/>
  <c r="Z458" i="2" s="1"/>
  <c r="AQ457" i="2"/>
  <c r="X457" i="2"/>
  <c r="AA457" i="2" s="1"/>
  <c r="W457" i="2"/>
  <c r="Z457" i="2" s="1"/>
  <c r="AQ456" i="2"/>
  <c r="Z456" i="2"/>
  <c r="X456" i="2"/>
  <c r="AA456" i="2" s="1"/>
  <c r="W456" i="2"/>
  <c r="AQ455" i="2"/>
  <c r="AA455" i="2"/>
  <c r="X455" i="2"/>
  <c r="W455" i="2"/>
  <c r="Z455" i="2" s="1"/>
  <c r="AQ454" i="2"/>
  <c r="X454" i="2"/>
  <c r="AA454" i="2" s="1"/>
  <c r="W454" i="2"/>
  <c r="Z454" i="2" s="1"/>
  <c r="AQ453" i="2"/>
  <c r="X453" i="2"/>
  <c r="AA453" i="2" s="1"/>
  <c r="W453" i="2"/>
  <c r="Z453" i="2" s="1"/>
  <c r="AQ452" i="2"/>
  <c r="X452" i="2"/>
  <c r="AA452" i="2" s="1"/>
  <c r="W452" i="2"/>
  <c r="Z452" i="2" s="1"/>
  <c r="AQ451" i="2"/>
  <c r="X451" i="2"/>
  <c r="AA451" i="2" s="1"/>
  <c r="W451" i="2"/>
  <c r="Z451" i="2" s="1"/>
  <c r="AQ450" i="2"/>
  <c r="X450" i="2"/>
  <c r="AA450" i="2" s="1"/>
  <c r="W450" i="2"/>
  <c r="Z450" i="2" s="1"/>
  <c r="AQ449" i="2"/>
  <c r="X449" i="2"/>
  <c r="AA449" i="2" s="1"/>
  <c r="W449" i="2"/>
  <c r="Z449" i="2" s="1"/>
  <c r="AQ448" i="2"/>
  <c r="X448" i="2"/>
  <c r="AA448" i="2" s="1"/>
  <c r="W448" i="2"/>
  <c r="Z448" i="2" s="1"/>
  <c r="AQ447" i="2"/>
  <c r="X447" i="2"/>
  <c r="AA447" i="2" s="1"/>
  <c r="W447" i="2"/>
  <c r="Z447" i="2" s="1"/>
  <c r="AQ446" i="2"/>
  <c r="X446" i="2"/>
  <c r="AA446" i="2" s="1"/>
  <c r="W446" i="2"/>
  <c r="Z446" i="2" s="1"/>
  <c r="AQ445" i="2"/>
  <c r="X445" i="2"/>
  <c r="AA445" i="2" s="1"/>
  <c r="W445" i="2"/>
  <c r="Z445" i="2" s="1"/>
  <c r="AQ444" i="2"/>
  <c r="X444" i="2"/>
  <c r="AA444" i="2" s="1"/>
  <c r="W444" i="2"/>
  <c r="Z444" i="2" s="1"/>
  <c r="AQ443" i="2"/>
  <c r="X443" i="2"/>
  <c r="AA443" i="2" s="1"/>
  <c r="W443" i="2"/>
  <c r="Z443" i="2" s="1"/>
  <c r="AQ442" i="2"/>
  <c r="X442" i="2"/>
  <c r="AA442" i="2" s="1"/>
  <c r="W442" i="2"/>
  <c r="Z442" i="2" s="1"/>
  <c r="AQ441" i="2"/>
  <c r="X441" i="2"/>
  <c r="AA441" i="2" s="1"/>
  <c r="W441" i="2"/>
  <c r="Z441" i="2" s="1"/>
  <c r="AQ440" i="2"/>
  <c r="X440" i="2"/>
  <c r="AA440" i="2" s="1"/>
  <c r="W440" i="2"/>
  <c r="Z440" i="2" s="1"/>
  <c r="AQ439" i="2"/>
  <c r="X439" i="2"/>
  <c r="AA439" i="2" s="1"/>
  <c r="W439" i="2"/>
  <c r="Z439" i="2" s="1"/>
  <c r="AQ438" i="2"/>
  <c r="X438" i="2"/>
  <c r="AA438" i="2" s="1"/>
  <c r="W438" i="2"/>
  <c r="Z438" i="2" s="1"/>
  <c r="AQ437" i="2"/>
  <c r="X437" i="2"/>
  <c r="AA437" i="2" s="1"/>
  <c r="W437" i="2"/>
  <c r="Z437" i="2" s="1"/>
  <c r="AQ436" i="2"/>
  <c r="X436" i="2"/>
  <c r="AA436" i="2" s="1"/>
  <c r="W436" i="2"/>
  <c r="Z436" i="2" s="1"/>
  <c r="AQ435" i="2"/>
  <c r="X435" i="2"/>
  <c r="AA435" i="2" s="1"/>
  <c r="W435" i="2"/>
  <c r="Z435" i="2" s="1"/>
  <c r="AQ434" i="2"/>
  <c r="X434" i="2"/>
  <c r="AA434" i="2" s="1"/>
  <c r="W434" i="2"/>
  <c r="Z434" i="2" s="1"/>
  <c r="AQ433" i="2"/>
  <c r="X433" i="2"/>
  <c r="AA433" i="2" s="1"/>
  <c r="W433" i="2"/>
  <c r="Z433" i="2" s="1"/>
  <c r="AQ432" i="2"/>
  <c r="X432" i="2"/>
  <c r="AA432" i="2" s="1"/>
  <c r="W432" i="2"/>
  <c r="Z432" i="2" s="1"/>
  <c r="AQ431" i="2"/>
  <c r="AI431" i="2"/>
  <c r="AH431" i="2"/>
  <c r="X431" i="2"/>
  <c r="AA431" i="2" s="1"/>
  <c r="W431" i="2"/>
  <c r="Z431" i="2" s="1"/>
  <c r="AQ430" i="2"/>
  <c r="AI430" i="2"/>
  <c r="AH430" i="2"/>
  <c r="AA430" i="2"/>
  <c r="X430" i="2"/>
  <c r="W430" i="2"/>
  <c r="Z430" i="2" s="1"/>
  <c r="AQ429" i="2"/>
  <c r="AI429" i="2"/>
  <c r="AH429" i="2"/>
  <c r="X429" i="2"/>
  <c r="AA429" i="2" s="1"/>
  <c r="W429" i="2"/>
  <c r="Z429" i="2" s="1"/>
  <c r="AQ428" i="2"/>
  <c r="AI428" i="2"/>
  <c r="AH428" i="2"/>
  <c r="X428" i="2"/>
  <c r="AA428" i="2" s="1"/>
  <c r="W428" i="2"/>
  <c r="Z428" i="2" s="1"/>
  <c r="AQ427" i="2"/>
  <c r="AI427" i="2"/>
  <c r="AH427" i="2"/>
  <c r="X427" i="2"/>
  <c r="AA427" i="2" s="1"/>
  <c r="W427" i="2"/>
  <c r="Z427" i="2" s="1"/>
  <c r="AQ426" i="2"/>
  <c r="X426" i="2"/>
  <c r="AA426" i="2" s="1"/>
  <c r="W426" i="2"/>
  <c r="Z426" i="2" s="1"/>
  <c r="AQ425" i="2"/>
  <c r="X425" i="2"/>
  <c r="AA425" i="2" s="1"/>
  <c r="W425" i="2"/>
  <c r="Z425" i="2" s="1"/>
  <c r="AQ424" i="2"/>
  <c r="X424" i="2"/>
  <c r="AA424" i="2" s="1"/>
  <c r="W424" i="2"/>
  <c r="Z424" i="2" s="1"/>
  <c r="AQ423" i="2"/>
  <c r="X423" i="2"/>
  <c r="AA423" i="2" s="1"/>
  <c r="W423" i="2"/>
  <c r="Z423" i="2" s="1"/>
  <c r="AQ422" i="2"/>
  <c r="X422" i="2"/>
  <c r="AA422" i="2" s="1"/>
  <c r="W422" i="2"/>
  <c r="Z422" i="2" s="1"/>
  <c r="AQ421" i="2"/>
  <c r="X421" i="2"/>
  <c r="AA421" i="2" s="1"/>
  <c r="W421" i="2"/>
  <c r="Z421" i="2" s="1"/>
  <c r="AQ420" i="2"/>
  <c r="X420" i="2"/>
  <c r="AA420" i="2" s="1"/>
  <c r="W420" i="2"/>
  <c r="Z420" i="2" s="1"/>
  <c r="AQ419" i="2"/>
  <c r="X419" i="2"/>
  <c r="AA419" i="2" s="1"/>
  <c r="W419" i="2"/>
  <c r="Z419" i="2" s="1"/>
  <c r="AQ418" i="2"/>
  <c r="X418" i="2"/>
  <c r="AA418" i="2" s="1"/>
  <c r="W418" i="2"/>
  <c r="Z418" i="2" s="1"/>
  <c r="AQ417" i="2"/>
  <c r="X417" i="2"/>
  <c r="AA417" i="2" s="1"/>
  <c r="W417" i="2"/>
  <c r="Z417" i="2" s="1"/>
  <c r="AQ416" i="2"/>
  <c r="AD416" i="2"/>
  <c r="AC416" i="2"/>
  <c r="S416" i="2"/>
  <c r="R416" i="2"/>
  <c r="Q416" i="2"/>
  <c r="X416" i="2" s="1"/>
  <c r="AA416" i="2" s="1"/>
  <c r="AQ415" i="2"/>
  <c r="X415" i="2"/>
  <c r="AA415" i="2" s="1"/>
  <c r="W415" i="2"/>
  <c r="Z415" i="2" s="1"/>
  <c r="AQ414" i="2"/>
  <c r="X414" i="2"/>
  <c r="AA414" i="2" s="1"/>
  <c r="W414" i="2"/>
  <c r="Z414" i="2" s="1"/>
  <c r="AQ413" i="2"/>
  <c r="Z413" i="2"/>
  <c r="X413" i="2"/>
  <c r="AA413" i="2" s="1"/>
  <c r="W413" i="2"/>
  <c r="AQ412" i="2"/>
  <c r="AA412" i="2"/>
  <c r="X412" i="2"/>
  <c r="W412" i="2"/>
  <c r="Z412" i="2" s="1"/>
  <c r="AQ411" i="2"/>
  <c r="X411" i="2"/>
  <c r="AA411" i="2" s="1"/>
  <c r="W411" i="2"/>
  <c r="Z411" i="2" s="1"/>
  <c r="AQ410" i="2"/>
  <c r="AI410" i="2"/>
  <c r="AH410" i="2"/>
  <c r="AA410" i="2"/>
  <c r="Z410" i="2"/>
  <c r="X410" i="2"/>
  <c r="W410" i="2"/>
  <c r="AQ409" i="2"/>
  <c r="AA409" i="2"/>
  <c r="X409" i="2"/>
  <c r="W409" i="2"/>
  <c r="Z409" i="2" s="1"/>
  <c r="AQ408" i="2"/>
  <c r="AI408" i="2"/>
  <c r="AH408" i="2"/>
  <c r="Z408" i="2"/>
  <c r="X408" i="2"/>
  <c r="AA408" i="2" s="1"/>
  <c r="W408" i="2"/>
  <c r="AQ407" i="2"/>
  <c r="AI407" i="2"/>
  <c r="AH407" i="2"/>
  <c r="X407" i="2"/>
  <c r="AA407" i="2" s="1"/>
  <c r="W407" i="2"/>
  <c r="Z407" i="2" s="1"/>
  <c r="AQ406" i="2"/>
  <c r="AI406" i="2"/>
  <c r="AH406" i="2"/>
  <c r="X406" i="2"/>
  <c r="AA406" i="2" s="1"/>
  <c r="W406" i="2"/>
  <c r="Z406" i="2" s="1"/>
  <c r="AQ405" i="2"/>
  <c r="AI405" i="2"/>
  <c r="AH405" i="2"/>
  <c r="AA405" i="2"/>
  <c r="X405" i="2"/>
  <c r="W405" i="2"/>
  <c r="Z405" i="2" s="1"/>
  <c r="AQ404" i="2"/>
  <c r="X404" i="2"/>
  <c r="AA404" i="2" s="1"/>
  <c r="W404" i="2"/>
  <c r="Z404" i="2" s="1"/>
  <c r="AQ403" i="2"/>
  <c r="Z403" i="2"/>
  <c r="X403" i="2"/>
  <c r="AA403" i="2" s="1"/>
  <c r="W403" i="2"/>
  <c r="AQ402" i="2"/>
  <c r="AA402" i="2"/>
  <c r="X402" i="2"/>
  <c r="W402" i="2"/>
  <c r="Z402" i="2" s="1"/>
  <c r="AQ401" i="2"/>
  <c r="AA401" i="2"/>
  <c r="X401" i="2"/>
  <c r="W401" i="2"/>
  <c r="Z401" i="2" s="1"/>
  <c r="AQ400" i="2"/>
  <c r="X400" i="2"/>
  <c r="AA400" i="2" s="1"/>
  <c r="W400" i="2"/>
  <c r="Z400" i="2" s="1"/>
  <c r="AQ399" i="2"/>
  <c r="Z399" i="2"/>
  <c r="X399" i="2"/>
  <c r="AA399" i="2" s="1"/>
  <c r="W399" i="2"/>
  <c r="AQ398" i="2"/>
  <c r="AA398" i="2"/>
  <c r="X398" i="2"/>
  <c r="W398" i="2"/>
  <c r="Z398" i="2" s="1"/>
  <c r="AQ397" i="2"/>
  <c r="AA397" i="2"/>
  <c r="X397" i="2"/>
  <c r="W397" i="2"/>
  <c r="Z397" i="2" s="1"/>
  <c r="AQ396" i="2"/>
  <c r="X396" i="2"/>
  <c r="AA396" i="2" s="1"/>
  <c r="W396" i="2"/>
  <c r="Z396" i="2" s="1"/>
  <c r="AQ395" i="2"/>
  <c r="Z395" i="2"/>
  <c r="X395" i="2"/>
  <c r="AA395" i="2" s="1"/>
  <c r="W395" i="2"/>
  <c r="AQ394" i="2"/>
  <c r="AA394" i="2"/>
  <c r="X394" i="2"/>
  <c r="W394" i="2"/>
  <c r="Z394" i="2" s="1"/>
  <c r="AQ393" i="2"/>
  <c r="AA393" i="2"/>
  <c r="X393" i="2"/>
  <c r="W393" i="2"/>
  <c r="Z393" i="2" s="1"/>
  <c r="AQ392" i="2"/>
  <c r="X392" i="2"/>
  <c r="AA392" i="2" s="1"/>
  <c r="W392" i="2"/>
  <c r="Z392" i="2" s="1"/>
  <c r="AQ391" i="2"/>
  <c r="Z391" i="2"/>
  <c r="X391" i="2"/>
  <c r="AA391" i="2" s="1"/>
  <c r="W391" i="2"/>
  <c r="AQ390" i="2"/>
  <c r="AA390" i="2"/>
  <c r="X390" i="2"/>
  <c r="W390" i="2"/>
  <c r="Z390" i="2" s="1"/>
  <c r="AQ389" i="2"/>
  <c r="AI389" i="2"/>
  <c r="AH389" i="2"/>
  <c r="Z389" i="2"/>
  <c r="X389" i="2"/>
  <c r="AA389" i="2" s="1"/>
  <c r="W389" i="2"/>
  <c r="AQ388" i="2"/>
  <c r="AA388" i="2"/>
  <c r="Z388" i="2"/>
  <c r="X388" i="2"/>
  <c r="W388" i="2"/>
  <c r="AQ387" i="2"/>
  <c r="AI387" i="2"/>
  <c r="AH387" i="2"/>
  <c r="X387" i="2"/>
  <c r="AA387" i="2" s="1"/>
  <c r="W387" i="2"/>
  <c r="Z387" i="2" s="1"/>
  <c r="AQ386" i="2"/>
  <c r="Z386" i="2"/>
  <c r="X386" i="2"/>
  <c r="AA386" i="2" s="1"/>
  <c r="W386" i="2"/>
  <c r="AQ385" i="2"/>
  <c r="X385" i="2"/>
  <c r="AA385" i="2" s="1"/>
  <c r="W385" i="2"/>
  <c r="Z385" i="2" s="1"/>
  <c r="AQ384" i="2"/>
  <c r="X384" i="2"/>
  <c r="AA384" i="2" s="1"/>
  <c r="W384" i="2"/>
  <c r="Z384" i="2" s="1"/>
  <c r="AQ383" i="2"/>
  <c r="X383" i="2"/>
  <c r="AA383" i="2" s="1"/>
  <c r="W383" i="2"/>
  <c r="Z383" i="2" s="1"/>
  <c r="AQ382" i="2"/>
  <c r="Z382" i="2"/>
  <c r="X382" i="2"/>
  <c r="AA382" i="2" s="1"/>
  <c r="W382" i="2"/>
  <c r="AQ381" i="2"/>
  <c r="X381" i="2"/>
  <c r="AA381" i="2" s="1"/>
  <c r="W381" i="2"/>
  <c r="Z381" i="2" s="1"/>
  <c r="AQ380" i="2"/>
  <c r="AI380" i="2"/>
  <c r="AH380" i="2"/>
  <c r="X380" i="2"/>
  <c r="AA380" i="2" s="1"/>
  <c r="W380" i="2"/>
  <c r="Z380" i="2" s="1"/>
  <c r="AQ379" i="2"/>
  <c r="S379" i="2"/>
  <c r="R379" i="2"/>
  <c r="X379" i="2" s="1"/>
  <c r="AA379" i="2" s="1"/>
  <c r="AQ378" i="2"/>
  <c r="X378" i="2"/>
  <c r="AA378" i="2" s="1"/>
  <c r="W378" i="2"/>
  <c r="Z378" i="2" s="1"/>
  <c r="AQ377" i="2"/>
  <c r="X377" i="2"/>
  <c r="AA377" i="2" s="1"/>
  <c r="W377" i="2"/>
  <c r="Z377" i="2" s="1"/>
  <c r="AQ376" i="2"/>
  <c r="X376" i="2"/>
  <c r="AA376" i="2" s="1"/>
  <c r="W376" i="2"/>
  <c r="Z376" i="2" s="1"/>
  <c r="AQ375" i="2"/>
  <c r="X375" i="2"/>
  <c r="AA375" i="2" s="1"/>
  <c r="W375" i="2"/>
  <c r="Z375" i="2" s="1"/>
  <c r="AQ374" i="2"/>
  <c r="X374" i="2"/>
  <c r="AA374" i="2" s="1"/>
  <c r="W374" i="2"/>
  <c r="Z374" i="2" s="1"/>
  <c r="AQ373" i="2"/>
  <c r="X373" i="2"/>
  <c r="AA373" i="2" s="1"/>
  <c r="W373" i="2"/>
  <c r="Z373" i="2" s="1"/>
  <c r="AQ372" i="2"/>
  <c r="X372" i="2"/>
  <c r="AA372" i="2" s="1"/>
  <c r="W372" i="2"/>
  <c r="Z372" i="2" s="1"/>
  <c r="AQ371" i="2"/>
  <c r="X371" i="2"/>
  <c r="AA371" i="2" s="1"/>
  <c r="W371" i="2"/>
  <c r="Z371" i="2" s="1"/>
  <c r="AQ370" i="2"/>
  <c r="X370" i="2"/>
  <c r="AA370" i="2" s="1"/>
  <c r="W370" i="2"/>
  <c r="Z370" i="2" s="1"/>
  <c r="AQ369" i="2"/>
  <c r="X369" i="2"/>
  <c r="AA369" i="2" s="1"/>
  <c r="W369" i="2"/>
  <c r="Z369" i="2" s="1"/>
  <c r="AQ368" i="2"/>
  <c r="X368" i="2"/>
  <c r="AA368" i="2" s="1"/>
  <c r="W368" i="2"/>
  <c r="Z368" i="2" s="1"/>
  <c r="AQ367" i="2"/>
  <c r="X367" i="2"/>
  <c r="AA367" i="2" s="1"/>
  <c r="W367" i="2"/>
  <c r="Z367" i="2" s="1"/>
  <c r="AQ366" i="2"/>
  <c r="X366" i="2"/>
  <c r="AA366" i="2" s="1"/>
  <c r="W366" i="2"/>
  <c r="Z366" i="2" s="1"/>
  <c r="AQ365" i="2"/>
  <c r="X365" i="2"/>
  <c r="AA365" i="2" s="1"/>
  <c r="W365" i="2"/>
  <c r="Z365" i="2" s="1"/>
  <c r="AQ364" i="2"/>
  <c r="X364" i="2"/>
  <c r="AA364" i="2" s="1"/>
  <c r="W364" i="2"/>
  <c r="Z364" i="2" s="1"/>
  <c r="AQ363" i="2"/>
  <c r="X363" i="2"/>
  <c r="AA363" i="2" s="1"/>
  <c r="W363" i="2"/>
  <c r="Z363" i="2" s="1"/>
  <c r="AQ362" i="2"/>
  <c r="X362" i="2"/>
  <c r="AA362" i="2" s="1"/>
  <c r="W362" i="2"/>
  <c r="Z362" i="2" s="1"/>
  <c r="AQ361" i="2"/>
  <c r="X361" i="2"/>
  <c r="AA361" i="2" s="1"/>
  <c r="W361" i="2"/>
  <c r="Z361" i="2" s="1"/>
  <c r="AQ360" i="2"/>
  <c r="X360" i="2"/>
  <c r="AA360" i="2" s="1"/>
  <c r="W360" i="2"/>
  <c r="Z360" i="2" s="1"/>
  <c r="AQ359" i="2"/>
  <c r="X359" i="2"/>
  <c r="AA359" i="2" s="1"/>
  <c r="W359" i="2"/>
  <c r="Z359" i="2" s="1"/>
  <c r="AQ358" i="2"/>
  <c r="X358" i="2"/>
  <c r="AA358" i="2" s="1"/>
  <c r="W358" i="2"/>
  <c r="Z358" i="2" s="1"/>
  <c r="AQ357" i="2"/>
  <c r="X357" i="2"/>
  <c r="AA357" i="2" s="1"/>
  <c r="W357" i="2"/>
  <c r="Z357" i="2" s="1"/>
  <c r="AQ356" i="2"/>
  <c r="X356" i="2"/>
  <c r="AA356" i="2" s="1"/>
  <c r="W356" i="2"/>
  <c r="Z356" i="2" s="1"/>
  <c r="AQ355" i="2"/>
  <c r="X355" i="2"/>
  <c r="AA355" i="2" s="1"/>
  <c r="W355" i="2"/>
  <c r="Z355" i="2" s="1"/>
  <c r="AQ354" i="2"/>
  <c r="X354" i="2"/>
  <c r="AA354" i="2" s="1"/>
  <c r="W354" i="2"/>
  <c r="Z354" i="2" s="1"/>
  <c r="AQ353" i="2"/>
  <c r="X353" i="2"/>
  <c r="AA353" i="2" s="1"/>
  <c r="W353" i="2"/>
  <c r="Z353" i="2" s="1"/>
  <c r="AQ352" i="2"/>
  <c r="X352" i="2"/>
  <c r="AA352" i="2" s="1"/>
  <c r="W352" i="2"/>
  <c r="Z352" i="2" s="1"/>
  <c r="AQ351" i="2"/>
  <c r="X351" i="2"/>
  <c r="AA351" i="2" s="1"/>
  <c r="W351" i="2"/>
  <c r="Z351" i="2" s="1"/>
  <c r="AQ350" i="2"/>
  <c r="X350" i="2"/>
  <c r="AA350" i="2" s="1"/>
  <c r="W350" i="2"/>
  <c r="Z350" i="2" s="1"/>
  <c r="AQ349" i="2"/>
  <c r="X349" i="2"/>
  <c r="AA349" i="2" s="1"/>
  <c r="W349" i="2"/>
  <c r="Z349" i="2" s="1"/>
  <c r="AQ348" i="2"/>
  <c r="X348" i="2"/>
  <c r="AA348" i="2" s="1"/>
  <c r="W348" i="2"/>
  <c r="Z348" i="2" s="1"/>
  <c r="AQ347" i="2"/>
  <c r="X347" i="2"/>
  <c r="AA347" i="2" s="1"/>
  <c r="W347" i="2"/>
  <c r="Z347" i="2" s="1"/>
  <c r="AQ346" i="2"/>
  <c r="X346" i="2"/>
  <c r="AA346" i="2" s="1"/>
  <c r="W346" i="2"/>
  <c r="Z346" i="2" s="1"/>
  <c r="AQ345" i="2"/>
  <c r="X345" i="2"/>
  <c r="AA345" i="2" s="1"/>
  <c r="W345" i="2"/>
  <c r="Z345" i="2" s="1"/>
  <c r="AQ344" i="2"/>
  <c r="X344" i="2"/>
  <c r="AA344" i="2" s="1"/>
  <c r="W344" i="2"/>
  <c r="Z344" i="2" s="1"/>
  <c r="AQ343" i="2"/>
  <c r="X343" i="2"/>
  <c r="AA343" i="2" s="1"/>
  <c r="W343" i="2"/>
  <c r="Z343" i="2" s="1"/>
  <c r="AQ342" i="2"/>
  <c r="X342" i="2"/>
  <c r="AA342" i="2" s="1"/>
  <c r="W342" i="2"/>
  <c r="Z342" i="2" s="1"/>
  <c r="AQ341" i="2"/>
  <c r="X341" i="2"/>
  <c r="AA341" i="2" s="1"/>
  <c r="W341" i="2"/>
  <c r="Z341" i="2" s="1"/>
  <c r="AQ340" i="2"/>
  <c r="X340" i="2"/>
  <c r="AA340" i="2" s="1"/>
  <c r="W340" i="2"/>
  <c r="Z340" i="2" s="1"/>
  <c r="AQ339" i="2"/>
  <c r="Z339" i="2"/>
  <c r="X339" i="2"/>
  <c r="AA339" i="2" s="1"/>
  <c r="W339" i="2"/>
  <c r="AQ338" i="2"/>
  <c r="X338" i="2"/>
  <c r="AA338" i="2" s="1"/>
  <c r="W338" i="2"/>
  <c r="Z338" i="2" s="1"/>
  <c r="AQ337" i="2"/>
  <c r="X337" i="2"/>
  <c r="AA337" i="2" s="1"/>
  <c r="W337" i="2"/>
  <c r="Z337" i="2" s="1"/>
  <c r="AQ336" i="2"/>
  <c r="X336" i="2"/>
  <c r="AA336" i="2" s="1"/>
  <c r="W336" i="2"/>
  <c r="Z336" i="2" s="1"/>
  <c r="AQ335" i="2"/>
  <c r="X335" i="2"/>
  <c r="AA335" i="2" s="1"/>
  <c r="W335" i="2"/>
  <c r="Z335" i="2" s="1"/>
  <c r="AQ334" i="2"/>
  <c r="AA334" i="2"/>
  <c r="X334" i="2"/>
  <c r="W334" i="2"/>
  <c r="Z334" i="2" s="1"/>
  <c r="AQ333" i="2"/>
  <c r="X333" i="2"/>
  <c r="AA333" i="2" s="1"/>
  <c r="W333" i="2"/>
  <c r="Z333" i="2" s="1"/>
  <c r="AQ332" i="2"/>
  <c r="X332" i="2"/>
  <c r="AA332" i="2" s="1"/>
  <c r="W332" i="2"/>
  <c r="Z332" i="2" s="1"/>
  <c r="AQ331" i="2"/>
  <c r="Z331" i="2"/>
  <c r="X331" i="2"/>
  <c r="AA331" i="2" s="1"/>
  <c r="W331" i="2"/>
  <c r="AQ330" i="2"/>
  <c r="S330" i="2"/>
  <c r="R330" i="2"/>
  <c r="Q330" i="2"/>
  <c r="AQ329" i="2"/>
  <c r="Q329" i="2"/>
  <c r="AQ328" i="2"/>
  <c r="X328" i="2"/>
  <c r="AA328" i="2" s="1"/>
  <c r="W328" i="2"/>
  <c r="Z328" i="2" s="1"/>
  <c r="AQ327" i="2"/>
  <c r="X327" i="2"/>
  <c r="AA327" i="2" s="1"/>
  <c r="W327" i="2"/>
  <c r="Z327" i="2" s="1"/>
  <c r="AQ326" i="2"/>
  <c r="Z326" i="2"/>
  <c r="X326" i="2"/>
  <c r="AA326" i="2" s="1"/>
  <c r="W326" i="2"/>
  <c r="AQ325" i="2"/>
  <c r="X325" i="2"/>
  <c r="AA325" i="2" s="1"/>
  <c r="W325" i="2"/>
  <c r="Z325" i="2" s="1"/>
  <c r="AQ324" i="2"/>
  <c r="X324" i="2"/>
  <c r="AA324" i="2" s="1"/>
  <c r="W324" i="2"/>
  <c r="Z324" i="2" s="1"/>
  <c r="AQ323" i="2"/>
  <c r="X323" i="2"/>
  <c r="AA323" i="2" s="1"/>
  <c r="W323" i="2"/>
  <c r="Z323" i="2" s="1"/>
  <c r="AQ322" i="2"/>
  <c r="X322" i="2"/>
  <c r="AA322" i="2" s="1"/>
  <c r="W322" i="2"/>
  <c r="Z322" i="2" s="1"/>
  <c r="AQ321" i="2"/>
  <c r="AA321" i="2"/>
  <c r="X321" i="2"/>
  <c r="W321" i="2"/>
  <c r="Z321" i="2" s="1"/>
  <c r="AQ320" i="2"/>
  <c r="X320" i="2"/>
  <c r="AA320" i="2" s="1"/>
  <c r="W320" i="2"/>
  <c r="Z320" i="2" s="1"/>
  <c r="AQ319" i="2"/>
  <c r="X319" i="2"/>
  <c r="AA319" i="2" s="1"/>
  <c r="W319" i="2"/>
  <c r="Z319" i="2" s="1"/>
  <c r="AQ318" i="2"/>
  <c r="Z318" i="2"/>
  <c r="X318" i="2"/>
  <c r="AA318" i="2" s="1"/>
  <c r="W318" i="2"/>
  <c r="AQ317" i="2"/>
  <c r="AA317" i="2"/>
  <c r="X317" i="2"/>
  <c r="W317" i="2"/>
  <c r="Z317" i="2" s="1"/>
  <c r="AQ316" i="2"/>
  <c r="X316" i="2"/>
  <c r="AA316" i="2" s="1"/>
  <c r="W316" i="2"/>
  <c r="Z316" i="2" s="1"/>
  <c r="AQ315" i="2"/>
  <c r="X315" i="2"/>
  <c r="AA315" i="2" s="1"/>
  <c r="W315" i="2"/>
  <c r="Z315" i="2" s="1"/>
  <c r="AQ314" i="2"/>
  <c r="X314" i="2"/>
  <c r="AA314" i="2" s="1"/>
  <c r="W314" i="2"/>
  <c r="Z314" i="2" s="1"/>
  <c r="AQ313" i="2"/>
  <c r="AA313" i="2"/>
  <c r="X313" i="2"/>
  <c r="W313" i="2"/>
  <c r="Z313" i="2" s="1"/>
  <c r="AQ312" i="2"/>
  <c r="X312" i="2"/>
  <c r="AA312" i="2" s="1"/>
  <c r="W312" i="2"/>
  <c r="Z312" i="2" s="1"/>
  <c r="AQ311" i="2"/>
  <c r="X311" i="2"/>
  <c r="AA311" i="2" s="1"/>
  <c r="W311" i="2"/>
  <c r="Z311" i="2" s="1"/>
  <c r="AQ310" i="2"/>
  <c r="Z310" i="2"/>
  <c r="X310" i="2"/>
  <c r="AA310" i="2" s="1"/>
  <c r="W310" i="2"/>
  <c r="AQ309" i="2"/>
  <c r="AA309" i="2"/>
  <c r="X309" i="2"/>
  <c r="W309" i="2"/>
  <c r="Z309" i="2" s="1"/>
  <c r="AQ308" i="2"/>
  <c r="X308" i="2"/>
  <c r="AA308" i="2" s="1"/>
  <c r="W308" i="2"/>
  <c r="Z308" i="2" s="1"/>
  <c r="AQ307" i="2"/>
  <c r="X307" i="2"/>
  <c r="AA307" i="2" s="1"/>
  <c r="W307" i="2"/>
  <c r="Z307" i="2" s="1"/>
  <c r="AQ306" i="2"/>
  <c r="X306" i="2"/>
  <c r="AA306" i="2" s="1"/>
  <c r="W306" i="2"/>
  <c r="Z306" i="2" s="1"/>
  <c r="AQ305" i="2"/>
  <c r="AA305" i="2"/>
  <c r="X305" i="2"/>
  <c r="W305" i="2"/>
  <c r="Z305" i="2" s="1"/>
  <c r="AQ304" i="2"/>
  <c r="X304" i="2"/>
  <c r="AA304" i="2" s="1"/>
  <c r="W304" i="2"/>
  <c r="Z304" i="2" s="1"/>
  <c r="AQ303" i="2"/>
  <c r="X303" i="2"/>
  <c r="AA303" i="2" s="1"/>
  <c r="W303" i="2"/>
  <c r="Z303" i="2" s="1"/>
  <c r="AQ302" i="2"/>
  <c r="Z302" i="2"/>
  <c r="X302" i="2"/>
  <c r="AA302" i="2" s="1"/>
  <c r="W302" i="2"/>
  <c r="AQ301" i="2"/>
  <c r="AA301" i="2"/>
  <c r="X301" i="2"/>
  <c r="W301" i="2"/>
  <c r="Z301" i="2" s="1"/>
  <c r="AQ300" i="2"/>
  <c r="X300" i="2"/>
  <c r="AA300" i="2" s="1"/>
  <c r="W300" i="2"/>
  <c r="Z300" i="2" s="1"/>
  <c r="AQ299" i="2"/>
  <c r="X299" i="2"/>
  <c r="AA299" i="2" s="1"/>
  <c r="W299" i="2"/>
  <c r="Z299" i="2" s="1"/>
  <c r="AQ298" i="2"/>
  <c r="Z298" i="2"/>
  <c r="X298" i="2"/>
  <c r="AA298" i="2" s="1"/>
  <c r="W298" i="2"/>
  <c r="AQ297" i="2"/>
  <c r="AA297" i="2"/>
  <c r="X297" i="2"/>
  <c r="W297" i="2"/>
  <c r="Z297" i="2" s="1"/>
  <c r="AQ296" i="2"/>
  <c r="X296" i="2"/>
  <c r="AA296" i="2" s="1"/>
  <c r="W296" i="2"/>
  <c r="Z296" i="2" s="1"/>
  <c r="AQ295" i="2"/>
  <c r="X295" i="2"/>
  <c r="AA295" i="2" s="1"/>
  <c r="W295" i="2"/>
  <c r="Z295" i="2" s="1"/>
  <c r="AQ294" i="2"/>
  <c r="X294" i="2"/>
  <c r="AA294" i="2" s="1"/>
  <c r="W294" i="2"/>
  <c r="Z294" i="2" s="1"/>
  <c r="AQ293" i="2"/>
  <c r="AA293" i="2"/>
  <c r="X293" i="2"/>
  <c r="W293" i="2"/>
  <c r="Z293" i="2" s="1"/>
  <c r="AQ292" i="2"/>
  <c r="X292" i="2"/>
  <c r="AA292" i="2" s="1"/>
  <c r="W292" i="2"/>
  <c r="Z292" i="2" s="1"/>
  <c r="AQ291" i="2"/>
  <c r="X291" i="2"/>
  <c r="AA291" i="2" s="1"/>
  <c r="W291" i="2"/>
  <c r="Z291" i="2" s="1"/>
  <c r="AQ290" i="2"/>
  <c r="X290" i="2"/>
  <c r="AA290" i="2" s="1"/>
  <c r="W290" i="2"/>
  <c r="Z290" i="2" s="1"/>
  <c r="AQ289" i="2"/>
  <c r="AA289" i="2"/>
  <c r="X289" i="2"/>
  <c r="W289" i="2"/>
  <c r="Z289" i="2" s="1"/>
  <c r="AQ288" i="2"/>
  <c r="AA288" i="2"/>
  <c r="X288" i="2"/>
  <c r="W288" i="2"/>
  <c r="Z288" i="2" s="1"/>
  <c r="AQ287" i="2"/>
  <c r="X287" i="2"/>
  <c r="AA287" i="2" s="1"/>
  <c r="W287" i="2"/>
  <c r="Z287" i="2" s="1"/>
  <c r="AQ286" i="2"/>
  <c r="X286" i="2"/>
  <c r="AA286" i="2" s="1"/>
  <c r="W286" i="2"/>
  <c r="Z286" i="2" s="1"/>
  <c r="AQ285" i="2"/>
  <c r="X285" i="2"/>
  <c r="AA285" i="2" s="1"/>
  <c r="W285" i="2"/>
  <c r="Z285" i="2" s="1"/>
  <c r="AQ284" i="2"/>
  <c r="X284" i="2"/>
  <c r="AA284" i="2" s="1"/>
  <c r="W284" i="2"/>
  <c r="Z284" i="2" s="1"/>
  <c r="AQ283" i="2"/>
  <c r="X283" i="2"/>
  <c r="AA283" i="2" s="1"/>
  <c r="W283" i="2"/>
  <c r="Z283" i="2" s="1"/>
  <c r="AQ282" i="2"/>
  <c r="X282" i="2"/>
  <c r="AA282" i="2" s="1"/>
  <c r="W282" i="2"/>
  <c r="Z282" i="2" s="1"/>
  <c r="AQ281" i="2"/>
  <c r="X281" i="2"/>
  <c r="AA281" i="2" s="1"/>
  <c r="W281" i="2"/>
  <c r="Z281" i="2" s="1"/>
  <c r="AQ280" i="2"/>
  <c r="X280" i="2"/>
  <c r="AA280" i="2" s="1"/>
  <c r="W280" i="2"/>
  <c r="Z280" i="2" s="1"/>
  <c r="AQ279" i="2"/>
  <c r="X279" i="2"/>
  <c r="AA279" i="2" s="1"/>
  <c r="W279" i="2"/>
  <c r="Z279" i="2" s="1"/>
  <c r="AQ278" i="2"/>
  <c r="X278" i="2"/>
  <c r="AA278" i="2" s="1"/>
  <c r="W278" i="2"/>
  <c r="Z278" i="2" s="1"/>
  <c r="AQ277" i="2"/>
  <c r="Z277" i="2"/>
  <c r="X277" i="2"/>
  <c r="AA277" i="2" s="1"/>
  <c r="W277" i="2"/>
  <c r="AQ276" i="2"/>
  <c r="AA276" i="2"/>
  <c r="X276" i="2"/>
  <c r="W276" i="2"/>
  <c r="Z276" i="2" s="1"/>
  <c r="AQ275" i="2"/>
  <c r="X275" i="2"/>
  <c r="AA275" i="2" s="1"/>
  <c r="W275" i="2"/>
  <c r="Z275" i="2" s="1"/>
  <c r="AQ274" i="2"/>
  <c r="X274" i="2"/>
  <c r="AA274" i="2" s="1"/>
  <c r="W274" i="2"/>
  <c r="Z274" i="2" s="1"/>
  <c r="AQ273" i="2"/>
  <c r="Z273" i="2"/>
  <c r="X273" i="2"/>
  <c r="AA273" i="2" s="1"/>
  <c r="W273" i="2"/>
  <c r="AQ272" i="2"/>
  <c r="AA272" i="2"/>
  <c r="X272" i="2"/>
  <c r="W272" i="2"/>
  <c r="Z272" i="2" s="1"/>
  <c r="AQ271" i="2"/>
  <c r="X271" i="2"/>
  <c r="AA271" i="2" s="1"/>
  <c r="W271" i="2"/>
  <c r="Z271" i="2" s="1"/>
  <c r="AQ270" i="2"/>
  <c r="X270" i="2"/>
  <c r="AA270" i="2" s="1"/>
  <c r="W270" i="2"/>
  <c r="Z270" i="2" s="1"/>
  <c r="AQ269" i="2"/>
  <c r="Z269" i="2"/>
  <c r="X269" i="2"/>
  <c r="AA269" i="2" s="1"/>
  <c r="W269" i="2"/>
  <c r="AQ268" i="2"/>
  <c r="AA268" i="2"/>
  <c r="X268" i="2"/>
  <c r="W268" i="2"/>
  <c r="Z268" i="2" s="1"/>
  <c r="AQ267" i="2"/>
  <c r="X267" i="2"/>
  <c r="AA267" i="2" s="1"/>
  <c r="W267" i="2"/>
  <c r="Z267" i="2" s="1"/>
  <c r="AQ266" i="2"/>
  <c r="X266" i="2"/>
  <c r="AA266" i="2" s="1"/>
  <c r="W266" i="2"/>
  <c r="Z266" i="2" s="1"/>
  <c r="AQ265" i="2"/>
  <c r="Z265" i="2"/>
  <c r="X265" i="2"/>
  <c r="AA265" i="2" s="1"/>
  <c r="W265" i="2"/>
  <c r="AQ264" i="2"/>
  <c r="AA264" i="2"/>
  <c r="X264" i="2"/>
  <c r="W264" i="2"/>
  <c r="Z264" i="2" s="1"/>
  <c r="AQ263" i="2"/>
  <c r="X263" i="2"/>
  <c r="AA263" i="2" s="1"/>
  <c r="W263" i="2"/>
  <c r="Z263" i="2" s="1"/>
  <c r="AQ262" i="2"/>
  <c r="X262" i="2"/>
  <c r="AA262" i="2" s="1"/>
  <c r="W262" i="2"/>
  <c r="Z262" i="2" s="1"/>
  <c r="AQ261" i="2"/>
  <c r="Z261" i="2"/>
  <c r="X261" i="2"/>
  <c r="AA261" i="2" s="1"/>
  <c r="W261" i="2"/>
  <c r="AQ260" i="2"/>
  <c r="AA260" i="2"/>
  <c r="X260" i="2"/>
  <c r="W260" i="2"/>
  <c r="Z260" i="2" s="1"/>
  <c r="AQ259" i="2"/>
  <c r="X259" i="2"/>
  <c r="AA259" i="2" s="1"/>
  <c r="W259" i="2"/>
  <c r="Z259" i="2" s="1"/>
  <c r="AQ258" i="2"/>
  <c r="X258" i="2"/>
  <c r="AA258" i="2" s="1"/>
  <c r="W258" i="2"/>
  <c r="Z258" i="2" s="1"/>
  <c r="AQ257" i="2"/>
  <c r="Z257" i="2"/>
  <c r="X257" i="2"/>
  <c r="AA257" i="2" s="1"/>
  <c r="W257" i="2"/>
  <c r="AQ256" i="2"/>
  <c r="AA256" i="2"/>
  <c r="X256" i="2"/>
  <c r="W256" i="2"/>
  <c r="Z256" i="2" s="1"/>
  <c r="AQ255" i="2"/>
  <c r="X255" i="2"/>
  <c r="AA255" i="2" s="1"/>
  <c r="W255" i="2"/>
  <c r="Z255" i="2" s="1"/>
  <c r="AQ254" i="2"/>
  <c r="X254" i="2"/>
  <c r="AA254" i="2" s="1"/>
  <c r="W254" i="2"/>
  <c r="Z254" i="2" s="1"/>
  <c r="AQ253" i="2"/>
  <c r="Z253" i="2"/>
  <c r="X253" i="2"/>
  <c r="AA253" i="2" s="1"/>
  <c r="W253" i="2"/>
  <c r="AQ252" i="2"/>
  <c r="AA252" i="2"/>
  <c r="X252" i="2"/>
  <c r="W252" i="2"/>
  <c r="Z252" i="2" s="1"/>
  <c r="AQ251" i="2"/>
  <c r="X251" i="2"/>
  <c r="AA251" i="2" s="1"/>
  <c r="W251" i="2"/>
  <c r="Z251" i="2" s="1"/>
  <c r="AQ250" i="2"/>
  <c r="X250" i="2"/>
  <c r="AA250" i="2" s="1"/>
  <c r="W250" i="2"/>
  <c r="Z250" i="2" s="1"/>
  <c r="AQ249" i="2"/>
  <c r="Z249" i="2"/>
  <c r="X249" i="2"/>
  <c r="AA249" i="2" s="1"/>
  <c r="W249" i="2"/>
  <c r="AQ248" i="2"/>
  <c r="AA248" i="2"/>
  <c r="X248" i="2"/>
  <c r="W248" i="2"/>
  <c r="Z248" i="2" s="1"/>
  <c r="AQ247" i="2"/>
  <c r="X247" i="2"/>
  <c r="AA247" i="2" s="1"/>
  <c r="W247" i="2"/>
  <c r="Z247" i="2" s="1"/>
  <c r="AQ246" i="2"/>
  <c r="X246" i="2"/>
  <c r="AA246" i="2" s="1"/>
  <c r="W246" i="2"/>
  <c r="Z246" i="2" s="1"/>
  <c r="AQ245" i="2"/>
  <c r="Z245" i="2"/>
  <c r="X245" i="2"/>
  <c r="AA245" i="2" s="1"/>
  <c r="W245" i="2"/>
  <c r="AQ244" i="2"/>
  <c r="AA244" i="2"/>
  <c r="X244" i="2"/>
  <c r="W244" i="2"/>
  <c r="Z244" i="2" s="1"/>
  <c r="AQ243" i="2"/>
  <c r="X243" i="2"/>
  <c r="AA243" i="2" s="1"/>
  <c r="W243" i="2"/>
  <c r="Z243" i="2" s="1"/>
  <c r="AQ242" i="2"/>
  <c r="X242" i="2"/>
  <c r="AA242" i="2" s="1"/>
  <c r="W242" i="2"/>
  <c r="Z242" i="2" s="1"/>
  <c r="AQ241" i="2"/>
  <c r="X241" i="2"/>
  <c r="AA241" i="2" s="1"/>
  <c r="W241" i="2"/>
  <c r="Z241" i="2" s="1"/>
  <c r="AQ240" i="2"/>
  <c r="X240" i="2"/>
  <c r="AA240" i="2" s="1"/>
  <c r="W240" i="2"/>
  <c r="Z240" i="2" s="1"/>
  <c r="AQ239" i="2"/>
  <c r="X239" i="2"/>
  <c r="AA239" i="2" s="1"/>
  <c r="W239" i="2"/>
  <c r="Z239" i="2" s="1"/>
  <c r="AQ238" i="2"/>
  <c r="X238" i="2"/>
  <c r="AA238" i="2" s="1"/>
  <c r="W238" i="2"/>
  <c r="Z238" i="2" s="1"/>
  <c r="AQ237" i="2"/>
  <c r="X237" i="2"/>
  <c r="AA237" i="2" s="1"/>
  <c r="W237" i="2"/>
  <c r="Z237" i="2" s="1"/>
  <c r="AQ236" i="2"/>
  <c r="X236" i="2"/>
  <c r="AA236" i="2" s="1"/>
  <c r="W236" i="2"/>
  <c r="Z236" i="2" s="1"/>
  <c r="AQ235" i="2"/>
  <c r="X235" i="2"/>
  <c r="AA235" i="2" s="1"/>
  <c r="W235" i="2"/>
  <c r="Z235" i="2" s="1"/>
  <c r="AQ234" i="2"/>
  <c r="X234" i="2"/>
  <c r="AA234" i="2" s="1"/>
  <c r="W234" i="2"/>
  <c r="Z234" i="2" s="1"/>
  <c r="AQ233" i="2"/>
  <c r="X233" i="2"/>
  <c r="AA233" i="2" s="1"/>
  <c r="W233" i="2"/>
  <c r="Z233" i="2" s="1"/>
  <c r="AQ232" i="2"/>
  <c r="S232" i="2"/>
  <c r="R232" i="2"/>
  <c r="Q232" i="2"/>
  <c r="X232" i="2" s="1"/>
  <c r="AA232" i="2" s="1"/>
  <c r="AQ231" i="2"/>
  <c r="X231" i="2"/>
  <c r="AA231" i="2" s="1"/>
  <c r="W231" i="2"/>
  <c r="Z231" i="2" s="1"/>
  <c r="AQ230" i="2"/>
  <c r="X230" i="2"/>
  <c r="AA230" i="2" s="1"/>
  <c r="W230" i="2"/>
  <c r="Z230" i="2" s="1"/>
  <c r="AQ229" i="2"/>
  <c r="X229" i="2"/>
  <c r="AA229" i="2" s="1"/>
  <c r="W229" i="2"/>
  <c r="Z229" i="2" s="1"/>
  <c r="AQ228" i="2"/>
  <c r="X228" i="2"/>
  <c r="AA228" i="2" s="1"/>
  <c r="W228" i="2"/>
  <c r="Z228" i="2" s="1"/>
  <c r="AQ227" i="2"/>
  <c r="X227" i="2"/>
  <c r="AA227" i="2" s="1"/>
  <c r="W227" i="2"/>
  <c r="Z227" i="2" s="1"/>
  <c r="AQ226" i="2"/>
  <c r="X226" i="2"/>
  <c r="AA226" i="2" s="1"/>
  <c r="W226" i="2"/>
  <c r="Z226" i="2" s="1"/>
  <c r="AQ225" i="2"/>
  <c r="X225" i="2"/>
  <c r="AA225" i="2" s="1"/>
  <c r="W225" i="2"/>
  <c r="Z225" i="2" s="1"/>
  <c r="AQ224" i="2"/>
  <c r="X224" i="2"/>
  <c r="AA224" i="2" s="1"/>
  <c r="W224" i="2"/>
  <c r="Z224" i="2" s="1"/>
  <c r="AQ223" i="2"/>
  <c r="X223" i="2"/>
  <c r="AA223" i="2" s="1"/>
  <c r="W223" i="2"/>
  <c r="Z223" i="2" s="1"/>
  <c r="AQ222" i="2"/>
  <c r="X222" i="2"/>
  <c r="AA222" i="2" s="1"/>
  <c r="W222" i="2"/>
  <c r="Z222" i="2" s="1"/>
  <c r="AQ221" i="2"/>
  <c r="X221" i="2"/>
  <c r="AA221" i="2" s="1"/>
  <c r="W221" i="2"/>
  <c r="Z221" i="2" s="1"/>
  <c r="AQ220" i="2"/>
  <c r="X220" i="2"/>
  <c r="AA220" i="2" s="1"/>
  <c r="W220" i="2"/>
  <c r="Z220" i="2" s="1"/>
  <c r="AQ219" i="2"/>
  <c r="X219" i="2"/>
  <c r="AA219" i="2" s="1"/>
  <c r="W219" i="2"/>
  <c r="Z219" i="2" s="1"/>
  <c r="AQ218" i="2"/>
  <c r="X218" i="2"/>
  <c r="AA218" i="2" s="1"/>
  <c r="W218" i="2"/>
  <c r="Z218" i="2" s="1"/>
  <c r="AQ217" i="2"/>
  <c r="X217" i="2"/>
  <c r="AA217" i="2" s="1"/>
  <c r="W217" i="2"/>
  <c r="Z217" i="2" s="1"/>
  <c r="AQ216" i="2"/>
  <c r="X216" i="2"/>
  <c r="AA216" i="2" s="1"/>
  <c r="W216" i="2"/>
  <c r="Z216" i="2" s="1"/>
  <c r="AQ215" i="2"/>
  <c r="X215" i="2"/>
  <c r="AA215" i="2" s="1"/>
  <c r="W215" i="2"/>
  <c r="Z215" i="2" s="1"/>
  <c r="AQ214" i="2"/>
  <c r="X214" i="2"/>
  <c r="AA214" i="2" s="1"/>
  <c r="W214" i="2"/>
  <c r="Z214" i="2" s="1"/>
  <c r="AQ213" i="2"/>
  <c r="X213" i="2"/>
  <c r="AA213" i="2" s="1"/>
  <c r="W213" i="2"/>
  <c r="Z213" i="2" s="1"/>
  <c r="AQ212" i="2"/>
  <c r="X212" i="2"/>
  <c r="AA212" i="2" s="1"/>
  <c r="W212" i="2"/>
  <c r="Z212" i="2" s="1"/>
  <c r="AQ211" i="2"/>
  <c r="X211" i="2"/>
  <c r="AA211" i="2" s="1"/>
  <c r="W211" i="2"/>
  <c r="Z211" i="2" s="1"/>
  <c r="AQ210" i="2"/>
  <c r="X210" i="2"/>
  <c r="AA210" i="2" s="1"/>
  <c r="W210" i="2"/>
  <c r="Z210" i="2" s="1"/>
  <c r="AQ209" i="2"/>
  <c r="X209" i="2"/>
  <c r="AA209" i="2" s="1"/>
  <c r="W209" i="2"/>
  <c r="Z209" i="2" s="1"/>
  <c r="AQ208" i="2"/>
  <c r="X208" i="2"/>
  <c r="AA208" i="2" s="1"/>
  <c r="W208" i="2"/>
  <c r="Z208" i="2" s="1"/>
  <c r="AQ207" i="2"/>
  <c r="X207" i="2"/>
  <c r="AA207" i="2" s="1"/>
  <c r="W207" i="2"/>
  <c r="Z207" i="2" s="1"/>
  <c r="AQ206" i="2"/>
  <c r="X206" i="2"/>
  <c r="AA206" i="2" s="1"/>
  <c r="W206" i="2"/>
  <c r="Z206" i="2" s="1"/>
  <c r="AQ205" i="2"/>
  <c r="X205" i="2"/>
  <c r="AA205" i="2" s="1"/>
  <c r="W205" i="2"/>
  <c r="Z205" i="2" s="1"/>
  <c r="AQ204" i="2"/>
  <c r="X204" i="2"/>
  <c r="AA204" i="2" s="1"/>
  <c r="W204" i="2"/>
  <c r="Z204" i="2" s="1"/>
  <c r="AQ203" i="2"/>
  <c r="X203" i="2"/>
  <c r="AA203" i="2" s="1"/>
  <c r="W203" i="2"/>
  <c r="Z203" i="2" s="1"/>
  <c r="AQ202" i="2"/>
  <c r="X202" i="2"/>
  <c r="AA202" i="2" s="1"/>
  <c r="W202" i="2"/>
  <c r="Z202" i="2" s="1"/>
  <c r="AQ201" i="2"/>
  <c r="X201" i="2"/>
  <c r="AA201" i="2" s="1"/>
  <c r="W201" i="2"/>
  <c r="Z201" i="2" s="1"/>
  <c r="AQ200" i="2"/>
  <c r="X200" i="2"/>
  <c r="AA200" i="2" s="1"/>
  <c r="W200" i="2"/>
  <c r="Z200" i="2" s="1"/>
  <c r="AQ199" i="2"/>
  <c r="X199" i="2"/>
  <c r="AA199" i="2" s="1"/>
  <c r="W199" i="2"/>
  <c r="Z199" i="2" s="1"/>
  <c r="AQ198" i="2"/>
  <c r="X198" i="2"/>
  <c r="AA198" i="2" s="1"/>
  <c r="W198" i="2"/>
  <c r="Z198" i="2" s="1"/>
  <c r="AQ197" i="2"/>
  <c r="X197" i="2"/>
  <c r="AA197" i="2" s="1"/>
  <c r="W197" i="2"/>
  <c r="Z197" i="2" s="1"/>
  <c r="AQ196" i="2"/>
  <c r="X196" i="2"/>
  <c r="AA196" i="2" s="1"/>
  <c r="W196" i="2"/>
  <c r="Z196" i="2" s="1"/>
  <c r="AQ195" i="2"/>
  <c r="X195" i="2"/>
  <c r="AA195" i="2" s="1"/>
  <c r="W195" i="2"/>
  <c r="Z195" i="2" s="1"/>
  <c r="AQ194" i="2"/>
  <c r="X194" i="2"/>
  <c r="AA194" i="2" s="1"/>
  <c r="W194" i="2"/>
  <c r="Z194" i="2" s="1"/>
  <c r="AQ193" i="2"/>
  <c r="X193" i="2"/>
  <c r="AA193" i="2" s="1"/>
  <c r="W193" i="2"/>
  <c r="Z193" i="2" s="1"/>
  <c r="AQ192" i="2"/>
  <c r="X192" i="2"/>
  <c r="AA192" i="2" s="1"/>
  <c r="W192" i="2"/>
  <c r="Z192" i="2" s="1"/>
  <c r="AQ191" i="2"/>
  <c r="X191" i="2"/>
  <c r="AA191" i="2" s="1"/>
  <c r="W191" i="2"/>
  <c r="Z191" i="2" s="1"/>
  <c r="AQ190" i="2"/>
  <c r="X190" i="2"/>
  <c r="AA190" i="2" s="1"/>
  <c r="W190" i="2"/>
  <c r="Z190" i="2" s="1"/>
  <c r="AQ189" i="2"/>
  <c r="X189" i="2"/>
  <c r="AA189" i="2" s="1"/>
  <c r="W189" i="2"/>
  <c r="Z189" i="2" s="1"/>
  <c r="AQ188" i="2"/>
  <c r="X188" i="2"/>
  <c r="AA188" i="2" s="1"/>
  <c r="W188" i="2"/>
  <c r="Z188" i="2" s="1"/>
  <c r="AQ187" i="2"/>
  <c r="X187" i="2"/>
  <c r="AA187" i="2" s="1"/>
  <c r="W187" i="2"/>
  <c r="Z187" i="2" s="1"/>
  <c r="AQ186" i="2"/>
  <c r="X186" i="2"/>
  <c r="AA186" i="2" s="1"/>
  <c r="W186" i="2"/>
  <c r="Z186" i="2" s="1"/>
  <c r="AQ185" i="2"/>
  <c r="X185" i="2"/>
  <c r="AA185" i="2" s="1"/>
  <c r="W185" i="2"/>
  <c r="Z185" i="2" s="1"/>
  <c r="AQ184" i="2"/>
  <c r="X184" i="2"/>
  <c r="AA184" i="2" s="1"/>
  <c r="W184" i="2"/>
  <c r="Z184" i="2" s="1"/>
  <c r="AQ183" i="2"/>
  <c r="X183" i="2"/>
  <c r="AA183" i="2" s="1"/>
  <c r="W183" i="2"/>
  <c r="Z183" i="2" s="1"/>
  <c r="AQ182" i="2"/>
  <c r="X182" i="2"/>
  <c r="AA182" i="2" s="1"/>
  <c r="W182" i="2"/>
  <c r="Z182" i="2" s="1"/>
  <c r="AQ181" i="2"/>
  <c r="X181" i="2"/>
  <c r="AA181" i="2" s="1"/>
  <c r="W181" i="2"/>
  <c r="Z181" i="2" s="1"/>
  <c r="AQ180" i="2"/>
  <c r="X180" i="2"/>
  <c r="AA180" i="2" s="1"/>
  <c r="W180" i="2"/>
  <c r="Z180" i="2" s="1"/>
  <c r="AQ179" i="2"/>
  <c r="X179" i="2"/>
  <c r="AA179" i="2" s="1"/>
  <c r="W179" i="2"/>
  <c r="Z179" i="2" s="1"/>
  <c r="AQ178" i="2"/>
  <c r="X178" i="2"/>
  <c r="AA178" i="2" s="1"/>
  <c r="W178" i="2"/>
  <c r="Z178" i="2" s="1"/>
  <c r="AQ177" i="2"/>
  <c r="X177" i="2"/>
  <c r="AA177" i="2" s="1"/>
  <c r="W177" i="2"/>
  <c r="Z177" i="2" s="1"/>
  <c r="AQ176" i="2"/>
  <c r="X176" i="2"/>
  <c r="AA176" i="2" s="1"/>
  <c r="W176" i="2"/>
  <c r="Z176" i="2" s="1"/>
  <c r="AQ175" i="2"/>
  <c r="X175" i="2"/>
  <c r="AA175" i="2" s="1"/>
  <c r="W175" i="2"/>
  <c r="Z175" i="2" s="1"/>
  <c r="AQ174" i="2"/>
  <c r="X174" i="2"/>
  <c r="AA174" i="2" s="1"/>
  <c r="W174" i="2"/>
  <c r="Z174" i="2" s="1"/>
  <c r="AQ173" i="2"/>
  <c r="AI173" i="2"/>
  <c r="AH173" i="2"/>
  <c r="AA173" i="2"/>
  <c r="X173" i="2"/>
  <c r="W173" i="2"/>
  <c r="Z173" i="2" s="1"/>
  <c r="AQ172" i="2"/>
  <c r="AI172" i="2"/>
  <c r="AH172" i="2"/>
  <c r="Z172" i="2"/>
  <c r="X172" i="2"/>
  <c r="AA172" i="2" s="1"/>
  <c r="W172" i="2"/>
  <c r="AQ171" i="2"/>
  <c r="AA171" i="2"/>
  <c r="Z171" i="2"/>
  <c r="X171" i="2"/>
  <c r="W171" i="2"/>
  <c r="AQ170" i="2"/>
  <c r="AI170" i="2"/>
  <c r="AH170" i="2"/>
  <c r="X170" i="2"/>
  <c r="AA170" i="2" s="1"/>
  <c r="W170" i="2"/>
  <c r="Z170" i="2" s="1"/>
  <c r="AQ169" i="2"/>
  <c r="AI169" i="2"/>
  <c r="AH169" i="2"/>
  <c r="X169" i="2"/>
  <c r="AA169" i="2" s="1"/>
  <c r="W169" i="2"/>
  <c r="Z169" i="2" s="1"/>
  <c r="AQ168" i="2"/>
  <c r="AI168" i="2"/>
  <c r="AH168" i="2"/>
  <c r="AA168" i="2"/>
  <c r="X168" i="2"/>
  <c r="W168" i="2"/>
  <c r="Z168" i="2" s="1"/>
  <c r="AQ167" i="2"/>
  <c r="X167" i="2"/>
  <c r="AA167" i="2" s="1"/>
  <c r="W167" i="2"/>
  <c r="Z167" i="2" s="1"/>
  <c r="AQ166" i="2"/>
  <c r="Z166" i="2"/>
  <c r="X166" i="2"/>
  <c r="AA166" i="2" s="1"/>
  <c r="W166" i="2"/>
  <c r="AQ165" i="2"/>
  <c r="AA165" i="2"/>
  <c r="X165" i="2"/>
  <c r="W165" i="2"/>
  <c r="Z165" i="2" s="1"/>
  <c r="AQ164" i="2"/>
  <c r="AA164" i="2"/>
  <c r="X164" i="2"/>
  <c r="W164" i="2"/>
  <c r="Z164" i="2" s="1"/>
  <c r="AQ163" i="2"/>
  <c r="X163" i="2"/>
  <c r="AA163" i="2" s="1"/>
  <c r="W163" i="2"/>
  <c r="Z163" i="2" s="1"/>
  <c r="AQ162" i="2"/>
  <c r="Z162" i="2"/>
  <c r="X162" i="2"/>
  <c r="AA162" i="2" s="1"/>
  <c r="W162" i="2"/>
  <c r="AQ161" i="2"/>
  <c r="AA161" i="2"/>
  <c r="X161" i="2"/>
  <c r="W161" i="2"/>
  <c r="Z161" i="2" s="1"/>
  <c r="AQ160" i="2"/>
  <c r="AA160" i="2"/>
  <c r="X160" i="2"/>
  <c r="W160" i="2"/>
  <c r="Z160" i="2" s="1"/>
  <c r="AQ159" i="2"/>
  <c r="X159" i="2"/>
  <c r="AA159" i="2" s="1"/>
  <c r="W159" i="2"/>
  <c r="Z159" i="2" s="1"/>
  <c r="AQ158" i="2"/>
  <c r="AI158" i="2"/>
  <c r="AH158" i="2"/>
  <c r="X158" i="2"/>
  <c r="AA158" i="2" s="1"/>
  <c r="W158" i="2"/>
  <c r="Z158" i="2" s="1"/>
  <c r="AQ157" i="2"/>
  <c r="AI157" i="2"/>
  <c r="AH157" i="2"/>
  <c r="AA157" i="2"/>
  <c r="X157" i="2"/>
  <c r="W157" i="2"/>
  <c r="Z157" i="2" s="1"/>
  <c r="AQ156" i="2"/>
  <c r="AI156" i="2"/>
  <c r="AH156" i="2"/>
  <c r="Z156" i="2"/>
  <c r="X156" i="2"/>
  <c r="AA156" i="2" s="1"/>
  <c r="W156" i="2"/>
  <c r="AQ155" i="2"/>
  <c r="AI155" i="2"/>
  <c r="AH155" i="2"/>
  <c r="X155" i="2"/>
  <c r="AA155" i="2" s="1"/>
  <c r="W155" i="2"/>
  <c r="Z155" i="2" s="1"/>
  <c r="AQ154" i="2"/>
  <c r="AI154" i="2"/>
  <c r="AH154" i="2"/>
  <c r="X154" i="2"/>
  <c r="AA154" i="2" s="1"/>
  <c r="W154" i="2"/>
  <c r="Z154" i="2" s="1"/>
  <c r="AQ153" i="2"/>
  <c r="AI153" i="2"/>
  <c r="AH153" i="2"/>
  <c r="AA153" i="2"/>
  <c r="X153" i="2"/>
  <c r="W153" i="2"/>
  <c r="Z153" i="2" s="1"/>
  <c r="AQ152" i="2"/>
  <c r="AI152" i="2"/>
  <c r="AH152" i="2"/>
  <c r="Z152" i="2"/>
  <c r="X152" i="2"/>
  <c r="AA152" i="2" s="1"/>
  <c r="W152" i="2"/>
  <c r="AQ151" i="2"/>
  <c r="AI151" i="2"/>
  <c r="AH151" i="2"/>
  <c r="X151" i="2"/>
  <c r="AA151" i="2" s="1"/>
  <c r="W151" i="2"/>
  <c r="Z151" i="2" s="1"/>
  <c r="AQ150" i="2"/>
  <c r="Z150" i="2"/>
  <c r="X150" i="2"/>
  <c r="AA150" i="2" s="1"/>
  <c r="W150" i="2"/>
  <c r="AQ149" i="2"/>
  <c r="AI149" i="2"/>
  <c r="AH149" i="2"/>
  <c r="X149" i="2"/>
  <c r="AA149" i="2" s="1"/>
  <c r="W149" i="2"/>
  <c r="Z149" i="2" s="1"/>
  <c r="AQ148" i="2"/>
  <c r="AI148" i="2"/>
  <c r="AH148" i="2"/>
  <c r="X148" i="2"/>
  <c r="AA148" i="2" s="1"/>
  <c r="W148" i="2"/>
  <c r="Z148" i="2" s="1"/>
  <c r="AQ147" i="2"/>
  <c r="AI147" i="2"/>
  <c r="AH147" i="2"/>
  <c r="X147" i="2"/>
  <c r="AA147" i="2" s="1"/>
  <c r="W147" i="2"/>
  <c r="Z147" i="2" s="1"/>
  <c r="AQ146" i="2"/>
  <c r="AI146" i="2"/>
  <c r="AH146" i="2"/>
  <c r="Z146" i="2"/>
  <c r="X146" i="2"/>
  <c r="AA146" i="2" s="1"/>
  <c r="W146" i="2"/>
  <c r="AQ145" i="2"/>
  <c r="AI145" i="2"/>
  <c r="AH145" i="2"/>
  <c r="X145" i="2"/>
  <c r="AA145" i="2" s="1"/>
  <c r="W145" i="2"/>
  <c r="Z145" i="2" s="1"/>
  <c r="AQ144" i="2"/>
  <c r="AI144" i="2"/>
  <c r="AH144" i="2"/>
  <c r="X144" i="2"/>
  <c r="AA144" i="2" s="1"/>
  <c r="W144" i="2"/>
  <c r="Z144" i="2" s="1"/>
  <c r="AQ143" i="2"/>
  <c r="AI143" i="2"/>
  <c r="AH143" i="2"/>
  <c r="X143" i="2"/>
  <c r="AA143" i="2" s="1"/>
  <c r="W143" i="2"/>
  <c r="Z143" i="2" s="1"/>
  <c r="AQ142" i="2"/>
  <c r="AI142" i="2"/>
  <c r="AH142" i="2"/>
  <c r="Z142" i="2"/>
  <c r="X142" i="2"/>
  <c r="AA142" i="2" s="1"/>
  <c r="W142" i="2"/>
  <c r="AQ141" i="2"/>
  <c r="AI141" i="2"/>
  <c r="AH141" i="2"/>
  <c r="X141" i="2"/>
  <c r="AA141" i="2" s="1"/>
  <c r="W141" i="2"/>
  <c r="Z141" i="2" s="1"/>
  <c r="AQ140" i="2"/>
  <c r="AI140" i="2"/>
  <c r="AH140" i="2"/>
  <c r="X140" i="2"/>
  <c r="AA140" i="2" s="1"/>
  <c r="W140" i="2"/>
  <c r="Z140" i="2" s="1"/>
  <c r="AQ139" i="2"/>
  <c r="AI139" i="2"/>
  <c r="AH139" i="2"/>
  <c r="X139" i="2"/>
  <c r="AA139" i="2" s="1"/>
  <c r="W139" i="2"/>
  <c r="Z139" i="2" s="1"/>
  <c r="AQ138" i="2"/>
  <c r="AI138" i="2"/>
  <c r="AH138" i="2"/>
  <c r="Z138" i="2"/>
  <c r="X138" i="2"/>
  <c r="AA138" i="2" s="1"/>
  <c r="W138" i="2"/>
  <c r="AQ137" i="2"/>
  <c r="AI137" i="2"/>
  <c r="AH137" i="2"/>
  <c r="X137" i="2"/>
  <c r="AA137" i="2" s="1"/>
  <c r="W137" i="2"/>
  <c r="Z137" i="2" s="1"/>
  <c r="AQ136" i="2"/>
  <c r="AI136" i="2"/>
  <c r="AH136" i="2"/>
  <c r="X136" i="2"/>
  <c r="AA136" i="2" s="1"/>
  <c r="W136" i="2"/>
  <c r="Z136" i="2" s="1"/>
  <c r="AQ135" i="2"/>
  <c r="AI135" i="2"/>
  <c r="AH135" i="2"/>
  <c r="X135" i="2"/>
  <c r="AA135" i="2" s="1"/>
  <c r="W135" i="2"/>
  <c r="Z135" i="2" s="1"/>
  <c r="AQ134" i="2"/>
  <c r="AI134" i="2"/>
  <c r="AH134" i="2"/>
  <c r="Z134" i="2"/>
  <c r="X134" i="2"/>
  <c r="AA134" i="2" s="1"/>
  <c r="W134" i="2"/>
  <c r="AQ133" i="2"/>
  <c r="AI133" i="2"/>
  <c r="AH133" i="2"/>
  <c r="X133" i="2"/>
  <c r="AA133" i="2" s="1"/>
  <c r="W133" i="2"/>
  <c r="Z133" i="2" s="1"/>
  <c r="AQ132" i="2"/>
  <c r="AI132" i="2"/>
  <c r="AH132" i="2"/>
  <c r="X132" i="2"/>
  <c r="AA132" i="2" s="1"/>
  <c r="W132" i="2"/>
  <c r="Z132" i="2" s="1"/>
  <c r="AQ131" i="2"/>
  <c r="AI131" i="2"/>
  <c r="AH131" i="2"/>
  <c r="X131" i="2"/>
  <c r="AA131" i="2" s="1"/>
  <c r="W131" i="2"/>
  <c r="Z131" i="2" s="1"/>
  <c r="AQ130" i="2"/>
  <c r="AI130" i="2"/>
  <c r="AH130" i="2"/>
  <c r="Z130" i="2"/>
  <c r="X130" i="2"/>
  <c r="AA130" i="2" s="1"/>
  <c r="W130" i="2"/>
  <c r="AQ129" i="2"/>
  <c r="AI129" i="2"/>
  <c r="AH129" i="2"/>
  <c r="X129" i="2"/>
  <c r="AA129" i="2" s="1"/>
  <c r="W129" i="2"/>
  <c r="Z129" i="2" s="1"/>
  <c r="AQ128" i="2"/>
  <c r="AI128" i="2"/>
  <c r="AH128" i="2"/>
  <c r="X128" i="2"/>
  <c r="AA128" i="2" s="1"/>
  <c r="W128" i="2"/>
  <c r="Z128" i="2" s="1"/>
  <c r="AQ127" i="2"/>
  <c r="AI127" i="2"/>
  <c r="AH127" i="2"/>
  <c r="X127" i="2"/>
  <c r="AA127" i="2" s="1"/>
  <c r="W127" i="2"/>
  <c r="Z127" i="2" s="1"/>
  <c r="AQ126" i="2"/>
  <c r="AI126" i="2"/>
  <c r="AH126" i="2"/>
  <c r="Z126" i="2"/>
  <c r="X126" i="2"/>
  <c r="AA126" i="2" s="1"/>
  <c r="W126" i="2"/>
  <c r="AQ125" i="2"/>
  <c r="AI125" i="2"/>
  <c r="AH125" i="2"/>
  <c r="X125" i="2"/>
  <c r="AA125" i="2" s="1"/>
  <c r="W125" i="2"/>
  <c r="Z125" i="2" s="1"/>
  <c r="AQ124" i="2"/>
  <c r="AI124" i="2"/>
  <c r="AH124" i="2"/>
  <c r="AA124" i="2"/>
  <c r="X124" i="2"/>
  <c r="W124" i="2"/>
  <c r="Z124" i="2" s="1"/>
  <c r="AQ123" i="2"/>
  <c r="AI123" i="2"/>
  <c r="AH123" i="2"/>
  <c r="X123" i="2"/>
  <c r="AA123" i="2" s="1"/>
  <c r="W123" i="2"/>
  <c r="Z123" i="2" s="1"/>
  <c r="AQ122" i="2"/>
  <c r="AI122" i="2"/>
  <c r="AH122" i="2"/>
  <c r="Z122" i="2"/>
  <c r="X122" i="2"/>
  <c r="AA122" i="2" s="1"/>
  <c r="W122" i="2"/>
  <c r="AQ121" i="2"/>
  <c r="AI121" i="2"/>
  <c r="AH121" i="2"/>
  <c r="X121" i="2"/>
  <c r="AA121" i="2" s="1"/>
  <c r="W121" i="2"/>
  <c r="Z121" i="2" s="1"/>
  <c r="AQ120" i="2"/>
  <c r="AI120" i="2"/>
  <c r="AH120" i="2"/>
  <c r="AA120" i="2"/>
  <c r="X120" i="2"/>
  <c r="W120" i="2"/>
  <c r="Z120" i="2" s="1"/>
  <c r="AQ119" i="2"/>
  <c r="AI119" i="2"/>
  <c r="AH119" i="2"/>
  <c r="X119" i="2"/>
  <c r="AA119" i="2" s="1"/>
  <c r="W119" i="2"/>
  <c r="Z119" i="2" s="1"/>
  <c r="AQ118" i="2"/>
  <c r="AI118" i="2"/>
  <c r="AH118" i="2"/>
  <c r="Z118" i="2"/>
  <c r="X118" i="2"/>
  <c r="AA118" i="2" s="1"/>
  <c r="W118" i="2"/>
  <c r="AQ117" i="2"/>
  <c r="AA117" i="2"/>
  <c r="X117" i="2"/>
  <c r="W117" i="2"/>
  <c r="Z117" i="2" s="1"/>
  <c r="AQ116" i="2"/>
  <c r="AI116" i="2"/>
  <c r="AH116" i="2"/>
  <c r="Z116" i="2"/>
  <c r="X116" i="2"/>
  <c r="AA116" i="2" s="1"/>
  <c r="W116" i="2"/>
  <c r="AQ115" i="2"/>
  <c r="AI115" i="2"/>
  <c r="AH115" i="2"/>
  <c r="X115" i="2"/>
  <c r="AA115" i="2" s="1"/>
  <c r="W115" i="2"/>
  <c r="Z115" i="2" s="1"/>
  <c r="AQ114" i="2"/>
  <c r="AI114" i="2"/>
  <c r="AH114" i="2"/>
  <c r="X114" i="2"/>
  <c r="AA114" i="2" s="1"/>
  <c r="W114" i="2"/>
  <c r="Z114" i="2" s="1"/>
  <c r="AQ113" i="2"/>
  <c r="AI113" i="2"/>
  <c r="AH113" i="2"/>
  <c r="AA113" i="2"/>
  <c r="X113" i="2"/>
  <c r="W113" i="2"/>
  <c r="Z113" i="2" s="1"/>
  <c r="AQ112" i="2"/>
  <c r="AI112" i="2"/>
  <c r="AH112" i="2"/>
  <c r="Z112" i="2"/>
  <c r="X112" i="2"/>
  <c r="AA112" i="2" s="1"/>
  <c r="W112" i="2"/>
  <c r="AQ111" i="2"/>
  <c r="AI111" i="2"/>
  <c r="AH111" i="2"/>
  <c r="Y111" i="2"/>
  <c r="AA111" i="2" s="1"/>
  <c r="X111" i="2"/>
  <c r="W111" i="2"/>
  <c r="AQ110" i="2"/>
  <c r="AI110" i="2"/>
  <c r="AH110" i="2"/>
  <c r="X110" i="2"/>
  <c r="AA110" i="2" s="1"/>
  <c r="W110" i="2"/>
  <c r="Z110" i="2" s="1"/>
  <c r="AQ109" i="2"/>
  <c r="AI109" i="2"/>
  <c r="AH109" i="2"/>
  <c r="AA109" i="2"/>
  <c r="X109" i="2"/>
  <c r="W109" i="2"/>
  <c r="Z109" i="2" s="1"/>
  <c r="AQ108" i="2"/>
  <c r="AI108" i="2"/>
  <c r="AH108" i="2"/>
  <c r="Z108" i="2"/>
  <c r="X108" i="2"/>
  <c r="AA108" i="2" s="1"/>
  <c r="W108" i="2"/>
  <c r="AQ107" i="2"/>
  <c r="AI107" i="2"/>
  <c r="AH107" i="2"/>
  <c r="X107" i="2"/>
  <c r="AA107" i="2" s="1"/>
  <c r="W107" i="2"/>
  <c r="Z107" i="2" s="1"/>
  <c r="AQ106" i="2"/>
  <c r="AI106" i="2"/>
  <c r="AH106" i="2"/>
  <c r="Y106" i="2"/>
  <c r="AA106" i="2" s="1"/>
  <c r="X106" i="2"/>
  <c r="W106" i="2"/>
  <c r="AQ105" i="2"/>
  <c r="AI105" i="2"/>
  <c r="AH105" i="2"/>
  <c r="Y105" i="2"/>
  <c r="AA105" i="2" s="1"/>
  <c r="X105" i="2"/>
  <c r="W105" i="2"/>
  <c r="AQ104" i="2"/>
  <c r="AI104" i="2"/>
  <c r="AH104" i="2"/>
  <c r="Y104" i="2"/>
  <c r="X104" i="2"/>
  <c r="W104" i="2"/>
  <c r="AQ103" i="2"/>
  <c r="AI103" i="2"/>
  <c r="AH103" i="2"/>
  <c r="Y103" i="2"/>
  <c r="AA103" i="2" s="1"/>
  <c r="X103" i="2"/>
  <c r="W103" i="2"/>
  <c r="AQ102" i="2"/>
  <c r="AI102" i="2"/>
  <c r="AH102" i="2"/>
  <c r="Y102" i="2"/>
  <c r="AA102" i="2" s="1"/>
  <c r="X102" i="2"/>
  <c r="W102" i="2"/>
  <c r="AQ101" i="2"/>
  <c r="AI101" i="2"/>
  <c r="AH101" i="2"/>
  <c r="Y101" i="2"/>
  <c r="AA101" i="2" s="1"/>
  <c r="X101" i="2"/>
  <c r="W101" i="2"/>
  <c r="AQ100" i="2"/>
  <c r="AI100" i="2"/>
  <c r="AH100" i="2"/>
  <c r="Y100" i="2"/>
  <c r="AA100" i="2" s="1"/>
  <c r="X100" i="2"/>
  <c r="W100" i="2"/>
  <c r="AQ99" i="2"/>
  <c r="AI99" i="2"/>
  <c r="AH99" i="2"/>
  <c r="X99" i="2"/>
  <c r="AA99" i="2" s="1"/>
  <c r="W99" i="2"/>
  <c r="Z99" i="2" s="1"/>
  <c r="AQ98" i="2"/>
  <c r="AI98" i="2"/>
  <c r="AH98" i="2"/>
  <c r="Y98" i="2"/>
  <c r="X98" i="2"/>
  <c r="W98" i="2"/>
  <c r="Z98" i="2" s="1"/>
  <c r="AQ97" i="2"/>
  <c r="AI97" i="2"/>
  <c r="AH97" i="2"/>
  <c r="AA97" i="2"/>
  <c r="Y97" i="2"/>
  <c r="X97" i="2"/>
  <c r="W97" i="2"/>
  <c r="Z97" i="2" s="1"/>
  <c r="AQ96" i="2"/>
  <c r="AI96" i="2"/>
  <c r="AH96" i="2"/>
  <c r="AA96" i="2"/>
  <c r="Y96" i="2"/>
  <c r="X96" i="2"/>
  <c r="W96" i="2"/>
  <c r="AQ95" i="2"/>
  <c r="AI95" i="2"/>
  <c r="AH95" i="2"/>
  <c r="Y95" i="2"/>
  <c r="AA95" i="2" s="1"/>
  <c r="X95" i="2"/>
  <c r="W95" i="2"/>
  <c r="AQ94" i="2"/>
  <c r="AI94" i="2"/>
  <c r="AH94" i="2"/>
  <c r="Y94" i="2"/>
  <c r="X94" i="2"/>
  <c r="W94" i="2"/>
  <c r="Z94" i="2" s="1"/>
  <c r="AQ93" i="2"/>
  <c r="AI93" i="2"/>
  <c r="AH93" i="2"/>
  <c r="AA93" i="2"/>
  <c r="Y93" i="2"/>
  <c r="X93" i="2"/>
  <c r="W93" i="2"/>
  <c r="Z93" i="2" s="1"/>
  <c r="AQ92" i="2"/>
  <c r="AI92" i="2"/>
  <c r="AH92" i="2"/>
  <c r="X92" i="2"/>
  <c r="AA92" i="2" s="1"/>
  <c r="W92" i="2"/>
  <c r="Z92" i="2" s="1"/>
  <c r="AQ91" i="2"/>
  <c r="AI91" i="2"/>
  <c r="AH91" i="2"/>
  <c r="X91" i="2"/>
  <c r="AA91" i="2" s="1"/>
  <c r="W91" i="2"/>
  <c r="Z91" i="2" s="1"/>
  <c r="AQ90" i="2"/>
  <c r="AI90" i="2"/>
  <c r="AH90" i="2"/>
  <c r="Y90" i="2"/>
  <c r="AA90" i="2" s="1"/>
  <c r="X90" i="2"/>
  <c r="W90" i="2"/>
  <c r="AQ89" i="2"/>
  <c r="AI89" i="2"/>
  <c r="AH89" i="2"/>
  <c r="Y89" i="2"/>
  <c r="AA89" i="2" s="1"/>
  <c r="X89" i="2"/>
  <c r="W89" i="2"/>
  <c r="AQ88" i="2"/>
  <c r="AI88" i="2"/>
  <c r="AH88" i="2"/>
  <c r="Y88" i="2"/>
  <c r="AA88" i="2" s="1"/>
  <c r="X88" i="2"/>
  <c r="W88" i="2"/>
  <c r="AQ87" i="2"/>
  <c r="AI87" i="2"/>
  <c r="AH87" i="2"/>
  <c r="X87" i="2"/>
  <c r="AA87" i="2" s="1"/>
  <c r="W87" i="2"/>
  <c r="Z87" i="2" s="1"/>
  <c r="AQ86" i="2"/>
  <c r="AI86" i="2"/>
  <c r="AH86" i="2"/>
  <c r="Y86" i="2"/>
  <c r="AA86" i="2" s="1"/>
  <c r="X86" i="2"/>
  <c r="W86" i="2"/>
  <c r="AQ85" i="2"/>
  <c r="AI85" i="2"/>
  <c r="AH85" i="2"/>
  <c r="Y85" i="2"/>
  <c r="AA85" i="2" s="1"/>
  <c r="X85" i="2"/>
  <c r="W85" i="2"/>
  <c r="AQ84" i="2"/>
  <c r="AI84" i="2"/>
  <c r="AH84" i="2"/>
  <c r="Y84" i="2"/>
  <c r="AA84" i="2" s="1"/>
  <c r="X84" i="2"/>
  <c r="W84" i="2"/>
  <c r="AQ83" i="2"/>
  <c r="AI83" i="2"/>
  <c r="AH83" i="2"/>
  <c r="X83" i="2"/>
  <c r="AA83" i="2" s="1"/>
  <c r="W83" i="2"/>
  <c r="Z83" i="2" s="1"/>
  <c r="AQ82" i="2"/>
  <c r="AI82" i="2"/>
  <c r="AH82" i="2"/>
  <c r="X82" i="2"/>
  <c r="AA82" i="2" s="1"/>
  <c r="W82" i="2"/>
  <c r="Z82" i="2" s="1"/>
  <c r="AQ81" i="2"/>
  <c r="AI81" i="2"/>
  <c r="AH81" i="2"/>
  <c r="Z81" i="2"/>
  <c r="X81" i="2"/>
  <c r="AA81" i="2" s="1"/>
  <c r="W81" i="2"/>
  <c r="AQ80" i="2"/>
  <c r="AI80" i="2"/>
  <c r="AH80" i="2"/>
  <c r="X80" i="2"/>
  <c r="AA80" i="2" s="1"/>
  <c r="W80" i="2"/>
  <c r="Z80" i="2" s="1"/>
  <c r="AQ79" i="2"/>
  <c r="AI79" i="2"/>
  <c r="AH79" i="2"/>
  <c r="X79" i="2"/>
  <c r="AA79" i="2" s="1"/>
  <c r="W79" i="2"/>
  <c r="Z79" i="2" s="1"/>
  <c r="AQ78" i="2"/>
  <c r="AI78" i="2"/>
  <c r="AH78" i="2"/>
  <c r="AA78" i="2"/>
  <c r="X78" i="2"/>
  <c r="W78" i="2"/>
  <c r="Z78" i="2" s="1"/>
  <c r="AQ77" i="2"/>
  <c r="AI77" i="2"/>
  <c r="AH77" i="2"/>
  <c r="X77" i="2"/>
  <c r="AA77" i="2" s="1"/>
  <c r="W77" i="2"/>
  <c r="Z77" i="2" s="1"/>
  <c r="AQ76" i="2"/>
  <c r="AI76" i="2"/>
  <c r="AH76" i="2"/>
  <c r="S76" i="2"/>
  <c r="R76" i="2"/>
  <c r="Q76" i="2"/>
  <c r="X76" i="2" s="1"/>
  <c r="AA76" i="2" s="1"/>
  <c r="AQ75" i="2"/>
  <c r="AI75" i="2"/>
  <c r="AH75" i="2"/>
  <c r="AA75" i="2"/>
  <c r="X75" i="2"/>
  <c r="W75" i="2"/>
  <c r="Z75" i="2" s="1"/>
  <c r="AQ74" i="2"/>
  <c r="AI74" i="2"/>
  <c r="AH74" i="2"/>
  <c r="AA74" i="2"/>
  <c r="X74" i="2"/>
  <c r="W74" i="2"/>
  <c r="Z74" i="2" s="1"/>
  <c r="AQ73" i="2"/>
  <c r="AI73" i="2"/>
  <c r="AH73" i="2"/>
  <c r="Z73" i="2"/>
  <c r="X73" i="2"/>
  <c r="AA73" i="2" s="1"/>
  <c r="W73" i="2"/>
  <c r="AQ72" i="2"/>
  <c r="AI72" i="2"/>
  <c r="AH72" i="2"/>
  <c r="X72" i="2"/>
  <c r="AA72" i="2" s="1"/>
  <c r="W72" i="2"/>
  <c r="Z72" i="2" s="1"/>
  <c r="AQ71" i="2"/>
  <c r="Z71" i="2"/>
  <c r="X71" i="2"/>
  <c r="AA71" i="2" s="1"/>
  <c r="W71" i="2"/>
  <c r="AQ70" i="2"/>
  <c r="AI70" i="2"/>
  <c r="AH70" i="2"/>
  <c r="X70" i="2"/>
  <c r="AA70" i="2" s="1"/>
  <c r="W70" i="2"/>
  <c r="Z70" i="2" s="1"/>
  <c r="AQ69" i="2"/>
  <c r="AI69" i="2"/>
  <c r="AH69" i="2"/>
  <c r="AA69" i="2"/>
  <c r="X69" i="2"/>
  <c r="W69" i="2"/>
  <c r="Z69" i="2" s="1"/>
  <c r="AQ68" i="2"/>
  <c r="AI68" i="2"/>
  <c r="AH68" i="2"/>
  <c r="X68" i="2"/>
  <c r="AA68" i="2" s="1"/>
  <c r="W68" i="2"/>
  <c r="Z68" i="2" s="1"/>
  <c r="AQ67" i="2"/>
  <c r="AI67" i="2"/>
  <c r="AH67" i="2"/>
  <c r="Z67" i="2"/>
  <c r="X67" i="2"/>
  <c r="W67" i="2"/>
  <c r="AQ66" i="2"/>
  <c r="AI66" i="2"/>
  <c r="AH66" i="2"/>
  <c r="X66" i="2"/>
  <c r="AA66" i="2" s="1"/>
  <c r="W66" i="2"/>
  <c r="Z66" i="2" s="1"/>
  <c r="AQ65" i="2"/>
  <c r="AI65" i="2"/>
  <c r="AH65" i="2"/>
  <c r="X65" i="2"/>
  <c r="AA65" i="2" s="1"/>
  <c r="W65" i="2"/>
  <c r="Z65" i="2" s="1"/>
  <c r="AQ64" i="2"/>
  <c r="AI64" i="2"/>
  <c r="AH64" i="2"/>
  <c r="X64" i="2"/>
  <c r="AA64" i="2" s="1"/>
  <c r="W64" i="2"/>
  <c r="Z64" i="2" s="1"/>
  <c r="AQ63" i="2"/>
  <c r="AI63" i="2"/>
  <c r="AH63" i="2"/>
  <c r="Z63" i="2"/>
  <c r="X63" i="2"/>
  <c r="AA63" i="2" s="1"/>
  <c r="W63" i="2"/>
  <c r="AQ62" i="2"/>
  <c r="AI62" i="2"/>
  <c r="AH62" i="2"/>
  <c r="X62" i="2"/>
  <c r="AA62" i="2" s="1"/>
  <c r="W62" i="2"/>
  <c r="Z62" i="2" s="1"/>
  <c r="AQ61" i="2"/>
  <c r="AI61" i="2"/>
  <c r="AH61" i="2"/>
  <c r="X61" i="2"/>
  <c r="W61" i="2"/>
  <c r="AQ60" i="2"/>
  <c r="AI60" i="2"/>
  <c r="AH60" i="2"/>
  <c r="X60" i="2"/>
  <c r="AA60" i="2" s="1"/>
  <c r="W60" i="2"/>
  <c r="Z60" i="2" s="1"/>
  <c r="AQ59" i="2"/>
  <c r="AI59" i="2"/>
  <c r="AH59" i="2"/>
  <c r="Z59" i="2"/>
  <c r="X59" i="2"/>
  <c r="AA59" i="2" s="1"/>
  <c r="W59" i="2"/>
  <c r="AQ58" i="2"/>
  <c r="AI58" i="2"/>
  <c r="AH58" i="2"/>
  <c r="X58" i="2"/>
  <c r="AA58" i="2" s="1"/>
  <c r="W58" i="2"/>
  <c r="Z58" i="2" s="1"/>
  <c r="AQ57" i="2"/>
  <c r="X57" i="2"/>
  <c r="AA57" i="2" s="1"/>
  <c r="W57" i="2"/>
  <c r="Z57" i="2" s="1"/>
  <c r="AQ56" i="2"/>
  <c r="X56" i="2"/>
  <c r="AA56" i="2" s="1"/>
  <c r="W56" i="2"/>
  <c r="Z56" i="2" s="1"/>
  <c r="AQ55" i="2"/>
  <c r="AI55" i="2"/>
  <c r="AH55" i="2"/>
  <c r="Z55" i="2"/>
  <c r="X55" i="2"/>
  <c r="AA55" i="2" s="1"/>
  <c r="W55" i="2"/>
  <c r="AQ54" i="2"/>
  <c r="AI54" i="2"/>
  <c r="AH54" i="2"/>
  <c r="X54" i="2"/>
  <c r="AA54" i="2" s="1"/>
  <c r="W54" i="2"/>
  <c r="Z54" i="2" s="1"/>
  <c r="AQ53" i="2"/>
  <c r="AI53" i="2"/>
  <c r="AH53" i="2"/>
  <c r="X53" i="2"/>
  <c r="AA53" i="2" s="1"/>
  <c r="W53" i="2"/>
  <c r="Z53" i="2" s="1"/>
  <c r="AQ52" i="2"/>
  <c r="X52" i="2"/>
  <c r="AA52" i="2" s="1"/>
  <c r="W52" i="2"/>
  <c r="Z52" i="2" s="1"/>
  <c r="AQ51" i="2"/>
  <c r="AI51" i="2"/>
  <c r="AH51" i="2"/>
  <c r="AA51" i="2"/>
  <c r="X51" i="2"/>
  <c r="W51" i="2"/>
  <c r="Z51" i="2" s="1"/>
  <c r="AQ50" i="2"/>
  <c r="AI50" i="2"/>
  <c r="AH50" i="2"/>
  <c r="X50" i="2"/>
  <c r="AA50" i="2" s="1"/>
  <c r="W50" i="2"/>
  <c r="Z50" i="2" s="1"/>
  <c r="AQ49" i="2"/>
  <c r="AI49" i="2"/>
  <c r="AH49" i="2"/>
  <c r="Z49" i="2"/>
  <c r="X49" i="2"/>
  <c r="AA49" i="2" s="1"/>
  <c r="W49" i="2"/>
  <c r="AQ48" i="2"/>
  <c r="AI48" i="2"/>
  <c r="AH48" i="2"/>
  <c r="X48" i="2"/>
  <c r="AA48" i="2" s="1"/>
  <c r="W48" i="2"/>
  <c r="Z48" i="2" s="1"/>
  <c r="AQ47" i="2"/>
  <c r="AI47" i="2"/>
  <c r="AH47" i="2"/>
  <c r="AA47" i="2"/>
  <c r="X47" i="2"/>
  <c r="W47" i="2"/>
  <c r="Z47" i="2" s="1"/>
  <c r="AQ46" i="2"/>
  <c r="AI46" i="2"/>
  <c r="AH46" i="2"/>
  <c r="X46" i="2"/>
  <c r="AA46" i="2" s="1"/>
  <c r="W46" i="2"/>
  <c r="Z46" i="2" s="1"/>
  <c r="AQ45" i="2"/>
  <c r="AI45" i="2"/>
  <c r="AH45" i="2"/>
  <c r="X45" i="2"/>
  <c r="AA45" i="2" s="1"/>
  <c r="W45" i="2"/>
  <c r="Z45" i="2" s="1"/>
  <c r="AQ44" i="2"/>
  <c r="AI44" i="2"/>
  <c r="AH44" i="2"/>
  <c r="X44" i="2"/>
  <c r="AA44" i="2" s="1"/>
  <c r="W44" i="2"/>
  <c r="Z44" i="2" s="1"/>
  <c r="AQ43" i="2"/>
  <c r="AI43" i="2"/>
  <c r="AH43" i="2"/>
  <c r="AA43" i="2"/>
  <c r="X43" i="2"/>
  <c r="W43" i="2"/>
  <c r="Z43" i="2" s="1"/>
  <c r="AQ42" i="2"/>
  <c r="AI42" i="2"/>
  <c r="AH42" i="2"/>
  <c r="X42" i="2"/>
  <c r="AA42" i="2" s="1"/>
  <c r="W42" i="2"/>
  <c r="Z42" i="2" s="1"/>
  <c r="AQ41" i="2"/>
  <c r="X41" i="2"/>
  <c r="AA41" i="2" s="1"/>
  <c r="W41" i="2"/>
  <c r="Z41" i="2" s="1"/>
  <c r="AQ40" i="2"/>
  <c r="AI40" i="2"/>
  <c r="AH40" i="2"/>
  <c r="AA40" i="2"/>
  <c r="X40" i="2"/>
  <c r="W40" i="2"/>
  <c r="Z40" i="2" s="1"/>
  <c r="AQ39" i="2"/>
  <c r="AI39" i="2"/>
  <c r="AH39" i="2"/>
  <c r="Z39" i="2"/>
  <c r="X39" i="2"/>
  <c r="AA39" i="2" s="1"/>
  <c r="W39" i="2"/>
  <c r="AQ38" i="2"/>
  <c r="AI38" i="2"/>
  <c r="AH38" i="2"/>
  <c r="X38" i="2"/>
  <c r="AA38" i="2" s="1"/>
  <c r="W38" i="2"/>
  <c r="Z38" i="2" s="1"/>
  <c r="AQ37" i="2"/>
  <c r="AI37" i="2"/>
  <c r="AH37" i="2"/>
  <c r="X37" i="2"/>
  <c r="AA37" i="2" s="1"/>
  <c r="W37" i="2"/>
  <c r="Z37" i="2" s="1"/>
  <c r="AQ36" i="2"/>
  <c r="X36" i="2"/>
  <c r="AA36" i="2" s="1"/>
  <c r="W36" i="2"/>
  <c r="Z36" i="2" s="1"/>
  <c r="AQ35" i="2"/>
  <c r="AI35" i="2"/>
  <c r="AH35" i="2"/>
  <c r="X35" i="2"/>
  <c r="AA35" i="2" s="1"/>
  <c r="W35" i="2"/>
  <c r="Z35" i="2" s="1"/>
  <c r="AQ34" i="2"/>
  <c r="AI34" i="2"/>
  <c r="AH34" i="2"/>
  <c r="AA34" i="2"/>
  <c r="X34" i="2"/>
  <c r="W34" i="2"/>
  <c r="Z34" i="2" s="1"/>
  <c r="AQ33" i="2"/>
  <c r="AA33" i="2"/>
  <c r="X33" i="2"/>
  <c r="W33" i="2"/>
  <c r="Z33" i="2" s="1"/>
  <c r="AQ32" i="2"/>
  <c r="AI32" i="2"/>
  <c r="AH32" i="2"/>
  <c r="AA32" i="2"/>
  <c r="X32" i="2"/>
  <c r="W32" i="2"/>
  <c r="Z32" i="2" s="1"/>
  <c r="AQ31" i="2"/>
  <c r="AI31" i="2"/>
  <c r="AH31" i="2"/>
  <c r="X31" i="2"/>
  <c r="AA31" i="2" s="1"/>
  <c r="W31" i="2"/>
  <c r="Z31" i="2" s="1"/>
  <c r="AQ30" i="2"/>
  <c r="AI30" i="2"/>
  <c r="AH30" i="2"/>
  <c r="X30" i="2"/>
  <c r="AA30" i="2" s="1"/>
  <c r="W30" i="2"/>
  <c r="Z30" i="2" s="1"/>
  <c r="AQ29" i="2"/>
  <c r="AI29" i="2"/>
  <c r="AH29" i="2"/>
  <c r="AA29" i="2"/>
  <c r="X29" i="2"/>
  <c r="W29" i="2"/>
  <c r="Z29" i="2" s="1"/>
  <c r="AQ28" i="2"/>
  <c r="X28" i="2"/>
  <c r="AA28" i="2" s="1"/>
  <c r="W28" i="2"/>
  <c r="Z28" i="2" s="1"/>
  <c r="AQ27" i="2"/>
  <c r="AI27" i="2"/>
  <c r="AH27" i="2"/>
  <c r="X27" i="2"/>
  <c r="AA27" i="2" s="1"/>
  <c r="W27" i="2"/>
  <c r="Z27" i="2" s="1"/>
  <c r="AQ26" i="2"/>
  <c r="AI26" i="2"/>
  <c r="AH26" i="2"/>
  <c r="AA26" i="2"/>
  <c r="X26" i="2"/>
  <c r="W26" i="2"/>
  <c r="Z26" i="2" s="1"/>
  <c r="AQ25" i="2"/>
  <c r="AI25" i="2"/>
  <c r="AH25" i="2"/>
  <c r="Z25" i="2"/>
  <c r="X25" i="2"/>
  <c r="AA25" i="2" s="1"/>
  <c r="W25" i="2"/>
  <c r="AQ24" i="2"/>
  <c r="AI24" i="2"/>
  <c r="AH24" i="2"/>
  <c r="X24" i="2"/>
  <c r="AA24" i="2" s="1"/>
  <c r="W24" i="2"/>
  <c r="Z24" i="2" s="1"/>
  <c r="AQ23" i="2"/>
  <c r="AI23" i="2"/>
  <c r="AH23" i="2"/>
  <c r="X23" i="2"/>
  <c r="W23" i="2"/>
  <c r="AQ22" i="2"/>
  <c r="AI22" i="2"/>
  <c r="AH22" i="2"/>
  <c r="Y22" i="2"/>
  <c r="X22" i="2"/>
  <c r="AA22" i="2" s="1"/>
  <c r="W22" i="2"/>
  <c r="Z22" i="2" s="1"/>
  <c r="AQ21" i="2"/>
  <c r="AI21" i="2"/>
  <c r="AH21" i="2"/>
  <c r="AA21" i="2"/>
  <c r="Y21" i="2"/>
  <c r="X21" i="2"/>
  <c r="W21" i="2"/>
  <c r="Z21" i="2" s="1"/>
  <c r="AQ20" i="2"/>
  <c r="AI20" i="2"/>
  <c r="AH20" i="2"/>
  <c r="AA20" i="2"/>
  <c r="Y20" i="2"/>
  <c r="X20" i="2"/>
  <c r="W20" i="2"/>
  <c r="Z20" i="2" s="1"/>
  <c r="AQ19" i="2"/>
  <c r="AI19" i="2"/>
  <c r="AH19" i="2"/>
  <c r="AA19" i="2"/>
  <c r="X19" i="2"/>
  <c r="W19" i="2"/>
  <c r="Z19" i="2" s="1"/>
  <c r="AQ18" i="2"/>
  <c r="AI18" i="2"/>
  <c r="AH18" i="2"/>
  <c r="X18" i="2"/>
  <c r="AA18" i="2" s="1"/>
  <c r="W18" i="2"/>
  <c r="Z18" i="2" s="1"/>
  <c r="AQ17" i="2"/>
  <c r="AI17" i="2"/>
  <c r="AH17" i="2"/>
  <c r="Y17" i="2"/>
  <c r="X17" i="2"/>
  <c r="W17" i="2"/>
  <c r="AQ16" i="2"/>
  <c r="AI16" i="2"/>
  <c r="AH16" i="2"/>
  <c r="X16" i="2"/>
  <c r="AA16" i="2" s="1"/>
  <c r="W16" i="2"/>
  <c r="Z16" i="2" s="1"/>
  <c r="AQ15" i="2"/>
  <c r="AI15" i="2"/>
  <c r="AH15" i="2"/>
  <c r="AA15" i="2"/>
  <c r="X15" i="2"/>
  <c r="W15" i="2"/>
  <c r="Z15" i="2" s="1"/>
  <c r="AQ14" i="2"/>
  <c r="AI14" i="2"/>
  <c r="AH14" i="2"/>
  <c r="X14" i="2"/>
  <c r="AA14" i="2" s="1"/>
  <c r="W14" i="2"/>
  <c r="Z14" i="2" s="1"/>
  <c r="AQ13" i="2"/>
  <c r="AI13" i="2"/>
  <c r="AH13" i="2"/>
  <c r="X13" i="2"/>
  <c r="AA13" i="2" s="1"/>
  <c r="W13" i="2"/>
  <c r="Z13" i="2" s="1"/>
  <c r="AQ12" i="2"/>
  <c r="AI12" i="2"/>
  <c r="AH12" i="2"/>
  <c r="X12" i="2"/>
  <c r="AA12" i="2" s="1"/>
  <c r="W12" i="2"/>
  <c r="Z12" i="2" s="1"/>
  <c r="AQ11" i="2"/>
  <c r="AI11" i="2"/>
  <c r="AH11" i="2"/>
  <c r="AA11" i="2"/>
  <c r="X11" i="2"/>
  <c r="W11" i="2"/>
  <c r="Z11" i="2" s="1"/>
  <c r="AQ10" i="2"/>
  <c r="AI10" i="2"/>
  <c r="AH10" i="2"/>
  <c r="X10" i="2"/>
  <c r="AA10" i="2" s="1"/>
  <c r="W10" i="2"/>
  <c r="Z10" i="2" s="1"/>
  <c r="AQ9" i="2"/>
  <c r="AI9" i="2"/>
  <c r="AH9" i="2"/>
  <c r="X9" i="2"/>
  <c r="W9" i="2"/>
  <c r="AQ8" i="2"/>
  <c r="AI8" i="2"/>
  <c r="AH8" i="2"/>
  <c r="X8" i="2"/>
  <c r="AA8" i="2" s="1"/>
  <c r="W8" i="2"/>
  <c r="Z8" i="2" s="1"/>
  <c r="AQ7" i="2"/>
  <c r="AI7" i="2"/>
  <c r="AH7" i="2"/>
  <c r="AA7" i="2"/>
  <c r="X7" i="2"/>
  <c r="W7" i="2"/>
  <c r="Z7" i="2" s="1"/>
  <c r="AQ6" i="2"/>
  <c r="AI6" i="2"/>
  <c r="AH6" i="2"/>
  <c r="X6" i="2"/>
  <c r="AA6" i="2" s="1"/>
  <c r="W6" i="2"/>
  <c r="Z6" i="2" s="1"/>
  <c r="AQ5" i="2"/>
  <c r="AI5" i="2"/>
  <c r="AH5" i="2"/>
  <c r="X5" i="2"/>
  <c r="AA5" i="2" s="1"/>
  <c r="W5" i="2"/>
  <c r="Z5" i="2" s="1"/>
  <c r="AQ4" i="2"/>
  <c r="AI4" i="2"/>
  <c r="AH4" i="2"/>
  <c r="X4" i="2"/>
  <c r="AA4" i="2" s="1"/>
  <c r="W4" i="2"/>
  <c r="Z4" i="2" s="1"/>
  <c r="AQ3" i="2"/>
  <c r="AI3" i="2"/>
  <c r="AH3" i="2"/>
  <c r="AA3" i="2"/>
  <c r="X3" i="2"/>
  <c r="W3" i="2"/>
  <c r="AQ2" i="2"/>
  <c r="AI2" i="2"/>
  <c r="AH2" i="2"/>
  <c r="X2" i="2"/>
  <c r="AA2" i="2" s="1"/>
  <c r="W2" i="2"/>
  <c r="Z2" i="2" s="1"/>
  <c r="Z4" i="1" l="1"/>
  <c r="Z61" i="2"/>
  <c r="AA67" i="2"/>
  <c r="AA104" i="2"/>
  <c r="Z3" i="2"/>
  <c r="AA9" i="2"/>
  <c r="AA23" i="2"/>
  <c r="Z96" i="2"/>
  <c r="AA98" i="2"/>
  <c r="Z9" i="2"/>
  <c r="AA17" i="2"/>
  <c r="AA61" i="2"/>
  <c r="AA94" i="2"/>
  <c r="Z23" i="2"/>
  <c r="W76" i="2"/>
  <c r="Z76" i="2" s="1"/>
  <c r="Z95" i="2"/>
  <c r="W232" i="2"/>
  <c r="Z232" i="2" s="1"/>
  <c r="AH416" i="2"/>
  <c r="AI416" i="2"/>
  <c r="W379" i="2"/>
  <c r="Z379" i="2" s="1"/>
  <c r="W416" i="2"/>
  <c r="Z416" i="2" s="1"/>
  <c r="Z655" i="2"/>
  <c r="AH824" i="2"/>
  <c r="X915" i="2"/>
  <c r="AA915" i="2" s="1"/>
  <c r="AH981" i="2"/>
  <c r="AH982" i="2"/>
  <c r="AH983" i="2"/>
  <c r="W984" i="2"/>
  <c r="Z984" i="2" s="1"/>
  <c r="Z767" i="2"/>
  <c r="Z779" i="2"/>
  <c r="AI976" i="2"/>
  <c r="AI978" i="2"/>
  <c r="AH996" i="2"/>
  <c r="AH1000" i="2"/>
  <c r="AH1004" i="2"/>
  <c r="AI1025" i="2"/>
  <c r="AI1027" i="2"/>
  <c r="AI1029" i="2"/>
  <c r="AI1031" i="2"/>
  <c r="AA767" i="2"/>
  <c r="AA779" i="2"/>
  <c r="X994" i="2"/>
  <c r="AA994" i="2" s="1"/>
  <c r="Z89" i="2"/>
  <c r="Z88" i="2"/>
  <c r="Z90" i="2"/>
  <c r="Z17" i="2"/>
  <c r="Z84" i="2"/>
  <c r="Z85" i="2"/>
  <c r="Z86" i="2"/>
  <c r="Z100" i="2"/>
  <c r="Z101" i="2"/>
  <c r="Z102" i="2"/>
  <c r="Z103" i="2"/>
  <c r="Z104" i="2"/>
  <c r="Z105" i="2"/>
  <c r="Z106" i="2"/>
  <c r="Z111" i="2"/>
  <c r="X329" i="2"/>
  <c r="AA329" i="2" s="1"/>
  <c r="W329" i="2"/>
  <c r="Z329" i="2" s="1"/>
  <c r="X330" i="2"/>
  <c r="AA330" i="2" s="1"/>
  <c r="W330" i="2"/>
  <c r="Z330" i="2" s="1"/>
  <c r="X845" i="2"/>
  <c r="AA845" i="2" s="1"/>
  <c r="AI1007" i="2"/>
  <c r="AI1008" i="2"/>
  <c r="AI1009" i="2"/>
  <c r="AI1010" i="2"/>
  <c r="AI1011" i="2"/>
  <c r="AI1012" i="2"/>
  <c r="AI1013" i="2"/>
  <c r="AI1014" i="2"/>
  <c r="AI1015" i="2"/>
  <c r="AI1016" i="2"/>
  <c r="AI1017" i="2"/>
  <c r="AI1018" i="2"/>
  <c r="AI1019" i="2"/>
  <c r="AI1020" i="2"/>
  <c r="AI1021" i="2"/>
  <c r="AI1022" i="2"/>
  <c r="W845" i="2"/>
  <c r="Z845" i="2" s="1"/>
  <c r="AH973" i="2"/>
  <c r="AH974" i="2"/>
  <c r="AH97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CBFF9645-DCE5-B441-A184-59C213C1E3CC}">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2CAD7619-20E8-B243-B88F-BD11B76AAF6A}">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47B43BFF-9CD5-594F-BED7-AAFBA7CFD39C}">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AN1" authorId="0" shapeId="0" xr:uid="{565098B2-3E3A-9844-BAF3-7DE740A0AFFE}">
      <text>
        <r>
          <rPr>
            <b/>
            <sz val="10"/>
            <color indexed="81"/>
            <rFont val="Tahoma"/>
            <family val="2"/>
          </rPr>
          <t>rimet:</t>
        </r>
        <r>
          <rPr>
            <sz val="10"/>
            <color indexed="81"/>
            <rFont val="Tahoma"/>
            <family val="2"/>
          </rPr>
          <t xml:space="preserve">
C. S. Reynolds, V. Huszar, C. Kruk, L. Naselli-Flores, and S. Melo. Toward a functional classification of the freshwater phytoplancton. J.Plankton Res. 24:417-428, 2002.
</t>
        </r>
      </text>
    </comment>
    <comment ref="AO1" authorId="0" shapeId="0" xr:uid="{D47EEF6C-E96C-D343-AC3B-50E4CB6ABCE4}">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BE7D3695-6F2C-9046-B781-EB84AE8609BD}">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6FDF1E63-2557-9A46-8C5A-4F232F732797}">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48910A92-BDCF-CE4E-9948-5BAA14E02548}">
      <text>
        <r>
          <rPr>
            <b/>
            <sz val="10"/>
            <color indexed="81"/>
            <rFont val="Tahoma"/>
            <family val="2"/>
          </rPr>
          <t>rimet:</t>
        </r>
        <r>
          <rPr>
            <sz val="10"/>
            <color indexed="81"/>
            <rFont val="Tahoma"/>
            <family val="2"/>
          </rPr>
          <t xml:space="preserve">
Brettum TP weights</t>
        </r>
      </text>
    </comment>
    <comment ref="A345" authorId="0" shapeId="0" xr:uid="{6BCFB1A7-D4EC-1A43-8A59-160E97715A54}">
      <text>
        <r>
          <rPr>
            <b/>
            <sz val="10"/>
            <color rgb="FF000000"/>
            <rFont val="Tahoma"/>
            <family val="2"/>
          </rPr>
          <t>rimet:</t>
        </r>
        <r>
          <rPr>
            <sz val="10"/>
            <color rgb="FF000000"/>
            <rFont val="Tahoma"/>
            <family val="2"/>
          </rPr>
          <t xml:space="preserve">
</t>
        </r>
        <r>
          <rPr>
            <sz val="10"/>
            <color rgb="FF000000"/>
            <rFont val="Tahoma"/>
            <family val="2"/>
          </rPr>
          <t>4 * 7 um</t>
        </r>
      </text>
    </comment>
    <comment ref="A492" authorId="0" shapeId="0" xr:uid="{4841996D-3849-AB43-BEFB-CFD051778BE4}">
      <text>
        <r>
          <rPr>
            <b/>
            <sz val="10"/>
            <color indexed="81"/>
            <rFont val="Tahoma"/>
            <family val="2"/>
          </rPr>
          <t>rimet:</t>
        </r>
        <r>
          <rPr>
            <sz val="10"/>
            <color indexed="81"/>
            <rFont val="Tahoma"/>
            <family val="2"/>
          </rPr>
          <t xml:space="preserve">
23 um</t>
        </r>
      </text>
    </comment>
    <comment ref="J492" authorId="0" shapeId="0" xr:uid="{9B1FDE86-5742-D14E-8A9E-F7D73BA724B4}">
      <text>
        <r>
          <rPr>
            <b/>
            <sz val="10"/>
            <color indexed="81"/>
            <rFont val="Tahoma"/>
            <family val="2"/>
          </rPr>
          <t>rimet:</t>
        </r>
        <r>
          <rPr>
            <sz val="10"/>
            <color indexed="81"/>
            <rFont val="Tahoma"/>
            <family val="2"/>
          </rPr>
          <t xml:space="preserve">
23 um</t>
        </r>
      </text>
    </comment>
    <comment ref="P1097" authorId="0" shapeId="0" xr:uid="{7EFCD1AB-F25A-204D-AB82-71EE22787F10}">
      <text>
        <r>
          <rPr>
            <b/>
            <sz val="10"/>
            <color indexed="81"/>
            <rFont val="Tahoma"/>
            <family val="2"/>
          </rPr>
          <t>rimet:</t>
        </r>
        <r>
          <rPr>
            <sz val="10"/>
            <color indexed="81"/>
            <rFont val="Tahoma"/>
            <family val="2"/>
          </rPr>
          <t xml:space="preserve">
erreure de code</t>
        </r>
      </text>
    </comment>
    <comment ref="A1123" authorId="0" shapeId="0" xr:uid="{956F4CAC-D031-9C48-B237-AC54FDE36CAC}">
      <text>
        <r>
          <rPr>
            <b/>
            <sz val="10"/>
            <color rgb="FF000000"/>
            <rFont val="Tahoma"/>
            <family val="2"/>
          </rPr>
          <t>rimet:</t>
        </r>
        <r>
          <rPr>
            <sz val="10"/>
            <color rgb="FF000000"/>
            <rFont val="Tahoma"/>
            <family val="2"/>
          </rPr>
          <t xml:space="preserve">
</t>
        </r>
        <r>
          <rPr>
            <sz val="10"/>
            <color rgb="FF000000"/>
            <rFont val="Tahoma"/>
            <family val="2"/>
          </rPr>
          <t>10 * 10 um</t>
        </r>
      </text>
    </comment>
    <comment ref="J1123" authorId="0" shapeId="0" xr:uid="{0E514C65-5830-E44A-981A-D08D3477A776}">
      <text>
        <r>
          <rPr>
            <b/>
            <sz val="10"/>
            <color indexed="81"/>
            <rFont val="Tahoma"/>
            <family val="2"/>
          </rPr>
          <t>rimet:</t>
        </r>
        <r>
          <rPr>
            <sz val="10"/>
            <color indexed="81"/>
            <rFont val="Tahoma"/>
            <family val="2"/>
          </rPr>
          <t xml:space="preserve">
10 * 10 um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11D64E98-6A3F-2C42-B3EF-B54BB0CE50E7}">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D0DB6511-4DC8-B442-84A3-7B2F5E0B3B4C}">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E47ADE53-CC16-554A-969C-35669F46F4F2}">
      <text>
        <r>
          <rPr>
            <b/>
            <sz val="10"/>
            <color indexed="81"/>
            <rFont val="Tahoma"/>
            <family val="2"/>
          </rPr>
          <t>rimet:</t>
        </r>
        <r>
          <rPr>
            <sz val="10"/>
            <color indexed="81"/>
            <rFont val="Tahoma"/>
            <family val="2"/>
          </rPr>
          <t xml:space="preserve">
si choix = cellule, ce facteur se rapporte à la cellule, si choix = colonie, ce facteur se rapporte à la colonie</t>
        </r>
      </text>
    </comment>
    <comment ref="AN1" authorId="0" shapeId="0" xr:uid="{6610F434-093F-3D4C-ACB4-E7D6077BB2BC}">
      <text>
        <r>
          <rPr>
            <b/>
            <sz val="10"/>
            <color indexed="81"/>
            <rFont val="Tahoma"/>
            <family val="2"/>
          </rPr>
          <t>rimet:</t>
        </r>
        <r>
          <rPr>
            <sz val="10"/>
            <color indexed="81"/>
            <rFont val="Tahoma"/>
            <family val="2"/>
          </rPr>
          <t xml:space="preserve">
C. S. Reynolds, V. Huszar, C. Kruk, L. Naselli-Flores, and S. Melo. Toward a functional classification of the freshwater phytoplancton. J.Plankton Res. 24:417-428, 2002.
</t>
        </r>
      </text>
    </comment>
    <comment ref="AO1" authorId="0" shapeId="0" xr:uid="{1C7E8B51-1B00-834C-BBEF-63EF6231F725}">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19D28C48-DE25-3E41-A656-F29550746A7A}">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CAF7EB82-E62D-ED49-BD82-5EB606FFBD85}">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2F0BF141-70F9-454F-A9FF-4D839C91CDC2}">
      <text>
        <r>
          <rPr>
            <b/>
            <sz val="10"/>
            <color rgb="FF000000"/>
            <rFont val="Tahoma"/>
            <family val="2"/>
          </rPr>
          <t>rimet:</t>
        </r>
        <r>
          <rPr>
            <sz val="10"/>
            <color rgb="FF000000"/>
            <rFont val="Tahoma"/>
            <family val="2"/>
          </rPr>
          <t xml:space="preserve">
</t>
        </r>
        <r>
          <rPr>
            <sz val="10"/>
            <color rgb="FF000000"/>
            <rFont val="Tahoma"/>
            <family val="2"/>
          </rPr>
          <t>Brettum TP weights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65430863-9ECD-9D4D-98F6-1BAB75AE766D}">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E1671A85-5579-6440-A7BD-7855D88D29F9}">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B3457802-3CDC-0448-98F4-2104205BB617}">
      <text>
        <r>
          <rPr>
            <b/>
            <sz val="10"/>
            <color indexed="81"/>
            <rFont val="Tahoma"/>
            <family val="2"/>
          </rPr>
          <t>rimet:</t>
        </r>
        <r>
          <rPr>
            <sz val="10"/>
            <color indexed="81"/>
            <rFont val="Tahoma"/>
            <family val="2"/>
          </rPr>
          <t xml:space="preserve">
si choix = cellule, ce facteur se rapporte à la cellule, si choix = colonie, ce facteur se rapporte à la colonie</t>
        </r>
      </text>
    </comment>
    <comment ref="AN1" authorId="0" shapeId="0" xr:uid="{EF210EC6-2368-ED44-9CFF-24BAD2DB6253}">
      <text>
        <r>
          <rPr>
            <b/>
            <sz val="10"/>
            <color indexed="81"/>
            <rFont val="Tahoma"/>
            <family val="2"/>
          </rPr>
          <t>rimet:</t>
        </r>
        <r>
          <rPr>
            <sz val="10"/>
            <color indexed="81"/>
            <rFont val="Tahoma"/>
            <family val="2"/>
          </rPr>
          <t xml:space="preserve">
C. S. Reynolds, V. Huszar, C. Kruk, L. Naselli-Flores, and S. Melo. Toward a functional classification of the freshwater phytoplancton. J.Plankton Res. 24:417-428, 2002.
</t>
        </r>
      </text>
    </comment>
    <comment ref="AO1" authorId="0" shapeId="0" xr:uid="{637CE9FC-F1EA-074A-BA41-583D99119928}">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5C00D540-119D-1B48-9C5E-F00DAC7428D1}">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6E511026-A9E0-2546-83B7-1CE258377671}">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011D36CF-404E-2542-B89B-458B3DB68FF9}">
      <text>
        <r>
          <rPr>
            <b/>
            <sz val="10"/>
            <color rgb="FF000000"/>
            <rFont val="Tahoma"/>
            <family val="2"/>
          </rPr>
          <t>rimet:</t>
        </r>
        <r>
          <rPr>
            <sz val="10"/>
            <color rgb="FF000000"/>
            <rFont val="Tahoma"/>
            <family val="2"/>
          </rPr>
          <t xml:space="preserve">
</t>
        </r>
        <r>
          <rPr>
            <sz val="10"/>
            <color rgb="FF000000"/>
            <rFont val="Tahoma"/>
            <family val="2"/>
          </rPr>
          <t>Brettum TP weights</t>
        </r>
      </text>
    </comment>
    <comment ref="A63" authorId="0" shapeId="0" xr:uid="{3629A0E6-701C-4042-8B11-3314A3E0B143}">
      <text>
        <r>
          <rPr>
            <b/>
            <sz val="10"/>
            <color rgb="FF000000"/>
            <rFont val="Tahoma"/>
            <family val="2"/>
          </rPr>
          <t>rimet:</t>
        </r>
        <r>
          <rPr>
            <sz val="10"/>
            <color rgb="FF000000"/>
            <rFont val="Tahoma"/>
            <family val="2"/>
          </rPr>
          <t xml:space="preserve">
</t>
        </r>
        <r>
          <rPr>
            <sz val="10"/>
            <color rgb="FF000000"/>
            <rFont val="Tahoma"/>
            <family val="2"/>
          </rPr>
          <t>10 * 10 um</t>
        </r>
      </text>
    </comment>
    <comment ref="J63" authorId="0" shapeId="0" xr:uid="{C7836F6A-0EE1-B348-95A7-3E491CDADC04}">
      <text>
        <r>
          <rPr>
            <b/>
            <sz val="10"/>
            <color indexed="81"/>
            <rFont val="Tahoma"/>
            <family val="2"/>
          </rPr>
          <t>rimet:</t>
        </r>
        <r>
          <rPr>
            <sz val="10"/>
            <color indexed="81"/>
            <rFont val="Tahoma"/>
            <family val="2"/>
          </rPr>
          <t xml:space="preserve">
10 * 10 um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9DC26AEC-0E59-2541-B819-167EB3084FD7}">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02F45E7A-362A-404D-BFB5-C5BA4602C832}">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A04DC693-B7D4-4D4C-BFD7-00D176F096AB}">
      <text>
        <r>
          <rPr>
            <b/>
            <sz val="10"/>
            <color indexed="81"/>
            <rFont val="Tahoma"/>
            <family val="2"/>
          </rPr>
          <t>rimet:</t>
        </r>
        <r>
          <rPr>
            <sz val="10"/>
            <color indexed="81"/>
            <rFont val="Tahoma"/>
            <family val="2"/>
          </rPr>
          <t xml:space="preserve">
si choix = cellule, ce facteur se rapporte à la cellule, si choix = colonie, ce facteur se rapporte à la colonie</t>
        </r>
      </text>
    </comment>
    <comment ref="AN1" authorId="0" shapeId="0" xr:uid="{9D8976AD-4DA4-6246-B286-7304301CCFBF}">
      <text>
        <r>
          <rPr>
            <b/>
            <sz val="10"/>
            <color indexed="81"/>
            <rFont val="Tahoma"/>
            <family val="2"/>
          </rPr>
          <t>rimet:</t>
        </r>
        <r>
          <rPr>
            <sz val="10"/>
            <color indexed="81"/>
            <rFont val="Tahoma"/>
            <family val="2"/>
          </rPr>
          <t xml:space="preserve">
C. S. Reynolds, V. Huszar, C. Kruk, L. Naselli-Flores, and S. Melo. Toward a functional classification of the freshwater phytoplancton. J.Plankton Res. 24:417-428, 2002.
</t>
        </r>
      </text>
    </comment>
    <comment ref="AO1" authorId="0" shapeId="0" xr:uid="{FBD4071C-20FB-8145-8A43-8AD21D8B09BE}">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6DEB0196-1A2E-F940-BF9A-A4B8398EAD8E}">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D1D3B41C-D5DF-CD4F-909E-5455DFEE9976}">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58F8B9D6-0C30-C14E-9C80-137CFED5EC12}">
      <text>
        <r>
          <rPr>
            <b/>
            <sz val="10"/>
            <color rgb="FF000000"/>
            <rFont val="Tahoma"/>
            <family val="2"/>
          </rPr>
          <t>rimet:</t>
        </r>
        <r>
          <rPr>
            <sz val="10"/>
            <color rgb="FF000000"/>
            <rFont val="Tahoma"/>
            <family val="2"/>
          </rPr>
          <t xml:space="preserve">
</t>
        </r>
        <r>
          <rPr>
            <sz val="10"/>
            <color rgb="FF000000"/>
            <rFont val="Tahoma"/>
            <family val="2"/>
          </rPr>
          <t>Brettum TP weights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rimet</author>
  </authors>
  <commentList>
    <comment ref="J1" authorId="0" shapeId="0" xr:uid="{88FACCCF-09D6-984D-A7CD-3D7D1F20E63D}">
      <text>
        <r>
          <rPr>
            <b/>
            <sz val="10"/>
            <color rgb="FF000000"/>
            <rFont val="Tahoma"/>
            <family val="2"/>
          </rPr>
          <t>rimet:</t>
        </r>
        <r>
          <rPr>
            <sz val="10"/>
            <color rgb="FF000000"/>
            <rFont val="Tahoma"/>
            <family val="2"/>
          </rPr>
          <t xml:space="preserve">
</t>
        </r>
        <r>
          <rPr>
            <sz val="10"/>
            <color rgb="FF000000"/>
            <rFont val="Tahoma"/>
            <family val="2"/>
          </rPr>
          <t>a éclater</t>
        </r>
      </text>
    </comment>
    <comment ref="U1" authorId="0" shapeId="0" xr:uid="{7864FC54-9FDD-6547-9876-4115D2D7E7FC}">
      <text>
        <r>
          <rPr>
            <b/>
            <sz val="10"/>
            <color rgb="FF000000"/>
            <rFont val="Tahoma"/>
            <family val="2"/>
          </rPr>
          <t>rimet:</t>
        </r>
        <r>
          <rPr>
            <sz val="10"/>
            <color rgb="FF000000"/>
            <rFont val="Tahoma"/>
            <family val="2"/>
          </rPr>
          <t xml:space="preserve">
</t>
        </r>
        <r>
          <rPr>
            <sz val="10"/>
            <color rgb="FF000000"/>
            <rFont val="Tahoma"/>
            <family val="2"/>
          </rPr>
          <t>si choix = cellule, ce facteur se rapporte à la cellule, si choix = colonie, ce facteur se rapporte à la colonie</t>
        </r>
      </text>
    </comment>
    <comment ref="V1" authorId="0" shapeId="0" xr:uid="{051BD873-4D3D-3E47-B337-6567BD68F967}">
      <text>
        <r>
          <rPr>
            <b/>
            <sz val="10"/>
            <color indexed="81"/>
            <rFont val="Tahoma"/>
            <family val="2"/>
          </rPr>
          <t>rimet:</t>
        </r>
        <r>
          <rPr>
            <sz val="10"/>
            <color indexed="81"/>
            <rFont val="Tahoma"/>
            <family val="2"/>
          </rPr>
          <t xml:space="preserve">
si choix = cellule, ce facteur se rapporte à la cellule, si choix = colonie, ce facteur se rapporte à la colonie</t>
        </r>
      </text>
    </comment>
    <comment ref="AN1" authorId="0" shapeId="0" xr:uid="{C7B27753-08AD-E74A-89CB-1C6643A078C3}">
      <text>
        <r>
          <rPr>
            <b/>
            <sz val="10"/>
            <color indexed="81"/>
            <rFont val="Tahoma"/>
            <family val="2"/>
          </rPr>
          <t>rimet:</t>
        </r>
        <r>
          <rPr>
            <sz val="10"/>
            <color indexed="81"/>
            <rFont val="Tahoma"/>
            <family val="2"/>
          </rPr>
          <t xml:space="preserve">
C. S. Reynolds, V. Huszar, C. Kruk, L. Naselli-Flores, and S. Melo. Toward a functional classification of the freshwater phytoplancton. J.Plankton Res. 24:417-428, 2002.
</t>
        </r>
      </text>
    </comment>
    <comment ref="AO1" authorId="0" shapeId="0" xr:uid="{E65E9C7A-D162-4242-A038-3D4234FF8D5B}">
      <text>
        <r>
          <rPr>
            <b/>
            <sz val="10"/>
            <color rgb="FF000000"/>
            <rFont val="Tahoma"/>
            <family val="2"/>
          </rPr>
          <t>rimet:</t>
        </r>
        <r>
          <rPr>
            <sz val="10"/>
            <color rgb="FF000000"/>
            <rFont val="Tahoma"/>
            <family val="2"/>
          </rPr>
          <t xml:space="preserve">
</t>
        </r>
        <r>
          <rPr>
            <sz val="10"/>
            <color rgb="FF000000"/>
            <rFont val="Tahoma"/>
            <family val="2"/>
          </rPr>
          <t xml:space="preserve">Use and misuse in the application of the phytoplankton
</t>
        </r>
        <r>
          <rPr>
            <sz val="10"/>
            <color rgb="FF000000"/>
            <rFont val="Tahoma"/>
            <family val="2"/>
          </rPr>
          <t xml:space="preserve">functional classification: a critical review with updates
</t>
        </r>
        <r>
          <rPr>
            <sz val="10"/>
            <color rgb="FF000000"/>
            <rFont val="Tahoma"/>
            <family val="2"/>
          </rPr>
          <t xml:space="preserve">Judit Padisak, Luciane Crossetti,
</t>
        </r>
        <r>
          <rPr>
            <sz val="10"/>
            <color rgb="FF000000"/>
            <rFont val="Tahoma"/>
            <family val="2"/>
          </rPr>
          <t>Luigi Naselli-Flores- Hydrobiologia (2009) 621:1–19</t>
        </r>
      </text>
    </comment>
    <comment ref="AP1" authorId="0" shapeId="0" xr:uid="{4E876CD5-B7A4-3243-95BE-D008CA90A8B3}">
      <text>
        <r>
          <rPr>
            <b/>
            <sz val="10"/>
            <color rgb="FF000000"/>
            <rFont val="Tahoma"/>
            <family val="2"/>
          </rPr>
          <t>rimet:</t>
        </r>
        <r>
          <rPr>
            <sz val="10"/>
            <color rgb="FF000000"/>
            <rFont val="Tahoma"/>
            <family val="2"/>
          </rPr>
          <t xml:space="preserve">
</t>
        </r>
        <r>
          <rPr>
            <sz val="10"/>
            <color rgb="FF000000"/>
            <rFont val="Tahoma"/>
            <family val="2"/>
          </rPr>
          <t xml:space="preserve">C. Kurk, V. Huszar, E. Peeters, S. Bonilla, L. Costa, M. Lurling, C. S. Reynolds, and M. Scheffer. A morphological classification capturing functional variation in phytoplankton. Freshwater Biology 55:614-627, 2010.
</t>
        </r>
      </text>
    </comment>
    <comment ref="AQ1" authorId="0" shapeId="0" xr:uid="{9BD975E0-511C-C346-ABCD-939E9CA2D081}">
      <text>
        <r>
          <rPr>
            <b/>
            <sz val="10"/>
            <color indexed="81"/>
            <rFont val="Tahoma"/>
            <family val="2"/>
          </rPr>
          <t>rimet:</t>
        </r>
        <r>
          <rPr>
            <sz val="10"/>
            <color indexed="81"/>
            <rFont val="Tahoma"/>
            <family val="2"/>
          </rPr>
          <t xml:space="preserve">
Les taxons nanophytoplanctoniques ont une longueur inférieure à 20 μm et un biovolume inférieur à 10 000 μm3, ceux du microphytoplancton une longueur supérieure à 20 μm et/ou un biovolume supérieur à 10 000 μm3.</t>
        </r>
      </text>
    </comment>
    <comment ref="AZ1" authorId="0" shapeId="0" xr:uid="{409EC962-A74E-304D-8FAC-F059E12862D6}">
      <text>
        <r>
          <rPr>
            <b/>
            <sz val="10"/>
            <color rgb="FF000000"/>
            <rFont val="Tahoma"/>
            <family val="2"/>
          </rPr>
          <t>rimet:</t>
        </r>
        <r>
          <rPr>
            <sz val="10"/>
            <color rgb="FF000000"/>
            <rFont val="Tahoma"/>
            <family val="2"/>
          </rPr>
          <t xml:space="preserve">
</t>
        </r>
        <r>
          <rPr>
            <sz val="10"/>
            <color rgb="FF000000"/>
            <rFont val="Tahoma"/>
            <family val="2"/>
          </rPr>
          <t>Brettum TP weights</t>
        </r>
      </text>
    </comment>
  </commentList>
</comments>
</file>

<file path=xl/sharedStrings.xml><?xml version="1.0" encoding="utf-8"?>
<sst xmlns="http://schemas.openxmlformats.org/spreadsheetml/2006/main" count="32716" uniqueCount="3893">
  <si>
    <t>Genus</t>
  </si>
  <si>
    <t>Species</t>
  </si>
  <si>
    <t>TRAIT</t>
  </si>
  <si>
    <t>CATEGORY</t>
  </si>
  <si>
    <t>2-Aphanizomenon flos aqua</t>
  </si>
  <si>
    <t>2-Aphanizomenon oval</t>
  </si>
  <si>
    <t>2-Chroococcus minutus</t>
  </si>
  <si>
    <t>2-Chroococus turgidus</t>
  </si>
  <si>
    <t>2-Cyanodictyon imperfectum</t>
  </si>
  <si>
    <t>2-Microcystis aerug</t>
  </si>
  <si>
    <t>2-Microcystis flos-aquae</t>
  </si>
  <si>
    <t>2-Microcystis wesenbergii</t>
  </si>
  <si>
    <t>2-Radiocystis geminata</t>
  </si>
  <si>
    <t>3-Aulacoseira granulata</t>
  </si>
  <si>
    <t>3-Cyclotella polymorpha</t>
  </si>
  <si>
    <t>3-Cyclotella-L</t>
  </si>
  <si>
    <t>3-Synedra spp</t>
  </si>
  <si>
    <t>4-Closterium aciculare</t>
  </si>
  <si>
    <t>4-Closterium acutum</t>
  </si>
  <si>
    <t>4-Closterium sp</t>
  </si>
  <si>
    <t>4-Coelastrum microporum</t>
  </si>
  <si>
    <t>4-Coelastrum reticulatum</t>
  </si>
  <si>
    <t>4-Pediastrum simplex</t>
  </si>
  <si>
    <t>4-Pediastrum sturmii</t>
  </si>
  <si>
    <t>4-Pediastrum tetras</t>
  </si>
  <si>
    <t>4-Tetraedron minimum</t>
  </si>
  <si>
    <t>4-Tetraedron regulare</t>
  </si>
  <si>
    <t>4-Tetraedron sp</t>
  </si>
  <si>
    <t>4-Tetraedron triangulare</t>
  </si>
  <si>
    <t>5-Peridinium gatunense</t>
  </si>
  <si>
    <t>6-Cryptomonas spp</t>
  </si>
  <si>
    <t>6-Rhodomonas spp</t>
  </si>
  <si>
    <t>Anabaena</t>
  </si>
  <si>
    <t>Aphanizomenon</t>
  </si>
  <si>
    <t>Aphanocapsa</t>
  </si>
  <si>
    <t>Chroococcus</t>
  </si>
  <si>
    <t>Cyanodictyon</t>
  </si>
  <si>
    <t>Cylindrospermopsis</t>
  </si>
  <si>
    <t>Lyngbya</t>
  </si>
  <si>
    <t>Microcystis</t>
  </si>
  <si>
    <t>Aulacoseira</t>
  </si>
  <si>
    <t>Radiocystis</t>
  </si>
  <si>
    <t>Cyclotella</t>
  </si>
  <si>
    <t>Nitzschia</t>
  </si>
  <si>
    <t>Synedra</t>
  </si>
  <si>
    <t>Chlamydomonas</t>
  </si>
  <si>
    <t>Chlorella</t>
  </si>
  <si>
    <t>Chodatella</t>
  </si>
  <si>
    <t>Closterium</t>
  </si>
  <si>
    <t>Coelastrum</t>
  </si>
  <si>
    <t>Mougeotia</t>
  </si>
  <si>
    <t>Oocystis</t>
  </si>
  <si>
    <t>Pediastrum</t>
  </si>
  <si>
    <t>Scenedesmus</t>
  </si>
  <si>
    <t>Tetraedron</t>
  </si>
  <si>
    <t>Tetrastrum</t>
  </si>
  <si>
    <t>Peridinium</t>
  </si>
  <si>
    <t>Cryptomonas</t>
  </si>
  <si>
    <t>Rhodomonas</t>
  </si>
  <si>
    <t>Phylum</t>
  </si>
  <si>
    <t>Chroococcales</t>
  </si>
  <si>
    <t>Cyanobacteria</t>
  </si>
  <si>
    <t>Bacillariophyta</t>
  </si>
  <si>
    <t>Chlorophyta</t>
  </si>
  <si>
    <t>Cryptophyta</t>
  </si>
  <si>
    <t>lgth_1</t>
  </si>
  <si>
    <t>lgth_2</t>
  </si>
  <si>
    <t>lgth_3</t>
  </si>
  <si>
    <t>Cell Length µm</t>
  </si>
  <si>
    <t>≤10</t>
  </si>
  <si>
    <t>&gt;100</t>
  </si>
  <si>
    <t>lgth_4</t>
  </si>
  <si>
    <t>&gt;10-25</t>
  </si>
  <si>
    <t>Cell SA µm^2</t>
  </si>
  <si>
    <t>sa_1</t>
  </si>
  <si>
    <t>sa_2</t>
  </si>
  <si>
    <t>sa_3</t>
  </si>
  <si>
    <t>sa_4</t>
  </si>
  <si>
    <t>≤100</t>
  </si>
  <si>
    <t>&gt;100-500</t>
  </si>
  <si>
    <t>&gt;500-1000</t>
  </si>
  <si>
    <t>&gt;1000</t>
  </si>
  <si>
    <t>Cell vol µm^2</t>
  </si>
  <si>
    <t>vol_1</t>
  </si>
  <si>
    <t>vol_2</t>
  </si>
  <si>
    <t>vol_3</t>
  </si>
  <si>
    <t>vol_4</t>
  </si>
  <si>
    <t>&gt;100-1000</t>
  </si>
  <si>
    <t>&gt;1000-10000</t>
  </si>
  <si>
    <t>&gt;10000</t>
  </si>
  <si>
    <t>Colonial</t>
  </si>
  <si>
    <t>Not colonial</t>
  </si>
  <si>
    <t>Mobility</t>
  </si>
  <si>
    <t>Flagellated</t>
  </si>
  <si>
    <t>Heterotrophic</t>
  </si>
  <si>
    <t>Mixotrophic</t>
  </si>
  <si>
    <t>Autotrophic</t>
  </si>
  <si>
    <t>Organic carbon ratio</t>
  </si>
  <si>
    <t>Genus + species name</t>
  </si>
  <si>
    <t>Empire</t>
  </si>
  <si>
    <t>Kingdom</t>
  </si>
  <si>
    <t>Subkingdom</t>
  </si>
  <si>
    <t>Class</t>
  </si>
  <si>
    <t>Order</t>
  </si>
  <si>
    <t>Family</t>
  </si>
  <si>
    <t>Kind of infraspecific level: var./f./ssp.</t>
  </si>
  <si>
    <t>Infraspecific name</t>
  </si>
  <si>
    <t>Determination uncertainty level</t>
  </si>
  <si>
    <t>Authorities</t>
  </si>
  <si>
    <t>Class sensu Bourrelly (1974)</t>
  </si>
  <si>
    <t>INRA code</t>
  </si>
  <si>
    <t>Cell length µm</t>
  </si>
  <si>
    <t>Cell width µm</t>
  </si>
  <si>
    <t>Cell thickness µm</t>
  </si>
  <si>
    <t>Geometrical shape of the cell</t>
  </si>
  <si>
    <t>Multiplicative factor to the geometrical shape to get the cell biovolume</t>
  </si>
  <si>
    <t>Dividing factor to the geometrical shape to get the cell surface area</t>
  </si>
  <si>
    <t>Cell surface area µm²</t>
  </si>
  <si>
    <t>Cell biovolume µm3</t>
  </si>
  <si>
    <t>Number of cells per colony</t>
  </si>
  <si>
    <t>Cumulated surface area of cells in a colony µm²</t>
  </si>
  <si>
    <t>Cumulated biovolume of cells in a colony µm3</t>
  </si>
  <si>
    <t>Colony length (takes into account mucilage) µm</t>
  </si>
  <si>
    <t>Colony width (takes into account mucilage) µm</t>
  </si>
  <si>
    <t>Colony thickness (takes into account mucilage) µm</t>
  </si>
  <si>
    <t>Geometrical shape of the colony</t>
  </si>
  <si>
    <t>Multiplicative factor to the geometrical shape to get the colony biovolume (without mucilage)</t>
  </si>
  <si>
    <t>Dividing factor to the geometrical shape to get the colony surface area (take into account mucilage)</t>
  </si>
  <si>
    <t>Colony surface area µm² (with mucilage)</t>
  </si>
  <si>
    <t>Colony biovolume µm3 (without mucilage)</t>
  </si>
  <si>
    <t>Reference biovolume</t>
  </si>
  <si>
    <t>Maximal length of the algal object</t>
  </si>
  <si>
    <t>Notes on biovolumes</t>
  </si>
  <si>
    <t>Organic carbon ratio (Wetzel et Likens 2000)</t>
  </si>
  <si>
    <t>Functional groups (Reynolds 2002)</t>
  </si>
  <si>
    <t>Functional groups (Padisak 2009)</t>
  </si>
  <si>
    <t>Morpho-classification (Kruk 2010)</t>
  </si>
  <si>
    <t>Nano/microphytoplankton</t>
  </si>
  <si>
    <t>Mobility apparatus</t>
  </si>
  <si>
    <t>Mobility apparatus: Flagella</t>
  </si>
  <si>
    <t>Mobility apparatus: Raphe</t>
  </si>
  <si>
    <t>Filament</t>
  </si>
  <si>
    <t>&lt;=5</t>
  </si>
  <si>
    <t>5-8</t>
  </si>
  <si>
    <t>8-15</t>
  </si>
  <si>
    <t>15-30</t>
  </si>
  <si>
    <t>30-60</t>
  </si>
  <si>
    <t>&gt;60</t>
  </si>
  <si>
    <t>Achroonema articulatum</t>
  </si>
  <si>
    <t>Prokaryota</t>
  </si>
  <si>
    <t>Bacteria</t>
  </si>
  <si>
    <t>Negibacteria</t>
  </si>
  <si>
    <t>Cyanophyceae</t>
  </si>
  <si>
    <t>Oscillatoriales</t>
  </si>
  <si>
    <t>Pseudanabaenaceae</t>
  </si>
  <si>
    <t>Achroonema</t>
  </si>
  <si>
    <t>articulatum</t>
  </si>
  <si>
    <t>Skuja</t>
  </si>
  <si>
    <t>Cyanobactéries</t>
  </si>
  <si>
    <t>trel</t>
  </si>
  <si>
    <t>tube</t>
  </si>
  <si>
    <t>Averages from literature</t>
  </si>
  <si>
    <t>IV</t>
  </si>
  <si>
    <t>Anabaena affinis</t>
  </si>
  <si>
    <t>Nostocales</t>
  </si>
  <si>
    <t>Nostocaceae</t>
  </si>
  <si>
    <t>affinis</t>
  </si>
  <si>
    <t>Lemmermann</t>
  </si>
  <si>
    <t>H1</t>
  </si>
  <si>
    <t>III</t>
  </si>
  <si>
    <t>Anabaena aphanizomenoïdes</t>
  </si>
  <si>
    <t>aphanizomenoïdes</t>
  </si>
  <si>
    <t>Forti</t>
  </si>
  <si>
    <t>Anabaena bergii var. limneticum</t>
  </si>
  <si>
    <t>bergii</t>
  </si>
  <si>
    <t>var.</t>
  </si>
  <si>
    <t>limneticum</t>
  </si>
  <si>
    <t>Couté &amp; Preisig</t>
  </si>
  <si>
    <t>Anabaena bergii</t>
  </si>
  <si>
    <t>Ostenfeld</t>
  </si>
  <si>
    <t>Anabaena circinalis</t>
  </si>
  <si>
    <t>circinalis</t>
  </si>
  <si>
    <t>Rabenhorst</t>
  </si>
  <si>
    <t>Anabaena circinalis f. tenuis</t>
  </si>
  <si>
    <t>f.</t>
  </si>
  <si>
    <t>tenuis</t>
  </si>
  <si>
    <t>West &amp; G.S.West</t>
  </si>
  <si>
    <t>Anabaena flos-aquae</t>
  </si>
  <si>
    <t>flos-aquae</t>
  </si>
  <si>
    <t>Brébisson</t>
  </si>
  <si>
    <t>Anabaena flos-aquae f. lemmermannii</t>
  </si>
  <si>
    <t>lemmermannii</t>
  </si>
  <si>
    <t>(P.G.Richter) Canabaeus</t>
  </si>
  <si>
    <t>H2</t>
  </si>
  <si>
    <t>Anabaena flos-aquae var. treleasii</t>
  </si>
  <si>
    <t>treleasii</t>
  </si>
  <si>
    <t>Bornet &amp; Flahault</t>
  </si>
  <si>
    <t>Anabaena macrospora</t>
  </si>
  <si>
    <t>macrospora</t>
  </si>
  <si>
    <t>Klebahn</t>
  </si>
  <si>
    <t>Anabaena oscillarioides f. elliptica</t>
  </si>
  <si>
    <t>oscillarioïdes</t>
  </si>
  <si>
    <t>elliptica</t>
  </si>
  <si>
    <t>(Kisselev) Elenkin</t>
  </si>
  <si>
    <t>Anabaena oscillarioides</t>
  </si>
  <si>
    <t>Bory ex Bornet &amp; Flahault</t>
  </si>
  <si>
    <t>Anabaena solitaria</t>
  </si>
  <si>
    <t>solitaria</t>
  </si>
  <si>
    <t>Anabaena solitaria var. planctonica</t>
  </si>
  <si>
    <t>planctonica</t>
  </si>
  <si>
    <t>Anabaena sp.</t>
  </si>
  <si>
    <t>sp.</t>
  </si>
  <si>
    <t>Bory de St Vincent</t>
  </si>
  <si>
    <t>Anabaena spiroides</t>
  </si>
  <si>
    <t>spiroides</t>
  </si>
  <si>
    <t>Anabaena spiroides f. minima</t>
  </si>
  <si>
    <t>minima</t>
  </si>
  <si>
    <t>(Nygaard) Kossinskaja</t>
  </si>
  <si>
    <t>Aphanizomenon flos-aquae</t>
  </si>
  <si>
    <t xml:space="preserve">flos-	aquae				</t>
  </si>
  <si>
    <t>(Linnaeus) Ralfs</t>
  </si>
  <si>
    <t>Aphanizomenon flos-aquae var. gracile</t>
  </si>
  <si>
    <t>gracile</t>
  </si>
  <si>
    <t>Aphanizomenon issatschenkoi</t>
  </si>
  <si>
    <t>issatschenkoi</t>
  </si>
  <si>
    <t>(Usacev) Proshkina-Lavrenko</t>
  </si>
  <si>
    <t>Merismopediaceae</t>
  </si>
  <si>
    <t>griffithii</t>
  </si>
  <si>
    <t>Nägeli</t>
  </si>
  <si>
    <t>K</t>
  </si>
  <si>
    <t>VII</t>
  </si>
  <si>
    <t>Aphanocapsa musicola</t>
  </si>
  <si>
    <t>musicola</t>
  </si>
  <si>
    <t>(Meneghini) Wille</t>
  </si>
  <si>
    <t>Aphanocapsa conferta</t>
  </si>
  <si>
    <t>conferta</t>
  </si>
  <si>
    <t>(West &amp; G.S.West) Komárková-Legnerová &amp; Cronberg</t>
  </si>
  <si>
    <t>Aphanocapsa delicatissima</t>
  </si>
  <si>
    <t>delicatissima</t>
  </si>
  <si>
    <t>W. &amp; G.S.West</t>
  </si>
  <si>
    <t>Aphanocapsa delicatissima colony 10 µm</t>
  </si>
  <si>
    <t>colony</t>
  </si>
  <si>
    <t>10 µm</t>
  </si>
  <si>
    <t>W. &amp; G. S. West</t>
  </si>
  <si>
    <t>Aphanocapsa delicatissima (single cell)</t>
  </si>
  <si>
    <t>single cell</t>
  </si>
  <si>
    <t>sphe</t>
  </si>
  <si>
    <t/>
  </si>
  <si>
    <t>Aphanocapsa elachista</t>
  </si>
  <si>
    <t>elachista</t>
  </si>
  <si>
    <t>Aphanocapsa elachista colony 10 µm</t>
  </si>
  <si>
    <t>(West) West</t>
  </si>
  <si>
    <t>Moyenne Annecy GL - 23/09/09</t>
  </si>
  <si>
    <t>Aphanocapsa elachista var. conferta</t>
  </si>
  <si>
    <t>W. &amp; G.S. West</t>
  </si>
  <si>
    <t>Aphanocapsa grevillei</t>
  </si>
  <si>
    <t>grevillei</t>
  </si>
  <si>
    <t>(Berkeley) Rabenhorst</t>
  </si>
  <si>
    <t>Aphanocapsa grevillei (single cell)</t>
  </si>
  <si>
    <t>Aphanocapsa holsatica</t>
  </si>
  <si>
    <t>holsatica</t>
  </si>
  <si>
    <t>(Lemmermann) Cronberg &amp; Komarek</t>
  </si>
  <si>
    <t>Aphanocapsa holsatica colony 10 µm</t>
  </si>
  <si>
    <t>colony 10 µm</t>
  </si>
  <si>
    <t>(Lemmermann) G.Cronberg &amp; Komarek</t>
  </si>
  <si>
    <t>Moyenne Annecy</t>
  </si>
  <si>
    <t>Aphanocapsa holsatica (single cell)</t>
  </si>
  <si>
    <t>Aphanocapsa incerta</t>
  </si>
  <si>
    <t>incerta</t>
  </si>
  <si>
    <t>Aphanocapsa incerta (50 cells)</t>
  </si>
  <si>
    <t>50 cells</t>
  </si>
  <si>
    <t>Aphanocapsa nubilum colony 20 µm</t>
  </si>
  <si>
    <t>nubilum</t>
  </si>
  <si>
    <t>colony 20 µm</t>
  </si>
  <si>
    <t>Komarek &amp; H.J.Kling</t>
  </si>
  <si>
    <t>Aphanocapsa parasitica f. dinobryonis</t>
  </si>
  <si>
    <t>parasitica</t>
  </si>
  <si>
    <t>dinobryonis</t>
  </si>
  <si>
    <t>(Kützing) Komarek &amp; Anagnostidis</t>
  </si>
  <si>
    <t>Aphanocapsa parasitica f. dinobryonis single cell</t>
  </si>
  <si>
    <t>dinobryonis single cell</t>
  </si>
  <si>
    <t>ell</t>
  </si>
  <si>
    <t>Aphanocapsa planctonica</t>
  </si>
  <si>
    <t>(G.M. Smith) J. Komarek &amp; Anagnostidis</t>
  </si>
  <si>
    <t>Moyenne sur Annecy 20087</t>
  </si>
  <si>
    <t>Aphanocapsa planctonica colony 10 µm</t>
  </si>
  <si>
    <t>(G.M.Sm.) Komarek &amp; Anagn.</t>
  </si>
  <si>
    <t>Moyenne Bourget 2009</t>
  </si>
  <si>
    <t>Aphanocapsa planctonica colony 50 µm</t>
  </si>
  <si>
    <t>colony 50 µm</t>
  </si>
  <si>
    <t>Moyenne Bourget 2016</t>
  </si>
  <si>
    <t>Aphanocapsa sp.</t>
  </si>
  <si>
    <t>Aphanothece clathrata</t>
  </si>
  <si>
    <t>Synechococcaceae</t>
  </si>
  <si>
    <t>Aphanothece</t>
  </si>
  <si>
    <t xml:space="preserve">clathrata		</t>
  </si>
  <si>
    <t>Aphanothece clathrata var. rosea</t>
  </si>
  <si>
    <t>clathrata</t>
  </si>
  <si>
    <t>rosea</t>
  </si>
  <si>
    <t>Aphanothece clathrata var. rosea colony 10 µm</t>
  </si>
  <si>
    <t>rosea colony 10 µm</t>
  </si>
  <si>
    <t>Aphanothece elabens</t>
  </si>
  <si>
    <t>elabens</t>
  </si>
  <si>
    <t>(Brébisson) Elenkin</t>
  </si>
  <si>
    <t>Mesure sur Annecy 2007</t>
  </si>
  <si>
    <t>Aphanothece nidulans colony 10 µm</t>
  </si>
  <si>
    <t>nidulans</t>
  </si>
  <si>
    <t>Richter</t>
  </si>
  <si>
    <t>Aphanothece saxicola</t>
  </si>
  <si>
    <t xml:space="preserve">saxicola		</t>
  </si>
  <si>
    <t>Mesures sur rivières Morcille hiver 2007-2008 (colonies de 300 cellules, colonies de 56*35*35)</t>
  </si>
  <si>
    <t>Aphanothece sp. (single cell)</t>
  </si>
  <si>
    <t>Aphanothece sp.</t>
  </si>
  <si>
    <t>Aphanothece sp. 1</t>
  </si>
  <si>
    <t>sp. 1</t>
  </si>
  <si>
    <t>Mesures sur Morcille hiver 2007-2008 (ecotox Aurelie Villeneuve)</t>
  </si>
  <si>
    <t>Calothrix sp.</t>
  </si>
  <si>
    <t>Oscillatoriaceae</t>
  </si>
  <si>
    <t>Calothrix</t>
  </si>
  <si>
    <t>C. Agardh ex É. Bornet &amp; C. Flahault</t>
  </si>
  <si>
    <t>cf Mantellum sp.</t>
  </si>
  <si>
    <t>Mantellum</t>
  </si>
  <si>
    <t>sp</t>
  </si>
  <si>
    <t>P. J.L. Dangeard</t>
  </si>
  <si>
    <t>Chlorococcales sp.</t>
  </si>
  <si>
    <t>Chrooccocus distans (4 cells)</t>
  </si>
  <si>
    <t>Chroococcaceae</t>
  </si>
  <si>
    <t>distans</t>
  </si>
  <si>
    <t>4 cells</t>
  </si>
  <si>
    <t>(GM Smith) Komarkova-Legnerova et Cronberg</t>
  </si>
  <si>
    <t>box</t>
  </si>
  <si>
    <t>Lo</t>
  </si>
  <si>
    <t>Chroococcus limneticus</t>
  </si>
  <si>
    <t>limneticus</t>
  </si>
  <si>
    <t>Chroococcus minimus</t>
  </si>
  <si>
    <t>minimus</t>
  </si>
  <si>
    <t>(Keissler) Lemmermann</t>
  </si>
  <si>
    <t>Chroococcus minimus colony 50 µm</t>
  </si>
  <si>
    <t>Bourget 16- 2017</t>
  </si>
  <si>
    <t>Chroococcus minutus</t>
  </si>
  <si>
    <t>minutus</t>
  </si>
  <si>
    <t>(Kuetzing) Naegeli</t>
  </si>
  <si>
    <t>Chroococcus microscopicus</t>
  </si>
  <si>
    <t>microscopicus</t>
  </si>
  <si>
    <t>Komárková-Legnerová &amp; G.Cronberg</t>
  </si>
  <si>
    <t>Chroococcus obliteratus</t>
  </si>
  <si>
    <t>obliteratus</t>
  </si>
  <si>
    <t>Reichter</t>
  </si>
  <si>
    <t>Chroococcus prescottii</t>
  </si>
  <si>
    <t>prescottii</t>
  </si>
  <si>
    <t>Drouet &amp; Daily</t>
  </si>
  <si>
    <t>Chroococcus sp.</t>
  </si>
  <si>
    <t>Chroococcus turgidus (8 cells)</t>
  </si>
  <si>
    <t>turgidus</t>
  </si>
  <si>
    <t>8 cells</t>
  </si>
  <si>
    <t>(Kützing) Nägeli</t>
  </si>
  <si>
    <t>Chroococcus turgidus (4 cells)</t>
  </si>
  <si>
    <t>(Kütz.) Nägeli</t>
  </si>
  <si>
    <t>Chroococcus varius</t>
  </si>
  <si>
    <t>varius</t>
  </si>
  <si>
    <t>Braun</t>
  </si>
  <si>
    <t>Mesure Bourget 3-2013</t>
  </si>
  <si>
    <t>Coelosphaerium kutzingii</t>
  </si>
  <si>
    <t>Coelosphaerium</t>
  </si>
  <si>
    <t>kutzingii</t>
  </si>
  <si>
    <t>Cyanobium sp.</t>
  </si>
  <si>
    <t>Cyanobium</t>
  </si>
  <si>
    <t>Rippka &amp; Cohen-Bazire</t>
  </si>
  <si>
    <t>Z</t>
  </si>
  <si>
    <t>Cyanodictyon planctonicum</t>
  </si>
  <si>
    <t>Synechococcales</t>
  </si>
  <si>
    <t>planctonicum</t>
  </si>
  <si>
    <t>B. Meyer</t>
  </si>
  <si>
    <t>Mesure sur le Léman n16 2008</t>
  </si>
  <si>
    <t>Cyanosarcina chroococcoides</t>
  </si>
  <si>
    <t>Cyanosarcina</t>
  </si>
  <si>
    <t>chroococcoides</t>
  </si>
  <si>
    <t>(Geitler) Kovacik</t>
  </si>
  <si>
    <t>moyenne Susswasserflora</t>
  </si>
  <si>
    <t>Cylindrospermum Bourget03</t>
  </si>
  <si>
    <t>Cylindrospermum</t>
  </si>
  <si>
    <t>Bourget03</t>
  </si>
  <si>
    <t>Kützing ex Bornet &amp; Flahault</t>
  </si>
  <si>
    <t>MP</t>
  </si>
  <si>
    <t>Geitlerinema acutissimum</t>
  </si>
  <si>
    <t>Geitlerinema</t>
  </si>
  <si>
    <t>acutissimum</t>
  </si>
  <si>
    <t>(Kufferath) Anagnostidis</t>
  </si>
  <si>
    <t>S1</t>
  </si>
  <si>
    <t>Geitlerinema amphibium</t>
  </si>
  <si>
    <t>amphibium</t>
  </si>
  <si>
    <t>(C. Agardh) Anagnostidis</t>
  </si>
  <si>
    <t>Gloeocapsa granosa</t>
  </si>
  <si>
    <t>Gloeocapsa</t>
  </si>
  <si>
    <t>granosa</t>
  </si>
  <si>
    <t>(Berkeley) Kützing</t>
  </si>
  <si>
    <t>Gloeocapsopsis sp.</t>
  </si>
  <si>
    <t>Gloeocapsopsis</t>
  </si>
  <si>
    <t>Geitler ex Komarek</t>
  </si>
  <si>
    <t>Mesures sur rivières Morcille hiver 2007-2008</t>
  </si>
  <si>
    <t>Gomphosphaeria pusilla</t>
  </si>
  <si>
    <t>Gomphosphaeria</t>
  </si>
  <si>
    <t>pusilla</t>
  </si>
  <si>
    <t>(Van Goor) J. Komarek</t>
  </si>
  <si>
    <t>Gomphosphaeria compacta</t>
  </si>
  <si>
    <t>compacta</t>
  </si>
  <si>
    <t>(Lemmermann) Ström</t>
  </si>
  <si>
    <t>Gomphosphaeria lacustris</t>
  </si>
  <si>
    <t>lacustris</t>
  </si>
  <si>
    <t>Chodat</t>
  </si>
  <si>
    <t>Gomphosphaeria rosea</t>
  </si>
  <si>
    <t>(Snow) Lemmermann</t>
  </si>
  <si>
    <t>Gomphosphaeria sp.</t>
  </si>
  <si>
    <t>Kützing</t>
  </si>
  <si>
    <t>Lm</t>
  </si>
  <si>
    <t>Jaaginema geminatum</t>
  </si>
  <si>
    <t>Jaaginema</t>
  </si>
  <si>
    <t>geminatum</t>
  </si>
  <si>
    <t>(Meneghini ex Gomont) Anagnostidis &amp; J. Komarek</t>
  </si>
  <si>
    <t>Komvophoron cf. skujae</t>
  </si>
  <si>
    <t>Boriziaceae</t>
  </si>
  <si>
    <t>Komvophoron</t>
  </si>
  <si>
    <t>skujae</t>
  </si>
  <si>
    <t>Anagnostidis &amp; Komarek</t>
  </si>
  <si>
    <t>Komvophoron constrictum</t>
  </si>
  <si>
    <t>constrictum</t>
  </si>
  <si>
    <t>(Szafer) Anagnostidis &amp; Komarek</t>
  </si>
  <si>
    <t>Komvophoron minutum</t>
  </si>
  <si>
    <t>minutum</t>
  </si>
  <si>
    <t>(Skuja) Anagnostidis &amp; Komarek</t>
  </si>
  <si>
    <t>Komvophoron schmidlei</t>
  </si>
  <si>
    <t>schmidlei</t>
  </si>
  <si>
    <t>(Jaag) Anagnostidis &amp; J. Komarek</t>
  </si>
  <si>
    <t>Komvophoron sp.</t>
  </si>
  <si>
    <t>Anagnostidis &amp; J. Komarek</t>
  </si>
  <si>
    <t>Komvophoron sp. 3 µm</t>
  </si>
  <si>
    <t>sp. 3 µm</t>
  </si>
  <si>
    <t>Moyennes sur Annecy 2009 n 3</t>
  </si>
  <si>
    <t>Lemmermanniella parva</t>
  </si>
  <si>
    <t>Lemmermanniella</t>
  </si>
  <si>
    <t>parva</t>
  </si>
  <si>
    <t>Hindák</t>
  </si>
  <si>
    <t>Moyennes sur Léman, Aiguebellette</t>
  </si>
  <si>
    <t>Lemmermanniella sp.</t>
  </si>
  <si>
    <t>Geitler</t>
  </si>
  <si>
    <t>Observé sur Annecy en 1999</t>
  </si>
  <si>
    <t>Leptolyngbya lagerheimii</t>
  </si>
  <si>
    <t>Leptolyngbya</t>
  </si>
  <si>
    <t>lagerheimii</t>
  </si>
  <si>
    <t>(Gomont) Anagnostidis &amp; J. Komarek</t>
  </si>
  <si>
    <t>1 individu sur Annecy n 3-2007, de longeur 40 um</t>
  </si>
  <si>
    <t>Leptolyngbya sp.</t>
  </si>
  <si>
    <t>Leptolyngbya sp. 1</t>
  </si>
  <si>
    <t>Mesures sur Morcille été 2007 (ecotox Aurelie Villeneuve)</t>
  </si>
  <si>
    <t>Leptolyngbya sp. 2</t>
  </si>
  <si>
    <t>sp. 2</t>
  </si>
  <si>
    <t>Leptolyngbya valderiana</t>
  </si>
  <si>
    <t>valderiana</t>
  </si>
  <si>
    <t>Limnothrix guttulata</t>
  </si>
  <si>
    <t>Limnothrix</t>
  </si>
  <si>
    <t>guttulata</t>
  </si>
  <si>
    <t>(Van Goor) I. Umezaki &amp; M. Watanabe</t>
  </si>
  <si>
    <t>Limnothrix obliqueacuminata</t>
  </si>
  <si>
    <t>obliqueacuminata</t>
  </si>
  <si>
    <t>(Skuja) Meffert</t>
  </si>
  <si>
    <t>Limnothrix planctonica</t>
  </si>
  <si>
    <t>(Woloszynska) Meffert</t>
  </si>
  <si>
    <t>Mesure canaux Thonon 5 2009</t>
  </si>
  <si>
    <t>Limnothrix redeckei</t>
  </si>
  <si>
    <t>redeckei</t>
  </si>
  <si>
    <t>(Goor) Meffert</t>
  </si>
  <si>
    <t>Limnothrix sp.</t>
  </si>
  <si>
    <t>Meffert</t>
  </si>
  <si>
    <t>Limnotrix cf. planctonica</t>
  </si>
  <si>
    <t>Lyngbya sp.</t>
  </si>
  <si>
    <t>C. Agardh</t>
  </si>
  <si>
    <t>Tc</t>
  </si>
  <si>
    <t>Lyngbya sp. 116</t>
  </si>
  <si>
    <t>sp. 116</t>
  </si>
  <si>
    <t>Agardh</t>
  </si>
  <si>
    <t>Lyngbya truncicola</t>
  </si>
  <si>
    <t>truncicola</t>
  </si>
  <si>
    <t>Ghose</t>
  </si>
  <si>
    <t>Merismopedia cf. hyalina</t>
  </si>
  <si>
    <t>Merismopedia</t>
  </si>
  <si>
    <t>hyalina</t>
  </si>
  <si>
    <t>(Ehrenberg) Kützing</t>
  </si>
  <si>
    <t>Merismopedia cf. minima</t>
  </si>
  <si>
    <t>Beck Ex Beck &amp; Zahl.</t>
  </si>
  <si>
    <t>Merismopedia cf. punctata</t>
  </si>
  <si>
    <t>punctata</t>
  </si>
  <si>
    <t>Meyer In Wiegmann</t>
  </si>
  <si>
    <t>Merismopedia duplex</t>
  </si>
  <si>
    <t>duplex</t>
  </si>
  <si>
    <t>Playfair</t>
  </si>
  <si>
    <t>Merismopedia elegans</t>
  </si>
  <si>
    <t>elegans</t>
  </si>
  <si>
    <t>A. Braun in Kützing</t>
  </si>
  <si>
    <t>Merismopedia glauca</t>
  </si>
  <si>
    <t>glauca</t>
  </si>
  <si>
    <t>Merismopedia punctata</t>
  </si>
  <si>
    <t>Meyen</t>
  </si>
  <si>
    <t>Merismopedia sp.</t>
  </si>
  <si>
    <t>Merismopedia tenuissima</t>
  </si>
  <si>
    <t>tenuissima</t>
  </si>
  <si>
    <t>Mesures sur Bayssou - 06-2008</t>
  </si>
  <si>
    <t>Microcystis aeruginosa</t>
  </si>
  <si>
    <t>Microcystaceae</t>
  </si>
  <si>
    <t>aeruginosa</t>
  </si>
  <si>
    <t>M</t>
  </si>
  <si>
    <t>Microcystis aeruginosa (single cell)</t>
  </si>
  <si>
    <t>(Kutzing) Lemmermann</t>
  </si>
  <si>
    <t>Microcystis cf. flos-aquae</t>
  </si>
  <si>
    <t>espèce</t>
  </si>
  <si>
    <t>(Wittr.) Kirchn.</t>
  </si>
  <si>
    <t>Microcystis ichthyoblabe</t>
  </si>
  <si>
    <t>ichthyoblabe</t>
  </si>
  <si>
    <t>Microcystis sp.</t>
  </si>
  <si>
    <t>Microcystis wesenbergii</t>
  </si>
  <si>
    <t>wesenbergii</t>
  </si>
  <si>
    <t>J. Komarek</t>
  </si>
  <si>
    <t>Oscillatoria bourrellyi</t>
  </si>
  <si>
    <t>Oscillatoria</t>
  </si>
  <si>
    <t xml:space="preserve">bourrellyi					</t>
  </si>
  <si>
    <t>Lund</t>
  </si>
  <si>
    <t>Oscillatoria cf. janus</t>
  </si>
  <si>
    <t>janus</t>
  </si>
  <si>
    <t>Oscillatoria cf. limnetica</t>
  </si>
  <si>
    <t>limnetica</t>
  </si>
  <si>
    <t>Oscillatoria cf. major</t>
  </si>
  <si>
    <t>major</t>
  </si>
  <si>
    <t>Vaucher ex Forti</t>
  </si>
  <si>
    <t>Oscillatoria cf. tenuis</t>
  </si>
  <si>
    <t>Oscillatoria limosa</t>
  </si>
  <si>
    <t xml:space="preserve">limosa				</t>
  </si>
  <si>
    <t>C. Agardh ex Gomont</t>
  </si>
  <si>
    <t>Oscillatoria sp.</t>
  </si>
  <si>
    <t>Vaucher</t>
  </si>
  <si>
    <t>Pannus spumosus</t>
  </si>
  <si>
    <t>Pannus</t>
  </si>
  <si>
    <t xml:space="preserve">spumosus		</t>
  </si>
  <si>
    <t>Hickel</t>
  </si>
  <si>
    <t>Phormidium amoenum</t>
  </si>
  <si>
    <t>Phormidiaceae</t>
  </si>
  <si>
    <t>Phormidium</t>
  </si>
  <si>
    <t>amoenum</t>
  </si>
  <si>
    <t>Phormidium sp.</t>
  </si>
  <si>
    <t>Kützing ex Gomont</t>
  </si>
  <si>
    <t>Planktolyngbya limnetica</t>
  </si>
  <si>
    <t>Planktolyngbya</t>
  </si>
  <si>
    <t>(Lemmermann) KOMÁRKOVÁ-LEGNEROVÁ &amp; Cronberg</t>
  </si>
  <si>
    <t>Mesure sur Léman 2008</t>
  </si>
  <si>
    <t>Planktolyngbya sp.</t>
  </si>
  <si>
    <t>Planktothrix agardhii</t>
  </si>
  <si>
    <t>Planktothrix</t>
  </si>
  <si>
    <t>agardhii</t>
  </si>
  <si>
    <t>(Gomont) Anagnostidis &amp; Komarek</t>
  </si>
  <si>
    <t>Planktothrix rubescens</t>
  </si>
  <si>
    <t>rubescens</t>
  </si>
  <si>
    <t>(deCANDOLLE ex Gomont) Anagnostidis &amp; Komarek</t>
  </si>
  <si>
    <t>R</t>
  </si>
  <si>
    <t>Planktothrix sp.</t>
  </si>
  <si>
    <t>Pseudanabaena acicularis</t>
  </si>
  <si>
    <t>Pseudanabaena</t>
  </si>
  <si>
    <t>acicularis</t>
  </si>
  <si>
    <t>(Nygaard) Anagnostidis &amp; J. Komarek</t>
  </si>
  <si>
    <t>Pseudanabaena arcuata</t>
  </si>
  <si>
    <t>arcuata</t>
  </si>
  <si>
    <t>(Skuja) Anagnostidis &amp; J. Komarek</t>
  </si>
  <si>
    <t>Pseudanabaena articulata</t>
  </si>
  <si>
    <t>articulata</t>
  </si>
  <si>
    <t>Sjuka</t>
  </si>
  <si>
    <t>Pseudanabaena catenata</t>
  </si>
  <si>
    <t xml:space="preserve">catenata				</t>
  </si>
  <si>
    <t>Lauterborn</t>
  </si>
  <si>
    <t>Pseudanabaena catenata filament 20 µm</t>
  </si>
  <si>
    <t>filament 20 µm</t>
  </si>
  <si>
    <t>R. Lauterborn</t>
  </si>
  <si>
    <t>Pseudanabaena cf. tenuis</t>
  </si>
  <si>
    <t>Koppe</t>
  </si>
  <si>
    <t>Pseudanabaena galeata</t>
  </si>
  <si>
    <t xml:space="preserve">galeata				</t>
  </si>
  <si>
    <t>Boecher</t>
  </si>
  <si>
    <t>Pseudanabaena limnetica</t>
  </si>
  <si>
    <t>(Lemmermann) Komarek</t>
  </si>
  <si>
    <t>Pseudanabaena minuta</t>
  </si>
  <si>
    <t>minuta</t>
  </si>
  <si>
    <t>Pseudanabaena mucicola</t>
  </si>
  <si>
    <t>mucicola</t>
  </si>
  <si>
    <t>(NAUMANN &amp; HUBER-PESTALOZZI) Bourrelly</t>
  </si>
  <si>
    <t>Pseudanabaena sp.</t>
  </si>
  <si>
    <t>Radiocystis aphaniticoïdea</t>
  </si>
  <si>
    <t>aphaniticoïdea</t>
  </si>
  <si>
    <t>Radiocystis geminata</t>
  </si>
  <si>
    <t>geminata</t>
  </si>
  <si>
    <t>Rhabdoderma lineare</t>
  </si>
  <si>
    <t>Rhabdoderma</t>
  </si>
  <si>
    <t>lineare</t>
  </si>
  <si>
    <t>SCHMIDLER &amp; Lauterborn</t>
  </si>
  <si>
    <t>Mesure moyennes selon Komarek &amp; Anagnostidis 1998</t>
  </si>
  <si>
    <t>Rhabdoderma tenuissimum</t>
  </si>
  <si>
    <t>tenuissimum</t>
  </si>
  <si>
    <t>Komarek etKling</t>
  </si>
  <si>
    <t>Romeria chlorina</t>
  </si>
  <si>
    <t>Pseudanabaenales</t>
  </si>
  <si>
    <t>Romeria</t>
  </si>
  <si>
    <t>chlorina</t>
  </si>
  <si>
    <t>Böcher</t>
  </si>
  <si>
    <t>Romeria gracilis</t>
  </si>
  <si>
    <t>gracilis</t>
  </si>
  <si>
    <t>Koczwara</t>
  </si>
  <si>
    <t>Snowella arachnoidea</t>
  </si>
  <si>
    <t>Snowella</t>
  </si>
  <si>
    <t>arachnoidea</t>
  </si>
  <si>
    <t>Komarek et Hindak</t>
  </si>
  <si>
    <t>Snowella lacustris</t>
  </si>
  <si>
    <t>(Chodat) Komarek &amp; HINDÁK</t>
  </si>
  <si>
    <t>Snowella rosea</t>
  </si>
  <si>
    <t>(Snow) Elenkin</t>
  </si>
  <si>
    <t>Snowella septentrionalis</t>
  </si>
  <si>
    <t>septentrionalis</t>
  </si>
  <si>
    <t>Snowella sp.</t>
  </si>
  <si>
    <t>Elenkin</t>
  </si>
  <si>
    <t>Synechococcus ambiguus</t>
  </si>
  <si>
    <t>Synechococcus</t>
  </si>
  <si>
    <t>ambiguus</t>
  </si>
  <si>
    <t>I</t>
  </si>
  <si>
    <t>Synechococcus elongatus</t>
  </si>
  <si>
    <t>elongatus</t>
  </si>
  <si>
    <t>Synechococcus nidulans</t>
  </si>
  <si>
    <t>(Pringsheim) J. Komarek</t>
  </si>
  <si>
    <t>Obs sur Bourget ech 5 - 2008 - FR</t>
  </si>
  <si>
    <t>Synechococcus sp.</t>
  </si>
  <si>
    <t>Synechocystis aquatilis</t>
  </si>
  <si>
    <t>Synechocystis</t>
  </si>
  <si>
    <t>aquatilis</t>
  </si>
  <si>
    <t>SAUVAGEAU</t>
  </si>
  <si>
    <t>Synechocystis parvula</t>
  </si>
  <si>
    <t xml:space="preserve">parvula		</t>
  </si>
  <si>
    <t>Perfiliev</t>
  </si>
  <si>
    <t>Mesures effectuées sur lac Montriond 2007</t>
  </si>
  <si>
    <t>Synechocystis septentrionalis</t>
  </si>
  <si>
    <t>Synechocystis sp. 2 µm</t>
  </si>
  <si>
    <t xml:space="preserve">sp. 2 µm	</t>
  </si>
  <si>
    <t>Sauvageau</t>
  </si>
  <si>
    <t>Mesures effectuées sur le Léman fevrier 2008</t>
  </si>
  <si>
    <t>Synechocystis sp. 4 µm</t>
  </si>
  <si>
    <t xml:space="preserve">sp. 4 µm	</t>
  </si>
  <si>
    <t>Tychonema sp.</t>
  </si>
  <si>
    <t>Tychonema</t>
  </si>
  <si>
    <t>Woronichinia fusca</t>
  </si>
  <si>
    <t>Woronichinia</t>
  </si>
  <si>
    <t>fusca</t>
  </si>
  <si>
    <t>(Skuja) J. Komarek &amp; Hindák</t>
  </si>
  <si>
    <t>Woronichinia naegeliana colony</t>
  </si>
  <si>
    <t>naegeliana</t>
  </si>
  <si>
    <t>(UNGER) ELENKIN</t>
  </si>
  <si>
    <t>Woronichinia naegeliana f. cellulaire</t>
  </si>
  <si>
    <t>unicellulaire</t>
  </si>
  <si>
    <t>Woronichinia ruzickae</t>
  </si>
  <si>
    <t>ruzickae</t>
  </si>
  <si>
    <t>Woronichinia sp.</t>
  </si>
  <si>
    <t>Amphidinium sp.</t>
  </si>
  <si>
    <t>Eukaryota</t>
  </si>
  <si>
    <t>Protozoa</t>
  </si>
  <si>
    <t>Biciliata</t>
  </si>
  <si>
    <t xml:space="preserve">Myzozoa </t>
  </si>
  <si>
    <t>Dinophyceae</t>
  </si>
  <si>
    <t xml:space="preserve">Gymnodiniales </t>
  </si>
  <si>
    <t xml:space="preserve">Gymnodiniaceae </t>
  </si>
  <si>
    <t>Amphidinium</t>
  </si>
  <si>
    <t>Claparède &amp; J. Lachmann</t>
  </si>
  <si>
    <t>Dinophycées</t>
  </si>
  <si>
    <t>V</t>
  </si>
  <si>
    <t>Ceratium hirundinella</t>
  </si>
  <si>
    <t xml:space="preserve">Peridiniales </t>
  </si>
  <si>
    <t xml:space="preserve">Ceratiaceae </t>
  </si>
  <si>
    <t>Ceratium</t>
  </si>
  <si>
    <t>hirundinella</t>
  </si>
  <si>
    <t>(O.F.MÜLLER) DUJARDIN</t>
  </si>
  <si>
    <t>cf. Katodinium fongiforme</t>
  </si>
  <si>
    <t>Katodinium</t>
  </si>
  <si>
    <t>fongiforme</t>
  </si>
  <si>
    <t>(Anissimova) Fott</t>
  </si>
  <si>
    <t>Cyst of Ceratium hirundinella</t>
  </si>
  <si>
    <t>Cyst</t>
  </si>
  <si>
    <t>Diplopsalis acuta</t>
  </si>
  <si>
    <t xml:space="preserve">Protoperidiniaceae </t>
  </si>
  <si>
    <t>Diplopsalis</t>
  </si>
  <si>
    <t>acuta</t>
  </si>
  <si>
    <t>(Apstein) Entz.</t>
  </si>
  <si>
    <t>Glenodinium sp.</t>
  </si>
  <si>
    <t xml:space="preserve">Peridiniaceae </t>
  </si>
  <si>
    <t>Glenodinium</t>
  </si>
  <si>
    <t>Ehrenberg</t>
  </si>
  <si>
    <t>Gonyaulax apiculata</t>
  </si>
  <si>
    <t>Peridiniales</t>
  </si>
  <si>
    <t xml:space="preserve">Gonyaulacaceae </t>
  </si>
  <si>
    <t xml:space="preserve">Gonyaulax </t>
  </si>
  <si>
    <t>apiculata</t>
  </si>
  <si>
    <t>(Pénard) Entz</t>
  </si>
  <si>
    <t>Gymnodinium eurytopum</t>
  </si>
  <si>
    <t>Gymnodinium</t>
  </si>
  <si>
    <t>eurytopum</t>
  </si>
  <si>
    <t>Gymnodinium excavatum</t>
  </si>
  <si>
    <t>excavatum</t>
  </si>
  <si>
    <t>Nygaard</t>
  </si>
  <si>
    <t>Gymnodinium helveticum</t>
  </si>
  <si>
    <t>helveticum</t>
  </si>
  <si>
    <t>PENARD</t>
  </si>
  <si>
    <t>Gymnodinium lantzschii</t>
  </si>
  <si>
    <t>lantzschii</t>
  </si>
  <si>
    <t>UTERMOEHL</t>
  </si>
  <si>
    <t>Y</t>
  </si>
  <si>
    <t>Gymnodinium lantzschii f. major</t>
  </si>
  <si>
    <t>Utermöhl</t>
  </si>
  <si>
    <t>Mesures effectuées sur Annecy GL le 9/5/7, pas de correspondance taxo, forme crée pour la circonstance</t>
  </si>
  <si>
    <t>Gymnodinium limitatum</t>
  </si>
  <si>
    <t>limitatum</t>
  </si>
  <si>
    <t>Gymnodinium limitatum cyst</t>
  </si>
  <si>
    <t>cyst</t>
  </si>
  <si>
    <t>Gymnodinium mitratum</t>
  </si>
  <si>
    <t>mitratum</t>
  </si>
  <si>
    <t>Schiller</t>
  </si>
  <si>
    <t>Gymnodinium oligoplacatum</t>
  </si>
  <si>
    <t>oligoplacatum</t>
  </si>
  <si>
    <t>Mesures moyennes selon Starmach 1974</t>
  </si>
  <si>
    <t>Gymnodinium pallidum</t>
  </si>
  <si>
    <t>pallidum</t>
  </si>
  <si>
    <t>Gymnodinium palustre</t>
  </si>
  <si>
    <t>palustre</t>
  </si>
  <si>
    <t>Schilling</t>
  </si>
  <si>
    <t>Gymnodinium purpureum</t>
  </si>
  <si>
    <t>purpureum</t>
  </si>
  <si>
    <t>Gymnodinium simile</t>
  </si>
  <si>
    <t>simile</t>
  </si>
  <si>
    <t>Mesures effectuées sur le Léman Mars 2008</t>
  </si>
  <si>
    <t>Gymnodinium sp.</t>
  </si>
  <si>
    <t>F. Stein</t>
  </si>
  <si>
    <t>Gymnodinium sp. 116</t>
  </si>
  <si>
    <t>Stein</t>
  </si>
  <si>
    <t>Gymnodinium sp. 240</t>
  </si>
  <si>
    <t>sp. 240</t>
  </si>
  <si>
    <t>Gymnodinium umberrinum</t>
  </si>
  <si>
    <t>umberrinum</t>
  </si>
  <si>
    <t>(G.J. Allman) Kofoid &amp; Swezy</t>
  </si>
  <si>
    <t>Gymnodinium sp 20/23</t>
  </si>
  <si>
    <t>sp 20/23</t>
  </si>
  <si>
    <t>Averages from Jean Claude Druart observations</t>
  </si>
  <si>
    <t>Gymnodinium sp 60/55</t>
  </si>
  <si>
    <t>sp 60/55</t>
  </si>
  <si>
    <t>Katodinium fungiforme</t>
  </si>
  <si>
    <t>fungiforme</t>
  </si>
  <si>
    <t>(Anissimova) A.R. Loeblich III</t>
  </si>
  <si>
    <t>Katodinium hiemale</t>
  </si>
  <si>
    <t>hiemale</t>
  </si>
  <si>
    <t>(Schiller) Loeblich Iii</t>
  </si>
  <si>
    <t>Katodinium simile</t>
  </si>
  <si>
    <t>Christen</t>
  </si>
  <si>
    <t>Dinosphaera palustris</t>
  </si>
  <si>
    <t>Dinosphaeraceae</t>
  </si>
  <si>
    <t>Dinosphaera</t>
  </si>
  <si>
    <t>palustris</t>
  </si>
  <si>
    <t>(Lemmermann) Kofoid &amp; Michener</t>
  </si>
  <si>
    <t>Cyst of péridinien</t>
  </si>
  <si>
    <t>Peridiniopsis quadridens</t>
  </si>
  <si>
    <t>Peridiniopsis</t>
  </si>
  <si>
    <t>quadridens</t>
  </si>
  <si>
    <t>(Stein) Bourrelly</t>
  </si>
  <si>
    <t>Peridiniopsis cunningtonii</t>
  </si>
  <si>
    <t>cunningtonii</t>
  </si>
  <si>
    <t>Peridiniopsis cunningtonii tab. contactum</t>
  </si>
  <si>
    <t>tab.</t>
  </si>
  <si>
    <t>cantactum</t>
  </si>
  <si>
    <t>Peridiniopsis elpatiewski</t>
  </si>
  <si>
    <t>elpatiewski</t>
  </si>
  <si>
    <t>(Ostenfeld) Bourrelly</t>
  </si>
  <si>
    <t>Peridiniopsis penardiforme</t>
  </si>
  <si>
    <t>penardiforme</t>
  </si>
  <si>
    <t>(LINDEMANN) Bourrelly</t>
  </si>
  <si>
    <t>Peridiniopsis umbonatum</t>
  </si>
  <si>
    <t>umbonatum</t>
  </si>
  <si>
    <t>Peridiniopsis polonicum</t>
  </si>
  <si>
    <t>polonicum</t>
  </si>
  <si>
    <t>(Woloszynska) Bourrelly</t>
  </si>
  <si>
    <t>Peridinium aciculiferum</t>
  </si>
  <si>
    <t>aciculiferum</t>
  </si>
  <si>
    <t>Peridinium cinctum</t>
  </si>
  <si>
    <t>cinctum</t>
  </si>
  <si>
    <t>(O.F.MÜLLER) Ehrenberg</t>
  </si>
  <si>
    <t>Peridinium goslaviense</t>
  </si>
  <si>
    <t>goslaviense</t>
  </si>
  <si>
    <t>Woloszynska</t>
  </si>
  <si>
    <t>Peridinium inconspicuum</t>
  </si>
  <si>
    <t>inconspicuum</t>
  </si>
  <si>
    <t>Peridinium inconspicuum var. remotum</t>
  </si>
  <si>
    <t>remotum</t>
  </si>
  <si>
    <t>(Lindem.) Lef.</t>
  </si>
  <si>
    <t>moyenne lac du Bréven - 2005 - F. Rimet</t>
  </si>
  <si>
    <t>Peridinium inconspicuum var. contactum</t>
  </si>
  <si>
    <t>contactum</t>
  </si>
  <si>
    <t>Peridinium sp.</t>
  </si>
  <si>
    <t>Peridinium sp. (petit)</t>
  </si>
  <si>
    <t>petit</t>
  </si>
  <si>
    <t>Peridinium umbonatum</t>
  </si>
  <si>
    <t>Peridinium umbonatum var. conjectum f. spiniferum</t>
  </si>
  <si>
    <t>conjectum f. spiniferum</t>
  </si>
  <si>
    <t>Peridinium volzii</t>
  </si>
  <si>
    <t>volzii</t>
  </si>
  <si>
    <t>Peridinium willei</t>
  </si>
  <si>
    <t>willei</t>
  </si>
  <si>
    <t>HUITFELDT-KAAS</t>
  </si>
  <si>
    <t>Woloszynskia coronata</t>
  </si>
  <si>
    <t xml:space="preserve">Lophodiniales </t>
  </si>
  <si>
    <t xml:space="preserve">Lophodiniaceae </t>
  </si>
  <si>
    <t>Woloszynskia</t>
  </si>
  <si>
    <t>coronata</t>
  </si>
  <si>
    <t>(Woloszynska) R.H. Thompson</t>
  </si>
  <si>
    <t>Woloszynskia pseudopalustris</t>
  </si>
  <si>
    <t>pseudopalustris</t>
  </si>
  <si>
    <t>(Woloszynska) Kisselev</t>
  </si>
  <si>
    <t>Chroomonas sp.</t>
  </si>
  <si>
    <t>Chromista</t>
  </si>
  <si>
    <t>Cryptista</t>
  </si>
  <si>
    <t>Cryptophyceae</t>
  </si>
  <si>
    <t xml:space="preserve">Pyrenomonadales </t>
  </si>
  <si>
    <t>Chroomonadaceae</t>
  </si>
  <si>
    <t>Chroomonas</t>
  </si>
  <si>
    <t>Hansgirg</t>
  </si>
  <si>
    <t>Cryptophycées</t>
  </si>
  <si>
    <t>X2</t>
  </si>
  <si>
    <t>Chroomonas cf coerulea</t>
  </si>
  <si>
    <t>coerulea</t>
  </si>
  <si>
    <t>(Geitler) Skuja</t>
  </si>
  <si>
    <t>Cryptomonas cf. brevis</t>
  </si>
  <si>
    <t xml:space="preserve">Cryptomonadales </t>
  </si>
  <si>
    <t>Cryptomonadaceae</t>
  </si>
  <si>
    <t>brevis</t>
  </si>
  <si>
    <t>J.Schiller</t>
  </si>
  <si>
    <t>Cryptomonas cf. lucens</t>
  </si>
  <si>
    <t>lucens</t>
  </si>
  <si>
    <t>Cryptomonas cf. pyrenoïdifera</t>
  </si>
  <si>
    <t>pyrenoïdifera</t>
  </si>
  <si>
    <t>Cryptomonas marsonii</t>
  </si>
  <si>
    <t>marsonii</t>
  </si>
  <si>
    <t>Cryptomonas ovata</t>
  </si>
  <si>
    <t>ovata</t>
  </si>
  <si>
    <t>calcul avec tailles moyennes d'après Starmach 1974</t>
  </si>
  <si>
    <t>Cryptomonas rostratiformis</t>
  </si>
  <si>
    <t>rostratiformis</t>
  </si>
  <si>
    <t>SKUJA</t>
  </si>
  <si>
    <t>Cryptomonas rostrata</t>
  </si>
  <si>
    <t>rostrata</t>
  </si>
  <si>
    <t>Troitzkaja emend. Kiselev</t>
  </si>
  <si>
    <t>Cryptomonas sp.</t>
  </si>
  <si>
    <t>Rhodomonas minuta</t>
  </si>
  <si>
    <t xml:space="preserve">Pyrenomonadaceae </t>
  </si>
  <si>
    <t>Rhodomonas minuta var. nannoplanctica</t>
  </si>
  <si>
    <t>nannoplanctica</t>
  </si>
  <si>
    <t>H. Skuja</t>
  </si>
  <si>
    <t>Plagioselmis nannoplanctica</t>
  </si>
  <si>
    <t>Plagioselmis</t>
  </si>
  <si>
    <t>(H. Skuja) G. Novarino, I.A.N. Lucas &amp; S. Morrall</t>
  </si>
  <si>
    <t>Plagioselmis lacustris</t>
  </si>
  <si>
    <t xml:space="preserve">lacustris		</t>
  </si>
  <si>
    <t>(Pascher &amp; Ruttner) P. Javornick</t>
  </si>
  <si>
    <t>Euglena acus</t>
  </si>
  <si>
    <t>Euglenozoa</t>
  </si>
  <si>
    <t xml:space="preserve">Euglenophyceae </t>
  </si>
  <si>
    <t>Euglenales</t>
  </si>
  <si>
    <t xml:space="preserve">Euglenaceae </t>
  </si>
  <si>
    <t>Euglena</t>
  </si>
  <si>
    <t>acus</t>
  </si>
  <si>
    <t>Euglenophycées</t>
  </si>
  <si>
    <t>doco</t>
  </si>
  <si>
    <t>calcul avec tailles moyennes d'après Starmach 1983</t>
  </si>
  <si>
    <t>W1</t>
  </si>
  <si>
    <t>Euglena gaumei</t>
  </si>
  <si>
    <t>gaumei</t>
  </si>
  <si>
    <t>Allorge &amp; Lefèvre</t>
  </si>
  <si>
    <t>Euglena korsikovii</t>
  </si>
  <si>
    <t>korsikovii</t>
  </si>
  <si>
    <t>Gojdics</t>
  </si>
  <si>
    <t>Euglena oxyuris</t>
  </si>
  <si>
    <t>oxyuris</t>
  </si>
  <si>
    <t>Schmarda</t>
  </si>
  <si>
    <t>Euglena proxima</t>
  </si>
  <si>
    <t>proxima</t>
  </si>
  <si>
    <t>P.A. Dangeard</t>
  </si>
  <si>
    <t xml:space="preserve">Euglena rubra </t>
  </si>
  <si>
    <t>rubra</t>
  </si>
  <si>
    <t>A.D.Hardy</t>
  </si>
  <si>
    <t>Euglena sp.</t>
  </si>
  <si>
    <t>Euglena tripteris</t>
  </si>
  <si>
    <t>tripteris</t>
  </si>
  <si>
    <t>(Duj.) Klebs</t>
  </si>
  <si>
    <t>Euglena viridis</t>
  </si>
  <si>
    <t>viridis</t>
  </si>
  <si>
    <t>(O.F. Müller) Ehrenberg</t>
  </si>
  <si>
    <t>Lepocinclis ovum</t>
  </si>
  <si>
    <t>Lepocinclis</t>
  </si>
  <si>
    <t>ovum</t>
  </si>
  <si>
    <t>(Ehrenberg) Lemmermann</t>
  </si>
  <si>
    <t>Phacus acuminatum</t>
  </si>
  <si>
    <t>Phacus</t>
  </si>
  <si>
    <t>acuminatum</t>
  </si>
  <si>
    <t>Stokes</t>
  </si>
  <si>
    <t>Phacus cf. pusillus</t>
  </si>
  <si>
    <t>pusillus</t>
  </si>
  <si>
    <t>Phacus granulatus</t>
  </si>
  <si>
    <t>granulatus</t>
  </si>
  <si>
    <t>Roll</t>
  </si>
  <si>
    <t>Phacus longicauda</t>
  </si>
  <si>
    <t>longicauda</t>
  </si>
  <si>
    <t>(Ehrenberg) DUJARDIN</t>
  </si>
  <si>
    <t>Phacus monilatus</t>
  </si>
  <si>
    <t>monilatus</t>
  </si>
  <si>
    <t>Phacus orbicularis</t>
  </si>
  <si>
    <t>orbicularis</t>
  </si>
  <si>
    <t>Hubn.</t>
  </si>
  <si>
    <t>Phacus pleuronectes var. pleuronectes</t>
  </si>
  <si>
    <t>pleuronectes</t>
  </si>
  <si>
    <t>(O.F.Müller) Nitzsch ex Dujardin</t>
  </si>
  <si>
    <t>Phacus sp.</t>
  </si>
  <si>
    <t>Dujardin</t>
  </si>
  <si>
    <t>Phacus tortus</t>
  </si>
  <si>
    <t>tortus</t>
  </si>
  <si>
    <t>(Lemmermann) Skv.</t>
  </si>
  <si>
    <t>Strombomonas sp.</t>
  </si>
  <si>
    <t>Strombomonas</t>
  </si>
  <si>
    <t>Defl.</t>
  </si>
  <si>
    <t>W2</t>
  </si>
  <si>
    <t>Trachelomonas abrupta</t>
  </si>
  <si>
    <t>Trachelomonas</t>
  </si>
  <si>
    <t>abrupta</t>
  </si>
  <si>
    <t>Svirenko</t>
  </si>
  <si>
    <t>Trachelomonas crebea</t>
  </si>
  <si>
    <t>crebea</t>
  </si>
  <si>
    <t>Kellicott</t>
  </si>
  <si>
    <t>Trachelomonas elegans</t>
  </si>
  <si>
    <t>Conrad</t>
  </si>
  <si>
    <t>Trachelomonas globularis</t>
  </si>
  <si>
    <t>globularis</t>
  </si>
  <si>
    <t>(Awerinzew) Lemmermann</t>
  </si>
  <si>
    <t>Trachelomonas hispida</t>
  </si>
  <si>
    <t>hispida</t>
  </si>
  <si>
    <t>(Perty) Stein</t>
  </si>
  <si>
    <t>Trachelomonas sp.</t>
  </si>
  <si>
    <t>Trachelomonas volvocina</t>
  </si>
  <si>
    <t>volvocina</t>
  </si>
  <si>
    <t>(Ehrenberg) Ehrenberg</t>
  </si>
  <si>
    <t>Trachelomonas volvocina var. subglobosa</t>
  </si>
  <si>
    <t>subglobosa</t>
  </si>
  <si>
    <t>Aulomonas purdyi</t>
  </si>
  <si>
    <t>Sarcomastigota</t>
  </si>
  <si>
    <t>Choanozoa</t>
  </si>
  <si>
    <t>Choanoflagellatea</t>
  </si>
  <si>
    <t>Choanoflagellida</t>
  </si>
  <si>
    <t>Salpingoecidae</t>
  </si>
  <si>
    <t>Aulomonas</t>
  </si>
  <si>
    <t>purdyi</t>
  </si>
  <si>
    <t>Lackey</t>
  </si>
  <si>
    <t>Chrysophycées</t>
  </si>
  <si>
    <t>II</t>
  </si>
  <si>
    <t>Bicoeca campanulata</t>
  </si>
  <si>
    <t>Chromobiota</t>
  </si>
  <si>
    <t>Opalozoa</t>
  </si>
  <si>
    <t>Bicosoecophyceae</t>
  </si>
  <si>
    <t>Bicosoecales</t>
  </si>
  <si>
    <t>Bicosoecaceae</t>
  </si>
  <si>
    <t>Bicoeca</t>
  </si>
  <si>
    <t>campanulata</t>
  </si>
  <si>
    <t>(Lackey) Bourrelly</t>
  </si>
  <si>
    <t>Bicoeca cf paropsis</t>
  </si>
  <si>
    <t>paropsis</t>
  </si>
  <si>
    <t>Bicoeca cf. campanulata petit morphotype</t>
  </si>
  <si>
    <t>petit morphotype</t>
  </si>
  <si>
    <t>cone</t>
  </si>
  <si>
    <t>Annecy GL - cloche 0-18 - 17/01/2007</t>
  </si>
  <si>
    <t>Bicoeca cylindrica</t>
  </si>
  <si>
    <t>cylindrica</t>
  </si>
  <si>
    <t>(Lack.) Bourrelly</t>
  </si>
  <si>
    <t>Bicoeca ovata</t>
  </si>
  <si>
    <t>Bicoeca planctonica</t>
  </si>
  <si>
    <t>Kisselev</t>
  </si>
  <si>
    <t>Bicoeca sp.</t>
  </si>
  <si>
    <t>H.J. Clark</t>
  </si>
  <si>
    <t>Bicoeca stellata</t>
  </si>
  <si>
    <t>stellata</t>
  </si>
  <si>
    <t>Bourrelly</t>
  </si>
  <si>
    <t>Bitrichia chodatii</t>
  </si>
  <si>
    <t>Ochrophyta</t>
  </si>
  <si>
    <t>Chrysophyceae</t>
  </si>
  <si>
    <t xml:space="preserve">Hibberdiales </t>
  </si>
  <si>
    <t xml:space="preserve">Stylococcaceae </t>
  </si>
  <si>
    <t>Bitrichia</t>
  </si>
  <si>
    <t>chodatii</t>
  </si>
  <si>
    <t>(REVERDIN) Chodat</t>
  </si>
  <si>
    <t>Bitrichia danubiensis</t>
  </si>
  <si>
    <t>danubiensis</t>
  </si>
  <si>
    <t>JURIS</t>
  </si>
  <si>
    <t>Bitrichia ollula</t>
  </si>
  <si>
    <t>allula</t>
  </si>
  <si>
    <t>(Fott) Fott</t>
  </si>
  <si>
    <t>Calycomonas pascheri</t>
  </si>
  <si>
    <t>Chromulinales</t>
  </si>
  <si>
    <t>Chrysococcaceae</t>
  </si>
  <si>
    <t>Calycomonas</t>
  </si>
  <si>
    <t>pascheri</t>
  </si>
  <si>
    <t>Lohmann</t>
  </si>
  <si>
    <t>Chromulina cf erkensis</t>
  </si>
  <si>
    <t>Chromulinaceae</t>
  </si>
  <si>
    <t>Chromulina</t>
  </si>
  <si>
    <t>erkensis</t>
  </si>
  <si>
    <t>L.Cienkowsky</t>
  </si>
  <si>
    <t>X3</t>
  </si>
  <si>
    <t>Chrysastrella furcata</t>
  </si>
  <si>
    <t>Chrysostomataceae</t>
  </si>
  <si>
    <t>Chrysastrella</t>
  </si>
  <si>
    <t>furcata</t>
  </si>
  <si>
    <t>(Dolgoff) Deflandre</t>
  </si>
  <si>
    <t>Chrysococcus sp.</t>
  </si>
  <si>
    <t xml:space="preserve">Dinobryaceae </t>
  </si>
  <si>
    <t>Chrysococcus</t>
  </si>
  <si>
    <t>G.A. Klebs</t>
  </si>
  <si>
    <t>Chrysolykos angulatum</t>
  </si>
  <si>
    <t>Chrysolykos</t>
  </si>
  <si>
    <t>angulatum</t>
  </si>
  <si>
    <t>(Willen) Nauwerck</t>
  </si>
  <si>
    <t>Chrysolykos gracilis</t>
  </si>
  <si>
    <t>Chrysolykos planctonicus</t>
  </si>
  <si>
    <t>planctonicus</t>
  </si>
  <si>
    <t>B. Marck</t>
  </si>
  <si>
    <t>Chrysolykos skujai</t>
  </si>
  <si>
    <t>skujai</t>
  </si>
  <si>
    <t>(Nauwerck) Bourrelly</t>
  </si>
  <si>
    <t>Moyenne sur Annecy 2007</t>
  </si>
  <si>
    <t>Cladomonas fruticulosa</t>
  </si>
  <si>
    <t>Cladomonas</t>
  </si>
  <si>
    <t>fruticulosa</t>
  </si>
  <si>
    <t>Codosiga botrytis</t>
  </si>
  <si>
    <t>Codonosigidae</t>
  </si>
  <si>
    <t>Codosiga</t>
  </si>
  <si>
    <t>botrytis</t>
  </si>
  <si>
    <t>(Ehrenberg) Kent</t>
  </si>
  <si>
    <t>Codosiga sp.</t>
  </si>
  <si>
    <t>James-Clark</t>
  </si>
  <si>
    <t>Cyst 1 of Chrysophyceae</t>
  </si>
  <si>
    <t>Chrysophyceaes</t>
  </si>
  <si>
    <t>Cyst 2 of Chrysophyceae</t>
  </si>
  <si>
    <t>Desmarella brachycalyx</t>
  </si>
  <si>
    <t>Desmarella</t>
  </si>
  <si>
    <t>brachycalyx</t>
  </si>
  <si>
    <t>Dinobryon anneciense</t>
  </si>
  <si>
    <t>Dinobryon</t>
  </si>
  <si>
    <t>anneciense</t>
  </si>
  <si>
    <t>A remplir</t>
  </si>
  <si>
    <t>E</t>
  </si>
  <si>
    <t>Dinobryon bavaricum</t>
  </si>
  <si>
    <t>bavaricum</t>
  </si>
  <si>
    <t>IMHOF</t>
  </si>
  <si>
    <t>Dinobryon bavaricum plein</t>
  </si>
  <si>
    <t>plein</t>
  </si>
  <si>
    <t>Imhof</t>
  </si>
  <si>
    <t>Dinobryon bavaricum vide</t>
  </si>
  <si>
    <t>vide</t>
  </si>
  <si>
    <t>Dinobryon calyciforme plein</t>
  </si>
  <si>
    <t>caliciforme</t>
  </si>
  <si>
    <t>Bachman</t>
  </si>
  <si>
    <t>moyenne starmach</t>
  </si>
  <si>
    <t xml:space="preserve">Dinobryon cf stokesii var. neustonicum </t>
  </si>
  <si>
    <t>stokesii</t>
  </si>
  <si>
    <t>neustonicum</t>
  </si>
  <si>
    <t>O.E.Imhof</t>
  </si>
  <si>
    <t>Dinobryon cylindricum</t>
  </si>
  <si>
    <t>cylindricum</t>
  </si>
  <si>
    <t>Dinobryon cylindricum plein</t>
  </si>
  <si>
    <t>Dinobryon cylindricum vide</t>
  </si>
  <si>
    <t>Dinobryon cylindricum var. alpinum plein</t>
  </si>
  <si>
    <t>alpinum plein</t>
  </si>
  <si>
    <t>(Imhof) Bachmann</t>
  </si>
  <si>
    <t>Dinobryon cylindricum var. alpinum vide</t>
  </si>
  <si>
    <t>alpinum vide</t>
  </si>
  <si>
    <t>Dinobryon divergens</t>
  </si>
  <si>
    <t>divergens</t>
  </si>
  <si>
    <t>Dinobryon divergens plein</t>
  </si>
  <si>
    <t>Dinobryon divergens vide</t>
  </si>
  <si>
    <t>Dinobryon elegantissimum</t>
  </si>
  <si>
    <t>elegantissimum</t>
  </si>
  <si>
    <t>(Kors.) Bourrelly</t>
  </si>
  <si>
    <t>Dinobryon elegantissimum plein</t>
  </si>
  <si>
    <t>(Korshikov) Bourr.</t>
  </si>
  <si>
    <t>Dinobryon elegantissimum vide</t>
  </si>
  <si>
    <t>Dinobryon eurystoma</t>
  </si>
  <si>
    <t>eurystoma</t>
  </si>
  <si>
    <t>(Stokes) Lemmermann</t>
  </si>
  <si>
    <t>Dinobryon pediforme</t>
  </si>
  <si>
    <t>pediforme</t>
  </si>
  <si>
    <t>(Lemmermann) Steinecke</t>
  </si>
  <si>
    <t>Dinobryon petiolatum</t>
  </si>
  <si>
    <t>petiolatum</t>
  </si>
  <si>
    <t>T. Willén</t>
  </si>
  <si>
    <t>Dinobryon sertularia</t>
  </si>
  <si>
    <t>sertularia</t>
  </si>
  <si>
    <t>Dinobryon sertularia plein</t>
  </si>
  <si>
    <t>Dinobryon sertularia vide</t>
  </si>
  <si>
    <t>Dinobryon sertularia var. protractum</t>
  </si>
  <si>
    <t>protractum</t>
  </si>
  <si>
    <t>Dinobryon sertularia var. protuberans</t>
  </si>
  <si>
    <t>protuberans</t>
  </si>
  <si>
    <t>(Lemmermann) H. Krieg.</t>
  </si>
  <si>
    <t>Dinobryon sociale var. americanum</t>
  </si>
  <si>
    <t>sociale</t>
  </si>
  <si>
    <t>americanum</t>
  </si>
  <si>
    <t>(Brunnthaler) Bachm.</t>
  </si>
  <si>
    <t>Dinobryon sociale var. americanum plein</t>
  </si>
  <si>
    <t>americanum plein</t>
  </si>
  <si>
    <t>(Brunnthaler) Bachmann</t>
  </si>
  <si>
    <t>Dinobryon sociale var. americanum vide</t>
  </si>
  <si>
    <t>americanum vide</t>
  </si>
  <si>
    <t>Dinobryon sociale var. stipitatum</t>
  </si>
  <si>
    <t>stipitatum</t>
  </si>
  <si>
    <t>(F. Stein) Lemmermann</t>
  </si>
  <si>
    <t>Dinobryon sociale var. stipitatum plein</t>
  </si>
  <si>
    <t>stipitatum plein</t>
  </si>
  <si>
    <t>(Stein) Lemmermann</t>
  </si>
  <si>
    <t>Dinobryon sociale var. stipitatum vide</t>
  </si>
  <si>
    <t>stipitatum vide</t>
  </si>
  <si>
    <t>Cell of Dinobryon</t>
  </si>
  <si>
    <t>cell without lorica</t>
  </si>
  <si>
    <t>Moyenne Léman 2010</t>
  </si>
  <si>
    <t>Epipyxis condensata</t>
  </si>
  <si>
    <t>Epipyxis</t>
  </si>
  <si>
    <t>condensata</t>
  </si>
  <si>
    <t>(Mack) D.K.Hilliard &amp; Asmund</t>
  </si>
  <si>
    <t>Epipyxis cylindrica</t>
  </si>
  <si>
    <t>(L. Reverdin) D.K. Hilliard &amp; B.C. Asmund</t>
  </si>
  <si>
    <t>Epipyxis gracilis</t>
  </si>
  <si>
    <t>D. K. Hilliard &amp; Asmund</t>
  </si>
  <si>
    <t>Epipyxis planctonica</t>
  </si>
  <si>
    <t>D.K. Hilliard &amp; B.C. Asmund</t>
  </si>
  <si>
    <t>Epipyxis polymorpha</t>
  </si>
  <si>
    <t>polymorpha</t>
  </si>
  <si>
    <t>(J.W.G.Lund) D.K.Hilliard &amp; Asmund</t>
  </si>
  <si>
    <t>Epipyxis tabellariae</t>
  </si>
  <si>
    <t>tabellariae</t>
  </si>
  <si>
    <t>(Lemmermann) G.M. Smith</t>
  </si>
  <si>
    <t>Epipyxis sp.</t>
  </si>
  <si>
    <t>C.C. Ehrenberg</t>
  </si>
  <si>
    <t>Mesures Bourget 14 2009</t>
  </si>
  <si>
    <t>Chrysococcus minutus</t>
  </si>
  <si>
    <t>(F.E.Fritsch) Nygaard</t>
  </si>
  <si>
    <t>Erkenia subaequiciliata</t>
  </si>
  <si>
    <t>Haptophyta</t>
  </si>
  <si>
    <t>Prymnesiophyceae</t>
  </si>
  <si>
    <t>Prymnesiales</t>
  </si>
  <si>
    <t>Prymnesiaceae</t>
  </si>
  <si>
    <t>Erkenia</t>
  </si>
  <si>
    <t>subaequiciliata</t>
  </si>
  <si>
    <t>Kephyrion cordata</t>
  </si>
  <si>
    <t>Kephyrion</t>
  </si>
  <si>
    <t>cordata</t>
  </si>
  <si>
    <t>(Hilliard) Starmach</t>
  </si>
  <si>
    <t>Kephyrion moniliferum</t>
  </si>
  <si>
    <t>moniliferum</t>
  </si>
  <si>
    <t>(Schmid) Bourrelly</t>
  </si>
  <si>
    <t>Kephyrion petasatum</t>
  </si>
  <si>
    <t>petasatum</t>
  </si>
  <si>
    <t>Kephyrion rubri-claustri</t>
  </si>
  <si>
    <t>rubri-claustri</t>
  </si>
  <si>
    <t>Kephyrion skujae</t>
  </si>
  <si>
    <t>Ettl</t>
  </si>
  <si>
    <t>Kephyrion sp.</t>
  </si>
  <si>
    <t>Pascher</t>
  </si>
  <si>
    <t>Kephyrion sp1</t>
  </si>
  <si>
    <t>sp1</t>
  </si>
  <si>
    <t>Mesures sur Annecy 2007</t>
  </si>
  <si>
    <t>Kephyrion sp2 plein</t>
  </si>
  <si>
    <t>sp2 plein</t>
  </si>
  <si>
    <t>Kephyrion sp2 vide</t>
  </si>
  <si>
    <t>sp2 vide</t>
  </si>
  <si>
    <t>Kephyrion sp3</t>
  </si>
  <si>
    <t>sp3</t>
  </si>
  <si>
    <t>Mesures sur Annecy 2008</t>
  </si>
  <si>
    <t>Kephyrion spirale</t>
  </si>
  <si>
    <t>spirale</t>
  </si>
  <si>
    <t>(LACKEY) W.CONRAD</t>
  </si>
  <si>
    <t>Kephyrion littorale</t>
  </si>
  <si>
    <t>littorale</t>
  </si>
  <si>
    <t>lund</t>
  </si>
  <si>
    <t>Cyst Chrysophycee N°1</t>
  </si>
  <si>
    <t>n°1</t>
  </si>
  <si>
    <t>Cyst of Chrysophyceaes N°2 (diam. 17,5µm)</t>
  </si>
  <si>
    <t>n°2 (diam. 17,5µm)</t>
  </si>
  <si>
    <t>Cysts of Chrysophyceae (14µ)</t>
  </si>
  <si>
    <t>14 µm</t>
  </si>
  <si>
    <t>Cysts of Chrysophyceae (30µ)</t>
  </si>
  <si>
    <t>30 µm</t>
  </si>
  <si>
    <t>Cyst of Dinobryon</t>
  </si>
  <si>
    <t>Mallomonas acaroides</t>
  </si>
  <si>
    <t>Synurophyceae</t>
  </si>
  <si>
    <t>Synurales</t>
  </si>
  <si>
    <t xml:space="preserve">Mallomonadaceae </t>
  </si>
  <si>
    <t>Mallomonas</t>
  </si>
  <si>
    <t>acaroides</t>
  </si>
  <si>
    <t>PERTY em. IVANOV</t>
  </si>
  <si>
    <t>Mallomonas acrokomos</t>
  </si>
  <si>
    <t>acrokomos</t>
  </si>
  <si>
    <t>Ruttner</t>
  </si>
  <si>
    <t>Mallomonas caudata</t>
  </si>
  <si>
    <t>caudata</t>
  </si>
  <si>
    <t>IVANOV em. WILLI KRIEGER</t>
  </si>
  <si>
    <t>Mallomonas cf. minima</t>
  </si>
  <si>
    <t>L.Rehfous</t>
  </si>
  <si>
    <t>Mallomonas cf. minuta</t>
  </si>
  <si>
    <t>Mallomonas elongata</t>
  </si>
  <si>
    <t>elongata</t>
  </si>
  <si>
    <t>REVERDIN</t>
  </si>
  <si>
    <t>Mallomonas cf. genevensis</t>
  </si>
  <si>
    <t>genevensis</t>
  </si>
  <si>
    <t>Mesure Aiguebelette 20-12-2011</t>
  </si>
  <si>
    <t>Mallomonas globasa</t>
  </si>
  <si>
    <t>globasa</t>
  </si>
  <si>
    <t>Mallomonas lefevriana</t>
  </si>
  <si>
    <t>lefevriana</t>
  </si>
  <si>
    <t>Mallomonas sp.</t>
  </si>
  <si>
    <t>Perty</t>
  </si>
  <si>
    <t>Mallomonas sp. 1</t>
  </si>
  <si>
    <t>Mesure sur Léman 2009 - n 14</t>
  </si>
  <si>
    <t>Mallomonas sp. 2</t>
  </si>
  <si>
    <t>Mesure Bourget 2012 - 12</t>
  </si>
  <si>
    <t>Monosiga varians</t>
  </si>
  <si>
    <t>Monosiga</t>
  </si>
  <si>
    <t>varians</t>
  </si>
  <si>
    <t>Ochromonas nannos</t>
  </si>
  <si>
    <t>Ochromonas</t>
  </si>
  <si>
    <t>nannos</t>
  </si>
  <si>
    <t>Ochromonas pyriformis</t>
  </si>
  <si>
    <t>pyriformis</t>
  </si>
  <si>
    <t>Matvienko</t>
  </si>
  <si>
    <t>Ochromonas sp.</t>
  </si>
  <si>
    <t>Wyssotski</t>
  </si>
  <si>
    <t>Ochromonas sp. 10 µm</t>
  </si>
  <si>
    <t>sp. 10 µm</t>
  </si>
  <si>
    <t>Vysotskii Wissotsky</t>
  </si>
  <si>
    <t>Ochromonas cf. variabilis</t>
  </si>
  <si>
    <t>variabilis</t>
  </si>
  <si>
    <t>H. Meyer</t>
  </si>
  <si>
    <t>Ochromonas tenera</t>
  </si>
  <si>
    <t>tenera</t>
  </si>
  <si>
    <t>Ochromonas verrucosa</t>
  </si>
  <si>
    <t>verrucosa</t>
  </si>
  <si>
    <t>Pseudokephyrion blatnense</t>
  </si>
  <si>
    <t>Pseudokephyrion</t>
  </si>
  <si>
    <t>blatnense</t>
  </si>
  <si>
    <t>Obs sur Bourget ech 1 - 2008 - FR</t>
  </si>
  <si>
    <t>Pseudokephyrion conicum</t>
  </si>
  <si>
    <t>conicum</t>
  </si>
  <si>
    <t>(Schiller) Schmidle</t>
  </si>
  <si>
    <t>Pseudokephyrion entzii</t>
  </si>
  <si>
    <t>entzii</t>
  </si>
  <si>
    <t>(Conrad) Schmid</t>
  </si>
  <si>
    <t>Pseudokephyrion ellipsoideum</t>
  </si>
  <si>
    <t>ellipsoideum</t>
  </si>
  <si>
    <t>(Pascher) Schmid</t>
  </si>
  <si>
    <t>Pseudokephyrion latum</t>
  </si>
  <si>
    <t>latum</t>
  </si>
  <si>
    <t>(Schiller) Schmid</t>
  </si>
  <si>
    <t>Pseudokephyrion pseudospiralis</t>
  </si>
  <si>
    <t>pseudospiralis</t>
  </si>
  <si>
    <t>Pseudokephyrion sp.</t>
  </si>
  <si>
    <t>Pascher emend. G. Schmid</t>
  </si>
  <si>
    <t>Pseudokephyrion striatum</t>
  </si>
  <si>
    <t>striatum</t>
  </si>
  <si>
    <t>Hill.</t>
  </si>
  <si>
    <t>Pseudopedinella sp.</t>
  </si>
  <si>
    <t>Dictyochophyceae</t>
  </si>
  <si>
    <t>Pedinellales</t>
  </si>
  <si>
    <t>Pedinellaceae</t>
  </si>
  <si>
    <t>Pseudopedinella</t>
  </si>
  <si>
    <t>Carter</t>
  </si>
  <si>
    <t>Probablement pas Pseudopedinella. Mesures prises sur plusieurs colonies D'Annecy. Le biovol est mesuré sur 6 cellules de 2,5 um de diamètres</t>
  </si>
  <si>
    <t>Salpingoeca bütschli</t>
  </si>
  <si>
    <t>Salpingoeca</t>
  </si>
  <si>
    <t>bütschli</t>
  </si>
  <si>
    <t>Salpingoeca frequentissima</t>
  </si>
  <si>
    <t>frequentissima</t>
  </si>
  <si>
    <t>(O.ZACHARIAS) Lemmermann</t>
  </si>
  <si>
    <t>Salpingoeca globulosa</t>
  </si>
  <si>
    <t>globulosa</t>
  </si>
  <si>
    <t>Zhukov</t>
  </si>
  <si>
    <t>Salpingoeca gracilis</t>
  </si>
  <si>
    <t>Clark</t>
  </si>
  <si>
    <t>Salpingoeca minor</t>
  </si>
  <si>
    <t>minor</t>
  </si>
  <si>
    <t>Reynolds</t>
  </si>
  <si>
    <t>Salpingoeca sp.</t>
  </si>
  <si>
    <t>Sphaeroeca volvox</t>
  </si>
  <si>
    <t>Sphaeroeca</t>
  </si>
  <si>
    <t>volvox</t>
  </si>
  <si>
    <t>Stelexomonas dichotomus</t>
  </si>
  <si>
    <t>Stelexomonas</t>
  </si>
  <si>
    <t>dichotomus</t>
  </si>
  <si>
    <t>Stichogloea olivacea var. sphaerica</t>
  </si>
  <si>
    <t>Phaeothamniophyceae</t>
  </si>
  <si>
    <t>Phaeothamniales</t>
  </si>
  <si>
    <t>Phaeothamniaceae</t>
  </si>
  <si>
    <t>Stichogloea</t>
  </si>
  <si>
    <t>olivacea</t>
  </si>
  <si>
    <t>sphaerica</t>
  </si>
  <si>
    <t>Stichogloea olivacea var. sphaerica single cell</t>
  </si>
  <si>
    <t>sphaerica single cell</t>
  </si>
  <si>
    <t>Stokesiella epipyxis</t>
  </si>
  <si>
    <t>Stokesiella</t>
  </si>
  <si>
    <t>epipyxis</t>
  </si>
  <si>
    <t>Stomatocyst 114</t>
  </si>
  <si>
    <t>Stomatocyst</t>
  </si>
  <si>
    <t>Stomatocyst 130</t>
  </si>
  <si>
    <t>Stomatocyst 153</t>
  </si>
  <si>
    <t>Stomatocyst 2 spines</t>
  </si>
  <si>
    <t>2 spines</t>
  </si>
  <si>
    <t>Stomatocyst 219</t>
  </si>
  <si>
    <t>Stomatocyst 3 spines</t>
  </si>
  <si>
    <t>3 spines</t>
  </si>
  <si>
    <t>Stomatocyst 4 spines</t>
  </si>
  <si>
    <t>4 spines</t>
  </si>
  <si>
    <t>Stomatocyst 5 spines</t>
  </si>
  <si>
    <t>5 spines</t>
  </si>
  <si>
    <t>Stomatocyst 6 spines</t>
  </si>
  <si>
    <t>6 spines</t>
  </si>
  <si>
    <t>Stomatocyst 62</t>
  </si>
  <si>
    <t>Stomatocyst FR1</t>
  </si>
  <si>
    <t>FR1</t>
  </si>
  <si>
    <t>Léman SHL2 2009 - n1</t>
  </si>
  <si>
    <t>Stomatocyst sp.</t>
  </si>
  <si>
    <t>Synura sp.</t>
  </si>
  <si>
    <t>Synura</t>
  </si>
  <si>
    <t>Ws</t>
  </si>
  <si>
    <t>Uroglena americana</t>
  </si>
  <si>
    <t>Uroglena</t>
  </si>
  <si>
    <t>americana</t>
  </si>
  <si>
    <t>Calkins</t>
  </si>
  <si>
    <t>U</t>
  </si>
  <si>
    <t>Uroglena soniaca</t>
  </si>
  <si>
    <t>soniaca</t>
  </si>
  <si>
    <t>Uroglena sp.</t>
  </si>
  <si>
    <t>Centritractus belenophorus</t>
  </si>
  <si>
    <t xml:space="preserve">Xanthophyceae </t>
  </si>
  <si>
    <t xml:space="preserve">Mischococcales </t>
  </si>
  <si>
    <t>Centritactaceae</t>
  </si>
  <si>
    <t>Centritractus</t>
  </si>
  <si>
    <t>belenophorus</t>
  </si>
  <si>
    <t>Xantophycées</t>
  </si>
  <si>
    <t>Heterothrix sp.</t>
  </si>
  <si>
    <t xml:space="preserve">Tribonematales </t>
  </si>
  <si>
    <t xml:space="preserve">Tribonemataceae </t>
  </si>
  <si>
    <t>Heterothrix</t>
  </si>
  <si>
    <t>T</t>
  </si>
  <si>
    <t>Goniochloris cf. smithii</t>
  </si>
  <si>
    <t xml:space="preserve">Pleurochloridaceae </t>
  </si>
  <si>
    <t>Goniochloris</t>
  </si>
  <si>
    <t>smithii</t>
  </si>
  <si>
    <t>(Bourrelly) Fott</t>
  </si>
  <si>
    <t>prism</t>
  </si>
  <si>
    <t>J</t>
  </si>
  <si>
    <t>Goniochloris fallax</t>
  </si>
  <si>
    <t>fallax</t>
  </si>
  <si>
    <t>Fott</t>
  </si>
  <si>
    <t>Goniochloris mutica</t>
  </si>
  <si>
    <t>mutica</t>
  </si>
  <si>
    <t>(A. Braun) Fott</t>
  </si>
  <si>
    <t>Goniochloris pulchra</t>
  </si>
  <si>
    <t>pulchra</t>
  </si>
  <si>
    <t>Goniochloris sp.</t>
  </si>
  <si>
    <t>Heterothrix constricta</t>
  </si>
  <si>
    <t>constricta</t>
  </si>
  <si>
    <t>SHL2-18-2017</t>
  </si>
  <si>
    <t>Isthmochloron trispinatum</t>
  </si>
  <si>
    <t>Isthmochloron</t>
  </si>
  <si>
    <t>trispinatum</t>
  </si>
  <si>
    <t>(W. West &amp; G.S. West) Skuja</t>
  </si>
  <si>
    <t>Monallantus sp.</t>
  </si>
  <si>
    <t>Pleurochloridaceae</t>
  </si>
  <si>
    <t>Monallanthus</t>
  </si>
  <si>
    <t>Nephrodiella sp.</t>
  </si>
  <si>
    <t>Nephrodiella</t>
  </si>
  <si>
    <t>Ophiocytium lagerheimii</t>
  </si>
  <si>
    <t xml:space="preserve">Ophiocytiaceae </t>
  </si>
  <si>
    <t>Ophiocytium</t>
  </si>
  <si>
    <t>Pseudogoniochloris tripus</t>
  </si>
  <si>
    <t>Pseudogoniochloris</t>
  </si>
  <si>
    <t>tripus</t>
  </si>
  <si>
    <t>(Pascher) L. Krienitz, E. Hegewald, O.L. Reymond, &amp; T. Peschke</t>
  </si>
  <si>
    <t>Pseudotetraedriella kamillae</t>
  </si>
  <si>
    <t>Eustigmatophyceae</t>
  </si>
  <si>
    <t>Eustigmatales</t>
  </si>
  <si>
    <t>Eustigmataceae</t>
  </si>
  <si>
    <t xml:space="preserve">Pseudotetraedriella </t>
  </si>
  <si>
    <t>kamillae</t>
  </si>
  <si>
    <t>E. Hegewald &amp; J. Padisák</t>
  </si>
  <si>
    <t>Pseudostaurastrum alternans</t>
  </si>
  <si>
    <t>Pseudostaurastrum</t>
  </si>
  <si>
    <t>alternans</t>
  </si>
  <si>
    <t>R.Chodat</t>
  </si>
  <si>
    <t>Pseudostaurastrum hastatum</t>
  </si>
  <si>
    <t>hastatum</t>
  </si>
  <si>
    <t>(Reinsch) Chodat</t>
  </si>
  <si>
    <t>Pseudostaurastrum hastatum var. palatinum</t>
  </si>
  <si>
    <t>palatinum</t>
  </si>
  <si>
    <t>(W. Schmidle) L. Krienitz &amp; H. Heynig</t>
  </si>
  <si>
    <t>Pseudostaurastrum limneticum</t>
  </si>
  <si>
    <t>(Borge) Chodat</t>
  </si>
  <si>
    <t>Tribonema cf. ambiguum</t>
  </si>
  <si>
    <t>Tribonema</t>
  </si>
  <si>
    <t>ambiguum</t>
  </si>
  <si>
    <t>Tribonema ambiguum</t>
  </si>
  <si>
    <t>Tribonema microchloron var. cylindricum</t>
  </si>
  <si>
    <t>microchloron</t>
  </si>
  <si>
    <t>Tribonema minus</t>
  </si>
  <si>
    <t>minus</t>
  </si>
  <si>
    <t>Hazen</t>
  </si>
  <si>
    <t>Tribonema sp.</t>
  </si>
  <si>
    <t>Derbès &amp; Solier</t>
  </si>
  <si>
    <t>Acanthoceras zachariasi</t>
  </si>
  <si>
    <t xml:space="preserve">Coscinodiscophyceae </t>
  </si>
  <si>
    <t>Chaetocerotales</t>
  </si>
  <si>
    <t xml:space="preserve">Acanthocerataceae </t>
  </si>
  <si>
    <t>Acanthoceras</t>
  </si>
  <si>
    <t>zachariasi</t>
  </si>
  <si>
    <t>(Brun) Simonsen</t>
  </si>
  <si>
    <t>Diatomées</t>
  </si>
  <si>
    <t>A</t>
  </si>
  <si>
    <t>VI</t>
  </si>
  <si>
    <t>Achnanthes catenata</t>
  </si>
  <si>
    <t>Bacillariophyceae</t>
  </si>
  <si>
    <t>Achnanthales</t>
  </si>
  <si>
    <t>Achnanthaceae</t>
  </si>
  <si>
    <t>Achnanthes</t>
  </si>
  <si>
    <t>catenata</t>
  </si>
  <si>
    <t>BILY &amp; MARVAN</t>
  </si>
  <si>
    <t>Achnanthidium catenatum</t>
  </si>
  <si>
    <t>Achnanthidium</t>
  </si>
  <si>
    <t>catenatum</t>
  </si>
  <si>
    <t>(Bily &amp; MarVan) Lange-Bertalot</t>
  </si>
  <si>
    <t>Achnanthes clevei</t>
  </si>
  <si>
    <t>clevei</t>
  </si>
  <si>
    <t>Grunow Cleve</t>
  </si>
  <si>
    <t>Tb</t>
  </si>
  <si>
    <t>Achnanthes coarctata</t>
  </si>
  <si>
    <t>coarctata</t>
  </si>
  <si>
    <t>(Brébisson) Grunow in Cleve &amp; Grunow</t>
  </si>
  <si>
    <t>Achnanthes conspicua</t>
  </si>
  <si>
    <t>conspicua</t>
  </si>
  <si>
    <t>A. Mayer</t>
  </si>
  <si>
    <t>Achnanthes exigua</t>
  </si>
  <si>
    <t>exigua</t>
  </si>
  <si>
    <t>Grunow</t>
  </si>
  <si>
    <t>Achnanthes exilis</t>
  </si>
  <si>
    <t>exilis</t>
  </si>
  <si>
    <t>Achnanthes flexella</t>
  </si>
  <si>
    <t>flexella</t>
  </si>
  <si>
    <t>(Kützing) Brun</t>
  </si>
  <si>
    <t>Achnanthes lanceolata</t>
  </si>
  <si>
    <t>lanceolata</t>
  </si>
  <si>
    <t>(Breb. ex Kützing) Grunow</t>
  </si>
  <si>
    <t>Achnanthes minutissima</t>
  </si>
  <si>
    <t>minutissima</t>
  </si>
  <si>
    <t>Achnanthes sp.</t>
  </si>
  <si>
    <t>Bory de Saint Vincent</t>
  </si>
  <si>
    <t>Achnanthidium minutissimum</t>
  </si>
  <si>
    <t>minutissimum</t>
  </si>
  <si>
    <t>(Kützing) Czarnecki</t>
  </si>
  <si>
    <t>Amphipleura pellucida</t>
  </si>
  <si>
    <t>Naviculales</t>
  </si>
  <si>
    <t>Amphipleuraceae</t>
  </si>
  <si>
    <t>Amphipleura</t>
  </si>
  <si>
    <t>pellucida</t>
  </si>
  <si>
    <t>Amphora coffeaeformis</t>
  </si>
  <si>
    <t>Thalassiophysales</t>
  </si>
  <si>
    <t>Catenulaceae</t>
  </si>
  <si>
    <t>Amphora</t>
  </si>
  <si>
    <t>coffeaeformis</t>
  </si>
  <si>
    <t>(C. Agardh) Kützing</t>
  </si>
  <si>
    <t>Amphora inariensis</t>
  </si>
  <si>
    <t>inariensis</t>
  </si>
  <si>
    <t>Krammer</t>
  </si>
  <si>
    <t>Amphora libyca</t>
  </si>
  <si>
    <t>libyca</t>
  </si>
  <si>
    <t>Ehrenberg sensu KRAMMER &amp; Lange-Bertalot</t>
  </si>
  <si>
    <t>Amphora copulata</t>
  </si>
  <si>
    <t>copulata</t>
  </si>
  <si>
    <t>Amphora ovalis</t>
  </si>
  <si>
    <t>ovalis</t>
  </si>
  <si>
    <t>(Kützing) Kützing</t>
  </si>
  <si>
    <t>Amphora pediculus</t>
  </si>
  <si>
    <t>pediculus</t>
  </si>
  <si>
    <t>(Kützing) Grunow</t>
  </si>
  <si>
    <t>Amphora sp.</t>
  </si>
  <si>
    <t>Asterionella formosa</t>
  </si>
  <si>
    <t>Fragilariophyceae</t>
  </si>
  <si>
    <t>Fragilariales</t>
  </si>
  <si>
    <t>Fragilariaceae</t>
  </si>
  <si>
    <t>Asterionella</t>
  </si>
  <si>
    <t>formosa</t>
  </si>
  <si>
    <t>HASSALL</t>
  </si>
  <si>
    <t>C</t>
  </si>
  <si>
    <t>Aulacoseira cf ambigua</t>
  </si>
  <si>
    <t>Aulacoseirales</t>
  </si>
  <si>
    <t>Aulacoseiraceae</t>
  </si>
  <si>
    <t>ambigua</t>
  </si>
  <si>
    <t>(Grunow) Simonsen</t>
  </si>
  <si>
    <t>Aulacoseira ambigua</t>
  </si>
  <si>
    <t>Aulacoseira distans</t>
  </si>
  <si>
    <t>(Ehrenberg)Simonsen</t>
  </si>
  <si>
    <t>Aulacoseira granulata</t>
  </si>
  <si>
    <t>granulata</t>
  </si>
  <si>
    <t>(Ehrenberg) SIMONSEN</t>
  </si>
  <si>
    <t>P</t>
  </si>
  <si>
    <t>Aulacoseira granulata var. angustissima</t>
  </si>
  <si>
    <t>angustissima</t>
  </si>
  <si>
    <t>(Ehrenberg) Simonsen (O.M.) Simonsen</t>
  </si>
  <si>
    <t>Aulacoseira granulata var. angustissima f. curvata</t>
  </si>
  <si>
    <t>angustissima f. curvata</t>
  </si>
  <si>
    <t>(Hustedt) Simonsen</t>
  </si>
  <si>
    <t>Aulacoseira islandica subsp. helvetica</t>
  </si>
  <si>
    <t>islandica</t>
  </si>
  <si>
    <t>subsp.</t>
  </si>
  <si>
    <t>helvetica</t>
  </si>
  <si>
    <t>(O.F.Müller) Simonsen</t>
  </si>
  <si>
    <t>B</t>
  </si>
  <si>
    <t>Aulacoseira muzzanensis</t>
  </si>
  <si>
    <t>muzzanensis</t>
  </si>
  <si>
    <t>(Meister) Krammer</t>
  </si>
  <si>
    <t>Aulacoseira sp.</t>
  </si>
  <si>
    <t>Thwaites</t>
  </si>
  <si>
    <t>Aulacoseira subarctica</t>
  </si>
  <si>
    <t>subartica</t>
  </si>
  <si>
    <t>(O.Muller) Haworth</t>
  </si>
  <si>
    <t>Brachysira neoexilis</t>
  </si>
  <si>
    <t>Brachysiraceae</t>
  </si>
  <si>
    <t>Brachysira</t>
  </si>
  <si>
    <t>neoexilis</t>
  </si>
  <si>
    <t>Lange-Bertalot</t>
  </si>
  <si>
    <t>rhp</t>
  </si>
  <si>
    <t>Caloneis sp.</t>
  </si>
  <si>
    <t>Naviculaceae</t>
  </si>
  <si>
    <t>Caloneis</t>
  </si>
  <si>
    <t>Campylodiscus noricus</t>
  </si>
  <si>
    <t>Surirellales</t>
  </si>
  <si>
    <t>Surirellaceae</t>
  </si>
  <si>
    <t>Campylodiscus</t>
  </si>
  <si>
    <t>noricus</t>
  </si>
  <si>
    <t>Centric spp.</t>
  </si>
  <si>
    <t>Thalassiosirales</t>
  </si>
  <si>
    <t>Stephanodiscaceae</t>
  </si>
  <si>
    <t>Centric</t>
  </si>
  <si>
    <t>spp.</t>
  </si>
  <si>
    <t>Centric (Cyclotella + Stephanodiscus)</t>
  </si>
  <si>
    <t>(Cyclotella + Stephanodiscus)</t>
  </si>
  <si>
    <t>Centric &lt;10µm</t>
  </si>
  <si>
    <t>&lt;10µm</t>
  </si>
  <si>
    <t>Centric &gt;10µm</t>
  </si>
  <si>
    <t>&gt;10µm</t>
  </si>
  <si>
    <t>Cocconeis pediculus</t>
  </si>
  <si>
    <t>Cocconeis</t>
  </si>
  <si>
    <t>Cocconeis placentula</t>
  </si>
  <si>
    <t>placentula</t>
  </si>
  <si>
    <t>Cocconeis placentula var. euglypta</t>
  </si>
  <si>
    <t>euglypta</t>
  </si>
  <si>
    <t>Ehrenberg (Ehrenberg) Grunow</t>
  </si>
  <si>
    <t>Cocconeis sp.</t>
  </si>
  <si>
    <t>Cyclostephanos dubius</t>
  </si>
  <si>
    <t>Cyclostephanos</t>
  </si>
  <si>
    <t>dubius</t>
  </si>
  <si>
    <t>(Hustedt) Round</t>
  </si>
  <si>
    <t>Cyclostephanos invisitatus</t>
  </si>
  <si>
    <t>invisitatus</t>
  </si>
  <si>
    <t>(Hohn &amp; Hellerman) Theriot Stoermer &amp; Hakans</t>
  </si>
  <si>
    <t>Cyclotella atomus</t>
  </si>
  <si>
    <t>atomus</t>
  </si>
  <si>
    <t>Hustedt</t>
  </si>
  <si>
    <t>Cyclotella atomus var. gracilis</t>
  </si>
  <si>
    <t>Genkal &amp; Kiss</t>
  </si>
  <si>
    <t>Cyclotella bodanica var. bodanica</t>
  </si>
  <si>
    <t>bodanica</t>
  </si>
  <si>
    <t>Grunow Grunow</t>
  </si>
  <si>
    <t>Puncticulata bodanica</t>
  </si>
  <si>
    <t>Puncticulata</t>
  </si>
  <si>
    <t>(Grunow in Schneider) Håkansson</t>
  </si>
  <si>
    <t>Cyclotella bodanica var. lemanensis</t>
  </si>
  <si>
    <t>lemanensis</t>
  </si>
  <si>
    <t>Otto Müller</t>
  </si>
  <si>
    <t>Cyclotella cf. distinguenda var. unipunctata</t>
  </si>
  <si>
    <t>distinguenda</t>
  </si>
  <si>
    <t>unipunctata</t>
  </si>
  <si>
    <t>(Hustedt) Håkansson &amp; J.R.Carter</t>
  </si>
  <si>
    <t>Cyclotella cf. quadrijuncta</t>
  </si>
  <si>
    <t>quadrijuncta</t>
  </si>
  <si>
    <t>(Schröter) von Keissler</t>
  </si>
  <si>
    <t>Cyclotella cf. rossii</t>
  </si>
  <si>
    <t>rossii</t>
  </si>
  <si>
    <t>Håkansson</t>
  </si>
  <si>
    <t>Cyclotella comensis</t>
  </si>
  <si>
    <t>comensis</t>
  </si>
  <si>
    <t>Cyclotella cyclopuncta</t>
  </si>
  <si>
    <t>cyclopuncta</t>
  </si>
  <si>
    <t>Hakansson &amp; Carter</t>
  </si>
  <si>
    <t>Cyclotella costei</t>
  </si>
  <si>
    <t>costei</t>
  </si>
  <si>
    <t>Druart &amp; Straub</t>
  </si>
  <si>
    <t>Cyclotella costei f. petite aire centrale</t>
  </si>
  <si>
    <t>petite aire centrale</t>
  </si>
  <si>
    <t>Cyclotella delicatula</t>
  </si>
  <si>
    <t>delicatula</t>
  </si>
  <si>
    <t>valeurs moyennes sur Bourget, Léman 2010. Il s'agit de petites formes de C costei, mais avec des stries très courtes, voire quasi inexistantes</t>
  </si>
  <si>
    <t>Cyclotella distinguenda</t>
  </si>
  <si>
    <t>Cyclotella glabriuscula</t>
  </si>
  <si>
    <t>glabriuscula</t>
  </si>
  <si>
    <t>(Grunow) Hakansson</t>
  </si>
  <si>
    <t>Cyclotella kuetzingiana</t>
  </si>
  <si>
    <t>kuetzingiana</t>
  </si>
  <si>
    <t>Mesure prise sur Annecy 2007</t>
  </si>
  <si>
    <t>Cyclotella meneghiniana</t>
  </si>
  <si>
    <t>meneghiniana</t>
  </si>
  <si>
    <t>Cyclotella meduanae</t>
  </si>
  <si>
    <t>meduanae</t>
  </si>
  <si>
    <t>Germain</t>
  </si>
  <si>
    <t>Cyclotella ocellata</t>
  </si>
  <si>
    <t>ocellata</t>
  </si>
  <si>
    <t>Pantocsek</t>
  </si>
  <si>
    <t>Cyclotella operculata</t>
  </si>
  <si>
    <t>operculata</t>
  </si>
  <si>
    <t>Cyclotella planctonica</t>
  </si>
  <si>
    <t>Brunnthaler</t>
  </si>
  <si>
    <t>Cyclotella polymorpha</t>
  </si>
  <si>
    <t>B. Meyer &amp; H. Håkansson</t>
  </si>
  <si>
    <t>Mesure sur le Bourget n13</t>
  </si>
  <si>
    <t>Cyclotella pseudostelligera</t>
  </si>
  <si>
    <t>pseudostelligera</t>
  </si>
  <si>
    <t>Cyclotella radiosa</t>
  </si>
  <si>
    <t>radiosa</t>
  </si>
  <si>
    <t>(Grunow) Lemmermann</t>
  </si>
  <si>
    <t>Cyclotella sp.</t>
  </si>
  <si>
    <t>(Kützing) Brébisson</t>
  </si>
  <si>
    <t>Cyclotella spp&lt;9µm /Stephanodiscus minutulus &lt;7µm</t>
  </si>
  <si>
    <t>spp&lt;9µm /Stephanodiscus minutulus &lt;7µm</t>
  </si>
  <si>
    <t>Cyclotella spp&gt;9µm /Stephanodiscus minutulus &gt;7µm</t>
  </si>
  <si>
    <t>spp&gt;9µm /Stephanodiscus minutulus &gt;7µm</t>
  </si>
  <si>
    <t>Cyclotella stelligera</t>
  </si>
  <si>
    <t>stelligera</t>
  </si>
  <si>
    <t>Cleve &amp; Grunow</t>
  </si>
  <si>
    <t>Cyclotella wuethrichiana</t>
  </si>
  <si>
    <t>wuethrichiana</t>
  </si>
  <si>
    <t>Cymatopleura elliptica</t>
  </si>
  <si>
    <t>Cymatopleura</t>
  </si>
  <si>
    <t>(Brébisson) W.Smith</t>
  </si>
  <si>
    <t>Cymatopleura solea</t>
  </si>
  <si>
    <t>solea</t>
  </si>
  <si>
    <t>Cymatopleura solea var. regula</t>
  </si>
  <si>
    <t>regula</t>
  </si>
  <si>
    <t>(Brébisson) W.Smith (Ehrenberg) Grunow</t>
  </si>
  <si>
    <t>Cymbella affinis</t>
  </si>
  <si>
    <t>Cymbellales</t>
  </si>
  <si>
    <t>Cymbellaceae</t>
  </si>
  <si>
    <t>Cymbella</t>
  </si>
  <si>
    <t>Cymbella amphicephala</t>
  </si>
  <si>
    <t>amphicephala</t>
  </si>
  <si>
    <t>Cymbella caespitosa</t>
  </si>
  <si>
    <t>caespitosa</t>
  </si>
  <si>
    <t>Cymbella cistula</t>
  </si>
  <si>
    <t>cistula</t>
  </si>
  <si>
    <t>(Ehrenberg) Kirchner</t>
  </si>
  <si>
    <t>Cymbella compacta</t>
  </si>
  <si>
    <t>Ostrup</t>
  </si>
  <si>
    <t>Cymbella cuspidata</t>
  </si>
  <si>
    <t>cuspidata</t>
  </si>
  <si>
    <t>Cymbella cymbiformis</t>
  </si>
  <si>
    <t>cymbiformis</t>
  </si>
  <si>
    <t>Cymbella delicatula</t>
  </si>
  <si>
    <t>Cymbella ehrenbergii</t>
  </si>
  <si>
    <t>ehrenbergii</t>
  </si>
  <si>
    <t>Cymbella excisa</t>
  </si>
  <si>
    <t>excisa</t>
  </si>
  <si>
    <t>Cymbella helvetica var. curta</t>
  </si>
  <si>
    <t>curta</t>
  </si>
  <si>
    <t>Kützing Cleve</t>
  </si>
  <si>
    <t>Cymbella laevis</t>
  </si>
  <si>
    <t>laevis</t>
  </si>
  <si>
    <t>Nägeli in Kützing</t>
  </si>
  <si>
    <t>Cymbella lanceolata</t>
  </si>
  <si>
    <t>(C. Agardh) C. Agardh</t>
  </si>
  <si>
    <t>Cymbella lata</t>
  </si>
  <si>
    <t>lata</t>
  </si>
  <si>
    <t>(Grunow) Cleve</t>
  </si>
  <si>
    <t>Cymbella leptoceros</t>
  </si>
  <si>
    <t>leptoceros</t>
  </si>
  <si>
    <t>Cymbella microcephala</t>
  </si>
  <si>
    <t>microcephala</t>
  </si>
  <si>
    <t>Cymbella minuta</t>
  </si>
  <si>
    <t>Hilse ex Rabenhorst</t>
  </si>
  <si>
    <t>Cymbella naviculiformis</t>
  </si>
  <si>
    <t>naviculiformis</t>
  </si>
  <si>
    <t>Auerswald</t>
  </si>
  <si>
    <t>Cymbella parva</t>
  </si>
  <si>
    <t>(W.Sm.) Wolle</t>
  </si>
  <si>
    <t>Cymbella prostrata</t>
  </si>
  <si>
    <t>prostrata</t>
  </si>
  <si>
    <t>(Berkeley) Grunow</t>
  </si>
  <si>
    <t>Cymbella sp.</t>
  </si>
  <si>
    <t>C.A. C. Agardh</t>
  </si>
  <si>
    <t>Cymbella ventricosa</t>
  </si>
  <si>
    <t>ventricosa</t>
  </si>
  <si>
    <t>(Kützing) Kützing, nom. inval.,  non (C. Agardh) C. Agardh 1830</t>
  </si>
  <si>
    <t>Cymbopleura lata</t>
  </si>
  <si>
    <t>Cymbopleura</t>
  </si>
  <si>
    <t>(Grunow) Krammer</t>
  </si>
  <si>
    <t>Cymbopleura similiformis</t>
  </si>
  <si>
    <t>similiformes</t>
  </si>
  <si>
    <t>Denticula tenuis</t>
  </si>
  <si>
    <t>Bacillariales</t>
  </si>
  <si>
    <t>Bacillariaceae</t>
  </si>
  <si>
    <t>Denticula</t>
  </si>
  <si>
    <t>Diatoma ehrenbergii</t>
  </si>
  <si>
    <t>Diatoma</t>
  </si>
  <si>
    <t>Diatoma elongatum</t>
  </si>
  <si>
    <t>elongatum</t>
  </si>
  <si>
    <t>(Lyngbye) C. Agardh</t>
  </si>
  <si>
    <t>Diatoma mesodon</t>
  </si>
  <si>
    <t>mesodon</t>
  </si>
  <si>
    <t>Diatoma moniliformis</t>
  </si>
  <si>
    <t>moniliformis</t>
  </si>
  <si>
    <t>Diatoma tenuis</t>
  </si>
  <si>
    <t>Diatoma vulgaris</t>
  </si>
  <si>
    <t>vulgaris</t>
  </si>
  <si>
    <t>BORY DE SAINT VINCENT</t>
  </si>
  <si>
    <t>Diploneis elliptica</t>
  </si>
  <si>
    <t>Diploneidaceae</t>
  </si>
  <si>
    <t>Diploneis</t>
  </si>
  <si>
    <t>(Kützing) Cleve</t>
  </si>
  <si>
    <t>Diploneis maulerii</t>
  </si>
  <si>
    <t>maulerii</t>
  </si>
  <si>
    <t>(Brun) Cleve</t>
  </si>
  <si>
    <t>Diploneis minuta</t>
  </si>
  <si>
    <t>Petersen</t>
  </si>
  <si>
    <t>Diploneis oblongella</t>
  </si>
  <si>
    <t>oblongella</t>
  </si>
  <si>
    <t>(Nägeli) Cleve-Euler</t>
  </si>
  <si>
    <t>Diploneis oculata</t>
  </si>
  <si>
    <t>oculata</t>
  </si>
  <si>
    <t>(Brébisson) Cleve</t>
  </si>
  <si>
    <t>Diploneis ovalis</t>
  </si>
  <si>
    <t>(Hilse) Cleve</t>
  </si>
  <si>
    <t>Diploneis sp.</t>
  </si>
  <si>
    <t>Discostella stelligera</t>
  </si>
  <si>
    <t>Discotella</t>
  </si>
  <si>
    <t xml:space="preserve"> (Cleve et Grunow) Houk &amp; Klee</t>
  </si>
  <si>
    <t>Discostella woltereckii</t>
  </si>
  <si>
    <t>woltereckii</t>
  </si>
  <si>
    <t>(Hustedt) Houk &amp; Klee</t>
  </si>
  <si>
    <t>Encyonema minutum</t>
  </si>
  <si>
    <t>Encyonema</t>
  </si>
  <si>
    <t>(Hilse in Rabh.) D.G. Mann</t>
  </si>
  <si>
    <t>D</t>
  </si>
  <si>
    <t>Encyonema prostratum</t>
  </si>
  <si>
    <t>prostratum</t>
  </si>
  <si>
    <t>Encyonema reichardtii</t>
  </si>
  <si>
    <t>reichardtii</t>
  </si>
  <si>
    <t>(Krammer) D.G. Mann</t>
  </si>
  <si>
    <t>Encyonema silesiacum</t>
  </si>
  <si>
    <t>silesiacum</t>
  </si>
  <si>
    <t>(Bleisch in Rabenhorst) D.G. Mann</t>
  </si>
  <si>
    <t>Encyonema triangulum</t>
  </si>
  <si>
    <t>triangulum</t>
  </si>
  <si>
    <t>Encyonopsis microcephala</t>
  </si>
  <si>
    <t>Encyonopsis</t>
  </si>
  <si>
    <t>Eolimna minima</t>
  </si>
  <si>
    <t>Eolimna</t>
  </si>
  <si>
    <t>Epithemia adnata</t>
  </si>
  <si>
    <t>Rhopalodiales</t>
  </si>
  <si>
    <t>Rhopalodiaceae</t>
  </si>
  <si>
    <t>Epithemia</t>
  </si>
  <si>
    <t>adnata</t>
  </si>
  <si>
    <t>Epithemia sp.</t>
  </si>
  <si>
    <t>Eunotia arcus</t>
  </si>
  <si>
    <t>Eunotiales</t>
  </si>
  <si>
    <t>Eunotiaceae</t>
  </si>
  <si>
    <t>Eunotia</t>
  </si>
  <si>
    <t>arcus</t>
  </si>
  <si>
    <t>Eunotia bilunaris</t>
  </si>
  <si>
    <t>bilunaris</t>
  </si>
  <si>
    <t>(Ehrenberg) SCHAARSCHMIDT</t>
  </si>
  <si>
    <t>Eunotia exigua</t>
  </si>
  <si>
    <t>(Breb. ex Kützing) Rabenhorst</t>
  </si>
  <si>
    <t>Eunotia minor</t>
  </si>
  <si>
    <t>Eunotia naegelii</t>
  </si>
  <si>
    <t>naegelii</t>
  </si>
  <si>
    <t>Migula in Thomé</t>
  </si>
  <si>
    <t>Eunotia praerupta</t>
  </si>
  <si>
    <t>praerupta</t>
  </si>
  <si>
    <t>Eunotia serra var. tetraodon</t>
  </si>
  <si>
    <t>serra</t>
  </si>
  <si>
    <t>tetraodon</t>
  </si>
  <si>
    <t>Ehrenberg  (Ehrenberg) Norpel</t>
  </si>
  <si>
    <t>Eunotia sp.</t>
  </si>
  <si>
    <t>Fragilaria arcus</t>
  </si>
  <si>
    <t>Fragilaria</t>
  </si>
  <si>
    <t>(Ehrenberg) A.Cleve</t>
  </si>
  <si>
    <t>Fragilaria berolinensis</t>
  </si>
  <si>
    <t>berolinensis</t>
  </si>
  <si>
    <t>(Lemmermann) Lange-Bertalot</t>
  </si>
  <si>
    <t>Fragilaria brevistriata</t>
  </si>
  <si>
    <t>brevistriata</t>
  </si>
  <si>
    <t>Fragilaria capucina</t>
  </si>
  <si>
    <t>capucina</t>
  </si>
  <si>
    <t>DESMAZIERES</t>
  </si>
  <si>
    <t>Fragilaria capucina var. radians</t>
  </si>
  <si>
    <t>radians</t>
  </si>
  <si>
    <t>(Kützing) Lange-Bertalot</t>
  </si>
  <si>
    <t>Fragilaria capucina var. vaucheriae</t>
  </si>
  <si>
    <t>vaucheriae</t>
  </si>
  <si>
    <t>Desmazieres (Kützing) Lange-Bertalot</t>
  </si>
  <si>
    <t>Fragilaria perminuta</t>
  </si>
  <si>
    <t>perminuta</t>
  </si>
  <si>
    <t>(Grunow) Lange-Bertalot</t>
  </si>
  <si>
    <t>Fragilaria longifusiformis</t>
  </si>
  <si>
    <t>longifusiformis</t>
  </si>
  <si>
    <t>(Hains &amp; Sebring) Siver &amp; al.</t>
  </si>
  <si>
    <t>Fragilaria planctonica</t>
  </si>
  <si>
    <t>Heiden</t>
  </si>
  <si>
    <t>Fragilaria construens</t>
  </si>
  <si>
    <t>construens</t>
  </si>
  <si>
    <t>(Ehrenberg) Grunow</t>
  </si>
  <si>
    <t>Fragilaria construens f. venter</t>
  </si>
  <si>
    <t>venter</t>
  </si>
  <si>
    <t>(Ehrenberg) Grunow (Ehrenberg) Hustedt</t>
  </si>
  <si>
    <t>Fragilaria construens f. binodis</t>
  </si>
  <si>
    <t>binodis</t>
  </si>
  <si>
    <t>(Ehrenberg) Grunow (Ehrenberg) Grunow</t>
  </si>
  <si>
    <t>Fragilaria crotonensis</t>
  </si>
  <si>
    <t>crotonensis</t>
  </si>
  <si>
    <t>KITTON</t>
  </si>
  <si>
    <t>Fragilaria cyclopum</t>
  </si>
  <si>
    <t>cyclopum</t>
  </si>
  <si>
    <t>(BRUTSCHY) Lange-Bertalot</t>
  </si>
  <si>
    <t>Fragilaria dilatata</t>
  </si>
  <si>
    <t>dilatata</t>
  </si>
  <si>
    <t>(Brébisson) Lange-Bertalot</t>
  </si>
  <si>
    <t>Fragilaria lanceolata</t>
  </si>
  <si>
    <t>(Kützing) Reichardt</t>
  </si>
  <si>
    <t>Fragilaria nanana</t>
  </si>
  <si>
    <t>nanana</t>
  </si>
  <si>
    <t>Fragilaria parasitica</t>
  </si>
  <si>
    <t>(W.Sm.) Grunow</t>
  </si>
  <si>
    <t>Fragilaria pinnata</t>
  </si>
  <si>
    <t>pinnata</t>
  </si>
  <si>
    <t>Fragilaria radians</t>
  </si>
  <si>
    <t>(Kützing) Williams &amp; Round</t>
  </si>
  <si>
    <t>Fragilaria rumpens</t>
  </si>
  <si>
    <t>rumpens</t>
  </si>
  <si>
    <t>(Kützing) Carlson</t>
  </si>
  <si>
    <t>Fragilaria sp.</t>
  </si>
  <si>
    <t>Lyngbye</t>
  </si>
  <si>
    <t>Fragilaria tenera</t>
  </si>
  <si>
    <t>(W.Smith) Lange-Bertalot</t>
  </si>
  <si>
    <t>valeurs moyennes selon KLB 2/3 1991</t>
  </si>
  <si>
    <t>Fragilaria tenera var. lemanensis</t>
  </si>
  <si>
    <t>Druart, Lavigne &amp; Robert</t>
  </si>
  <si>
    <t>Fragilaria ulna</t>
  </si>
  <si>
    <t>ulna</t>
  </si>
  <si>
    <t>(NITZSCH) Lange-Bertalot</t>
  </si>
  <si>
    <t>Fragilaria ulna var. acus</t>
  </si>
  <si>
    <t>(Nitzsch.) Lange-Bertalot (Kützing) Lange-Bertalot</t>
  </si>
  <si>
    <t>Fragilaria ulna var. angustissima</t>
  </si>
  <si>
    <t>(Grunow) Krammer &amp; Lange-Bertalot</t>
  </si>
  <si>
    <t>Fragilaria virescens</t>
  </si>
  <si>
    <t>virescens</t>
  </si>
  <si>
    <t>RALFS</t>
  </si>
  <si>
    <t>Frustulia sp.</t>
  </si>
  <si>
    <t>Frustulia</t>
  </si>
  <si>
    <t>Frustulia rhomboides</t>
  </si>
  <si>
    <t>rhomboides</t>
  </si>
  <si>
    <t>De Toni</t>
  </si>
  <si>
    <t>Geissleria acceptata</t>
  </si>
  <si>
    <t>Geissleria</t>
  </si>
  <si>
    <t>acceptata</t>
  </si>
  <si>
    <t>Lange-Bertalot &amp; Metzeltin</t>
  </si>
  <si>
    <t>Geissleria decussis</t>
  </si>
  <si>
    <t>decussis</t>
  </si>
  <si>
    <t>(Oestrup) Lange-Bertalot &amp; Metzeltin</t>
  </si>
  <si>
    <t>Gomphonema acuminatum</t>
  </si>
  <si>
    <t>Gomphonemataceae</t>
  </si>
  <si>
    <t>Gomphonema</t>
  </si>
  <si>
    <t>Gomphonema angustatum</t>
  </si>
  <si>
    <t>angustatum</t>
  </si>
  <si>
    <t>(Kützing) Rabenhorst</t>
  </si>
  <si>
    <t>Gomphonema augur</t>
  </si>
  <si>
    <t>augur</t>
  </si>
  <si>
    <t>Gomphonema carolinense</t>
  </si>
  <si>
    <t>carolinense</t>
  </si>
  <si>
    <t>Hagelstein</t>
  </si>
  <si>
    <t>Gomphonema clavatum</t>
  </si>
  <si>
    <t>clavatum</t>
  </si>
  <si>
    <t>Gomphonema constrictum</t>
  </si>
  <si>
    <t>Gomphonema intricatum var. pumila</t>
  </si>
  <si>
    <t>intricatum</t>
  </si>
  <si>
    <t>pumila</t>
  </si>
  <si>
    <t>Kützing Grunow</t>
  </si>
  <si>
    <t>Gomphonema lanceolatum</t>
  </si>
  <si>
    <t>lanceolatum</t>
  </si>
  <si>
    <t>Gomphonema minutum</t>
  </si>
  <si>
    <t>Gomphonema olivaceum</t>
  </si>
  <si>
    <t>olivaceum</t>
  </si>
  <si>
    <t>(HORNEMANN) Brébisson</t>
  </si>
  <si>
    <t>Gomphonema parvulum</t>
  </si>
  <si>
    <t>parvulum</t>
  </si>
  <si>
    <t>Gomphonema parvulum var. exilissimum</t>
  </si>
  <si>
    <t>exilissimum</t>
  </si>
  <si>
    <t>Gomphonema pumilum</t>
  </si>
  <si>
    <t>pumilum</t>
  </si>
  <si>
    <t>(Grunow) Reichardt &amp; Lange-Bertalot</t>
  </si>
  <si>
    <t>Gomphonema sp.</t>
  </si>
  <si>
    <t>Gomphonema truncatum</t>
  </si>
  <si>
    <t>truncatum</t>
  </si>
  <si>
    <t>Gyrosigma acuminatum</t>
  </si>
  <si>
    <t>Pleurosigmataceae</t>
  </si>
  <si>
    <t>Gyrosigma</t>
  </si>
  <si>
    <t>Gyrosigma attenuatum</t>
  </si>
  <si>
    <t>attenuatum</t>
  </si>
  <si>
    <t>Gyrosigma nodiferum</t>
  </si>
  <si>
    <t>nodiferum</t>
  </si>
  <si>
    <t>(Grunow) REIMER</t>
  </si>
  <si>
    <t>Gyrosigma scalproides</t>
  </si>
  <si>
    <t>scalproides</t>
  </si>
  <si>
    <t>(Rabenhorst) Cleve</t>
  </si>
  <si>
    <t>Gyrosigma sp.</t>
  </si>
  <si>
    <t>Hassall</t>
  </si>
  <si>
    <t>Hantzschia amphioxys</t>
  </si>
  <si>
    <t>Hantzschia</t>
  </si>
  <si>
    <t>amphioxys</t>
  </si>
  <si>
    <t>Luticola cohnii</t>
  </si>
  <si>
    <t>Luticola</t>
  </si>
  <si>
    <t>cohnii</t>
  </si>
  <si>
    <t>(Hilse) D.G. Mann</t>
  </si>
  <si>
    <t>Luticola mutica</t>
  </si>
  <si>
    <t>(Kützing) D.G. Mann</t>
  </si>
  <si>
    <t>Melosira varians</t>
  </si>
  <si>
    <t>Meloseirales</t>
  </si>
  <si>
    <t>Melosiraceae</t>
  </si>
  <si>
    <t>Melosira</t>
  </si>
  <si>
    <t>Meridion circulare</t>
  </si>
  <si>
    <t>Meridion</t>
  </si>
  <si>
    <t>circulare</t>
  </si>
  <si>
    <t>(GREVILLE) C. Agardh</t>
  </si>
  <si>
    <t>Navicula accomoda</t>
  </si>
  <si>
    <t>Navicula</t>
  </si>
  <si>
    <t>accomoda</t>
  </si>
  <si>
    <t>Navicula capitata</t>
  </si>
  <si>
    <t>capitata</t>
  </si>
  <si>
    <t>Navicula capitatoradiata</t>
  </si>
  <si>
    <t>capitatoradiata</t>
  </si>
  <si>
    <t>Navicula cryptotenella</t>
  </si>
  <si>
    <t>cryptotenella</t>
  </si>
  <si>
    <t>Navicula exigua</t>
  </si>
  <si>
    <t>(Gregory) Grunow</t>
  </si>
  <si>
    <t>Navicula clementis</t>
  </si>
  <si>
    <t>clementis</t>
  </si>
  <si>
    <t>Navicula clementis f. minor</t>
  </si>
  <si>
    <t>Navicula cuspidata</t>
  </si>
  <si>
    <t>Navicula decussis</t>
  </si>
  <si>
    <t>Oestrup</t>
  </si>
  <si>
    <t>Navicula dicephala</t>
  </si>
  <si>
    <t>dicephala</t>
  </si>
  <si>
    <t>Navicula gregaria</t>
  </si>
  <si>
    <t>gregaria</t>
  </si>
  <si>
    <t>DONKIN</t>
  </si>
  <si>
    <t>Navicula halophila</t>
  </si>
  <si>
    <t>halophila</t>
  </si>
  <si>
    <t>Navicula lanceolata</t>
  </si>
  <si>
    <t>Navicula menisculus</t>
  </si>
  <si>
    <t>menisculus</t>
  </si>
  <si>
    <t>SCHUMANN</t>
  </si>
  <si>
    <t>Navicula minima</t>
  </si>
  <si>
    <t>Navicula placentula</t>
  </si>
  <si>
    <t>Navicula pseudanglica</t>
  </si>
  <si>
    <t>pseudanglica</t>
  </si>
  <si>
    <t>Cleve-Euler</t>
  </si>
  <si>
    <t>Navicula pupula</t>
  </si>
  <si>
    <t>pupula</t>
  </si>
  <si>
    <t>Navicula radiosa</t>
  </si>
  <si>
    <t>Navicula reinhardtii</t>
  </si>
  <si>
    <t>reinhardtii</t>
  </si>
  <si>
    <t>(Grunow) Grunow</t>
  </si>
  <si>
    <t>Navicula rhynchocephala</t>
  </si>
  <si>
    <t>rhynchocephala</t>
  </si>
  <si>
    <t>Navicula scutelloides</t>
  </si>
  <si>
    <t>scutelloides</t>
  </si>
  <si>
    <t>W. Smith</t>
  </si>
  <si>
    <t>Navicula sp.</t>
  </si>
  <si>
    <t>Navicula spp.</t>
  </si>
  <si>
    <t>Navicula subhamulata</t>
  </si>
  <si>
    <t>subhamulata</t>
  </si>
  <si>
    <t>Navicula tripunctata</t>
  </si>
  <si>
    <t>tripunctata</t>
  </si>
  <si>
    <t>(O.F.MÜLLER) BORY DE SAINT VINCENT</t>
  </si>
  <si>
    <t>Navicula tuscula</t>
  </si>
  <si>
    <t>tuscula</t>
  </si>
  <si>
    <t>Neidium affine</t>
  </si>
  <si>
    <t>Neidiaceae</t>
  </si>
  <si>
    <t>Neidium</t>
  </si>
  <si>
    <t>affine</t>
  </si>
  <si>
    <t>(Ehrenberg) Pfitzer</t>
  </si>
  <si>
    <t>Neidium binodeforme</t>
  </si>
  <si>
    <t>binodeforme</t>
  </si>
  <si>
    <t>Neidium dubium</t>
  </si>
  <si>
    <t>dubium</t>
  </si>
  <si>
    <t>Neidium iridis</t>
  </si>
  <si>
    <t>iridis</t>
  </si>
  <si>
    <t>Neidium sp.</t>
  </si>
  <si>
    <t>Nitzschia acicularis</t>
  </si>
  <si>
    <t>(Kützing) W.M.Smith</t>
  </si>
  <si>
    <t>Nitzschia angustatula</t>
  </si>
  <si>
    <t>angustatula</t>
  </si>
  <si>
    <t>Nitzschia archibaldii</t>
  </si>
  <si>
    <t>archibaldii</t>
  </si>
  <si>
    <t>Nitzschia cf. linearis</t>
  </si>
  <si>
    <t>linearis</t>
  </si>
  <si>
    <t>W.Smith</t>
  </si>
  <si>
    <t>Nitzschia cf. tryblionella</t>
  </si>
  <si>
    <t>tryblionella</t>
  </si>
  <si>
    <t>Hantzsch</t>
  </si>
  <si>
    <t>Nitzschia constricta</t>
  </si>
  <si>
    <t>(Kützing) RALFS</t>
  </si>
  <si>
    <t>Nitzschia debilis</t>
  </si>
  <si>
    <t>debilis</t>
  </si>
  <si>
    <t>(Arnott) Grunow</t>
  </si>
  <si>
    <t>Nitzschia dissipata</t>
  </si>
  <si>
    <t>dissipata</t>
  </si>
  <si>
    <t>Nitzschia flexa</t>
  </si>
  <si>
    <t>flexa</t>
  </si>
  <si>
    <t>Schumann</t>
  </si>
  <si>
    <t>Nitzschia fonticola</t>
  </si>
  <si>
    <t>fonticola</t>
  </si>
  <si>
    <t>Nitzschia fruticosa</t>
  </si>
  <si>
    <t>fruticosa</t>
  </si>
  <si>
    <t>Nitzschia gracilis</t>
  </si>
  <si>
    <t>Nitzschia graciloides</t>
  </si>
  <si>
    <t>graciloides</t>
  </si>
  <si>
    <t>valeurs prises sur photo 11, tafel 66 susswasserflora</t>
  </si>
  <si>
    <t>Nitzschia hantzschiana</t>
  </si>
  <si>
    <t>hantzschiana</t>
  </si>
  <si>
    <t>Nitzschia inconspicua</t>
  </si>
  <si>
    <t>inconspicua</t>
  </si>
  <si>
    <t>Nitzschia lacuum</t>
  </si>
  <si>
    <t>lacuum</t>
  </si>
  <si>
    <t>valeurs moyennes susswasserflora</t>
  </si>
  <si>
    <t>Nitzschia lanceolata</t>
  </si>
  <si>
    <t>W.M.Smith</t>
  </si>
  <si>
    <t>Nitzschia levidensis</t>
  </si>
  <si>
    <t>levidensis</t>
  </si>
  <si>
    <t>(W.Smith) Grunow in Van Heurck</t>
  </si>
  <si>
    <t>Nitzschia linearis</t>
  </si>
  <si>
    <t>Nitzschia palea</t>
  </si>
  <si>
    <t>palea</t>
  </si>
  <si>
    <t>(Kützing) W.Smith</t>
  </si>
  <si>
    <t>Nitzschia paleacea</t>
  </si>
  <si>
    <t>paleacea</t>
  </si>
  <si>
    <t>Nitzschia recta</t>
  </si>
  <si>
    <t>recta</t>
  </si>
  <si>
    <t>HANTZSCH</t>
  </si>
  <si>
    <t>Nitzschia romana</t>
  </si>
  <si>
    <t>romana</t>
  </si>
  <si>
    <t>Nitzschia sigma</t>
  </si>
  <si>
    <t>sigma</t>
  </si>
  <si>
    <t>(Kützing) W.M. Smith</t>
  </si>
  <si>
    <t>Nitzschia sigmoidea</t>
  </si>
  <si>
    <t>sigmoidea</t>
  </si>
  <si>
    <t>(NITZSCH) W.Smith</t>
  </si>
  <si>
    <t>Nitzschia sp.</t>
  </si>
  <si>
    <t>Nitzschia spp.</t>
  </si>
  <si>
    <t>spp</t>
  </si>
  <si>
    <t>Nitzschia vermicularis</t>
  </si>
  <si>
    <t>vermicularis</t>
  </si>
  <si>
    <t>(Kützing) HANTZSCH</t>
  </si>
  <si>
    <t>Oestrupia bicontracta</t>
  </si>
  <si>
    <t>Pinnulariaceae</t>
  </si>
  <si>
    <t>Oestrupia</t>
  </si>
  <si>
    <t>bicontracta</t>
  </si>
  <si>
    <t>(Ostrup) Lange-Bertalot &amp; Krammer</t>
  </si>
  <si>
    <t>Pinnularia acrosphaeria</t>
  </si>
  <si>
    <t>Pinnularia</t>
  </si>
  <si>
    <t>acrosphaeria</t>
  </si>
  <si>
    <t>Pinnularia biceps</t>
  </si>
  <si>
    <t>biceps</t>
  </si>
  <si>
    <t>Gregory</t>
  </si>
  <si>
    <t>Pinnularia gibba</t>
  </si>
  <si>
    <t>gibba</t>
  </si>
  <si>
    <t>Pinnularia major</t>
  </si>
  <si>
    <t>Pinnularia sp.</t>
  </si>
  <si>
    <t>Pinnularia viridis</t>
  </si>
  <si>
    <t>(NITZSCH) Ehrenberg</t>
  </si>
  <si>
    <t>Placoneis clementis</t>
  </si>
  <si>
    <t>Placoneis</t>
  </si>
  <si>
    <t>(Grun.) Cox</t>
  </si>
  <si>
    <t>Planothidium calcar</t>
  </si>
  <si>
    <t>Planothidium</t>
  </si>
  <si>
    <t>calcar</t>
  </si>
  <si>
    <t>(Cleve) Round &amp; Bukhtiyarova</t>
  </si>
  <si>
    <t>Planothidium lanceolatum</t>
  </si>
  <si>
    <t>(Brébisson ex Kützing) Lange-Bertalot</t>
  </si>
  <si>
    <t>Puncticulata radiosa</t>
  </si>
  <si>
    <t>(Lemmermann) Håkansson</t>
  </si>
  <si>
    <t>Rhizosolenia longiseta</t>
  </si>
  <si>
    <t>Coscinodiscophyceae</t>
  </si>
  <si>
    <t>Rhizosoleniales</t>
  </si>
  <si>
    <t>Rhizosoleniaceae</t>
  </si>
  <si>
    <t>Rhizosolenia</t>
  </si>
  <si>
    <t>longiseta</t>
  </si>
  <si>
    <t>Zacharias</t>
  </si>
  <si>
    <t>Rhizosolenia eriensis</t>
  </si>
  <si>
    <t>eriensis</t>
  </si>
  <si>
    <t>H.L.Smith</t>
  </si>
  <si>
    <t>Rhoicosphenia abbreviata</t>
  </si>
  <si>
    <t>Rhoicospheniaceae</t>
  </si>
  <si>
    <t>Rhoicosphenia</t>
  </si>
  <si>
    <t>abbreviata</t>
  </si>
  <si>
    <t>(C. Agardh) Lange-Bertalot</t>
  </si>
  <si>
    <t>Rhopalodia gibba</t>
  </si>
  <si>
    <t>Rhopalodia</t>
  </si>
  <si>
    <t>(Ehrenberg) O.MÜLLER</t>
  </si>
  <si>
    <t>Sellaphora bacillum</t>
  </si>
  <si>
    <t>Sellaphora</t>
  </si>
  <si>
    <t>bacillum</t>
  </si>
  <si>
    <t>(Ehrenberg) D.G.Mann</t>
  </si>
  <si>
    <t>Sellaphora pupula</t>
  </si>
  <si>
    <t>(Kützing) Mereschkowksy</t>
  </si>
  <si>
    <t>Sellaphora rostrata</t>
  </si>
  <si>
    <t>(Hustedt) J.R. Johansen</t>
  </si>
  <si>
    <t>Skeletonema cf subsalsum</t>
  </si>
  <si>
    <t>Skeletonemaceae</t>
  </si>
  <si>
    <t>Skeletonema</t>
  </si>
  <si>
    <t>subsalsum</t>
  </si>
  <si>
    <t>(Cleve-Euler) Bethge</t>
  </si>
  <si>
    <t>Stauroneis anceps</t>
  </si>
  <si>
    <t>Stauroneidaceae</t>
  </si>
  <si>
    <t>Stauroneis</t>
  </si>
  <si>
    <t>anceps</t>
  </si>
  <si>
    <t>Staurosira leptostauron</t>
  </si>
  <si>
    <t>Staurosira</t>
  </si>
  <si>
    <t>leptostauron</t>
  </si>
  <si>
    <t>Ehrenberg ?</t>
  </si>
  <si>
    <t>Staurosira brevistriata</t>
  </si>
  <si>
    <t>Staurosira construens</t>
  </si>
  <si>
    <t>Pseudostaurosira parasitica</t>
  </si>
  <si>
    <t>Pseudostaurosira</t>
  </si>
  <si>
    <t>(W.Smith) Morales</t>
  </si>
  <si>
    <t>Pseudostaurosira robusta</t>
  </si>
  <si>
    <t>robusta</t>
  </si>
  <si>
    <t>(Fusey) D.M.Williams &amp; Round</t>
  </si>
  <si>
    <t>Staurosira mutabilis</t>
  </si>
  <si>
    <t>mutabilis</t>
  </si>
  <si>
    <t>(W. Sm.) Grunow</t>
  </si>
  <si>
    <t>Staurosira pinnata</t>
  </si>
  <si>
    <t>Staurosirella pinnata</t>
  </si>
  <si>
    <t>Staurosirella</t>
  </si>
  <si>
    <t>Stephanodiscus alpinus</t>
  </si>
  <si>
    <t>Stephanodiscus</t>
  </si>
  <si>
    <t>alpinus</t>
  </si>
  <si>
    <t>Stephanodiscus binderanus</t>
  </si>
  <si>
    <t>binderanus</t>
  </si>
  <si>
    <t>(Kützing) WILLI KRIEGER</t>
  </si>
  <si>
    <t>Stephanodiscus hantzschii</t>
  </si>
  <si>
    <t>hantzschii</t>
  </si>
  <si>
    <t>Stephanodiscus hantzschii f. tenuis</t>
  </si>
  <si>
    <t>(Hustedt) Hakansson &amp; Stoermer</t>
  </si>
  <si>
    <t>Stephanodiscus irregulare</t>
  </si>
  <si>
    <t>irregulare</t>
  </si>
  <si>
    <t>Druart</t>
  </si>
  <si>
    <t>Stephanodiscus minutulus</t>
  </si>
  <si>
    <t>minutulus</t>
  </si>
  <si>
    <t>(Kützing) Cleve &amp; MOELLER</t>
  </si>
  <si>
    <t>Stephanodiscus neoastraea</t>
  </si>
  <si>
    <t>neoastraea</t>
  </si>
  <si>
    <t>Hakansson &amp; Hickel</t>
  </si>
  <si>
    <t>Stephanodiscus parvus</t>
  </si>
  <si>
    <t>parvus</t>
  </si>
  <si>
    <t>Stoermer &amp; Hakansson</t>
  </si>
  <si>
    <t>Stephanodiscus sp.</t>
  </si>
  <si>
    <t>Stephanodiscus tenuis</t>
  </si>
  <si>
    <t>Surirella amphioxys</t>
  </si>
  <si>
    <t>Surirella</t>
  </si>
  <si>
    <t>Smith</t>
  </si>
  <si>
    <t>Surirella cf brebissonii</t>
  </si>
  <si>
    <t>brebissonii</t>
  </si>
  <si>
    <t>Krammer &amp; Lange-Bertalot</t>
  </si>
  <si>
    <t>Surirella elegans</t>
  </si>
  <si>
    <t>Surirella linearis</t>
  </si>
  <si>
    <t>Surirella minuta</t>
  </si>
  <si>
    <t>Surirella ovata</t>
  </si>
  <si>
    <t>Surirella sp.</t>
  </si>
  <si>
    <t>Synedra sp.</t>
  </si>
  <si>
    <t>Tabellaria fenestrata</t>
  </si>
  <si>
    <t>Tabellariales</t>
  </si>
  <si>
    <t>Tabellariaceae</t>
  </si>
  <si>
    <t>Tabellaria</t>
  </si>
  <si>
    <t>fenestrata</t>
  </si>
  <si>
    <t>(LYNGBYE) Kützing</t>
  </si>
  <si>
    <t>N</t>
  </si>
  <si>
    <t>Tabellaria flocculosa</t>
  </si>
  <si>
    <t>flocculosa</t>
  </si>
  <si>
    <t>(ROTH) Kützing</t>
  </si>
  <si>
    <t>Thalassiosira pseudonana</t>
  </si>
  <si>
    <t>Thallassiosiraceae</t>
  </si>
  <si>
    <t>Thalassiosira</t>
  </si>
  <si>
    <t>pseudonana</t>
  </si>
  <si>
    <t>Hasle &amp; Heimdal</t>
  </si>
  <si>
    <t>Ulnaria ulna</t>
  </si>
  <si>
    <t>Ulnaria</t>
  </si>
  <si>
    <t>(C.L. Nitzsch) Compère</t>
  </si>
  <si>
    <t>Ulnaria acus</t>
  </si>
  <si>
    <t>(Kützing) Aboal in Aboal, Alvarez-Cobelas, Cambra &amp; Ector</t>
  </si>
  <si>
    <t>Ulnaria delicatissima var. angustissima</t>
  </si>
  <si>
    <t>(Grunow in Van Heurck) Aboal in Aboal, Alvarez-Cobelas, Cambra &amp; Ector</t>
  </si>
  <si>
    <t>Acanthosphaera sp.</t>
  </si>
  <si>
    <t>Plantae</t>
  </si>
  <si>
    <t>Viridaeplantae</t>
  </si>
  <si>
    <t>Chlorophyceae</t>
  </si>
  <si>
    <t>Chlorococcales</t>
  </si>
  <si>
    <t>Golenkiniaceae</t>
  </si>
  <si>
    <t>Acanthosphaera</t>
  </si>
  <si>
    <t>Chlorophycées</t>
  </si>
  <si>
    <t>Actinastrum gracillimum</t>
  </si>
  <si>
    <t>Coelastraceae</t>
  </si>
  <si>
    <t>Actinastrum</t>
  </si>
  <si>
    <t>gracillimum</t>
  </si>
  <si>
    <t>Actinastrum hantzschii</t>
  </si>
  <si>
    <t>LAGERHEIM</t>
  </si>
  <si>
    <t>Actinastrum aciculare</t>
  </si>
  <si>
    <t>aciculare</t>
  </si>
  <si>
    <t>Amphikrikos minutissimus</t>
  </si>
  <si>
    <t>Oocystaceae</t>
  </si>
  <si>
    <t>Amphikrikos</t>
  </si>
  <si>
    <t>minutissimus</t>
  </si>
  <si>
    <t>Korsh.</t>
  </si>
  <si>
    <t>Amphikrikos sp.</t>
  </si>
  <si>
    <t>Coccomyxa littoralis</t>
  </si>
  <si>
    <t>Coccomyxa</t>
  </si>
  <si>
    <t>littoralis</t>
  </si>
  <si>
    <t>(Hansg) Wille</t>
  </si>
  <si>
    <t>Pseudococcomyxa sp.</t>
  </si>
  <si>
    <t>Pseudococcomyxa</t>
  </si>
  <si>
    <t>(Mainx) Fott</t>
  </si>
  <si>
    <t>Moyenne échantillons eaux minérales Iran Damavand (2010)</t>
  </si>
  <si>
    <t>Ankistrodesmus falcatus</t>
  </si>
  <si>
    <t>Chlorellaceae</t>
  </si>
  <si>
    <t>Ankistrodesmus</t>
  </si>
  <si>
    <t>falcatus</t>
  </si>
  <si>
    <t>(Corda) Ralfs</t>
  </si>
  <si>
    <t>X1</t>
  </si>
  <si>
    <t>Ankistrodesmus fusiformis</t>
  </si>
  <si>
    <t>fusiformis</t>
  </si>
  <si>
    <t>Corda</t>
  </si>
  <si>
    <t>Ankistrodesmus gracilis</t>
  </si>
  <si>
    <t>(REINSCH) Korshikov</t>
  </si>
  <si>
    <t>Ankistrodesmus nannoselene</t>
  </si>
  <si>
    <t>nannoselene</t>
  </si>
  <si>
    <t>Ankistrodesmus sp.</t>
  </si>
  <si>
    <t>Ankyra flagellated zoospore</t>
  </si>
  <si>
    <t>Characiaceae</t>
  </si>
  <si>
    <t>Ankyra</t>
  </si>
  <si>
    <t>flagellated zoospore</t>
  </si>
  <si>
    <t>Ankyra inerme</t>
  </si>
  <si>
    <t>inerme</t>
  </si>
  <si>
    <t>Reymond and Druart</t>
  </si>
  <si>
    <t>Ankyra judayi</t>
  </si>
  <si>
    <t>judayi</t>
  </si>
  <si>
    <t>(G.M.Smith) Fott</t>
  </si>
  <si>
    <t>Ankyra lanceolata</t>
  </si>
  <si>
    <t>(Korshikov) Fott</t>
  </si>
  <si>
    <t>Botryococcus braunii</t>
  </si>
  <si>
    <t>Dictyosphaerioideae</t>
  </si>
  <si>
    <t>Botryococcus</t>
  </si>
  <si>
    <t>braunii</t>
  </si>
  <si>
    <t>F</t>
  </si>
  <si>
    <t>Carteria multifilis</t>
  </si>
  <si>
    <t>Volvocales</t>
  </si>
  <si>
    <t>Chlamydomonadaceae</t>
  </si>
  <si>
    <t>Carteria</t>
  </si>
  <si>
    <t>multifilis</t>
  </si>
  <si>
    <t>(Fresenius) O. Dill</t>
  </si>
  <si>
    <t>G</t>
  </si>
  <si>
    <t>Carteria sp.</t>
  </si>
  <si>
    <t>Diesing emend. Francé</t>
  </si>
  <si>
    <t>Carteria wisconsinensis</t>
  </si>
  <si>
    <t>wisconsinensis</t>
  </si>
  <si>
    <t>Huber-Pestalozzi</t>
  </si>
  <si>
    <t>Chlamydocapsa sp.</t>
  </si>
  <si>
    <t>Tetrasporales</t>
  </si>
  <si>
    <t>Palmellopsidaceae</t>
  </si>
  <si>
    <t>Chlamydocapsa</t>
  </si>
  <si>
    <t>B. Fott</t>
  </si>
  <si>
    <t>Chlorelloidea sp.</t>
  </si>
  <si>
    <t>Chlorelloidea</t>
  </si>
  <si>
    <t>Dictyochlorella reniformis</t>
  </si>
  <si>
    <t>Radiococcaceae</t>
  </si>
  <si>
    <t>Dictyochlorella</t>
  </si>
  <si>
    <t>reniformis</t>
  </si>
  <si>
    <t>(A.A. Korshikov) P.C. Silva</t>
  </si>
  <si>
    <t>Gloeocystis vesiculosa</t>
  </si>
  <si>
    <t>Gloeocystis</t>
  </si>
  <si>
    <t>vesiculosa</t>
  </si>
  <si>
    <t>Palmeacea sp.</t>
  </si>
  <si>
    <t>Palmellaceae</t>
  </si>
  <si>
    <t>Palmeacea</t>
  </si>
  <si>
    <t>Palmellaceae sp.</t>
  </si>
  <si>
    <t>Palmeaceae</t>
  </si>
  <si>
    <t>Palmella sp.</t>
  </si>
  <si>
    <t>Palmella</t>
  </si>
  <si>
    <t>Aiguebelette 15-10-2012</t>
  </si>
  <si>
    <t>Paradoxia multiseta</t>
  </si>
  <si>
    <t>Hydrodictyaceae</t>
  </si>
  <si>
    <t>Paradoxia</t>
  </si>
  <si>
    <t>multiseta</t>
  </si>
  <si>
    <t>Sirenko</t>
  </si>
  <si>
    <t>Characiaceae sp.</t>
  </si>
  <si>
    <t>Characium sp.</t>
  </si>
  <si>
    <t>Characium</t>
  </si>
  <si>
    <t>A. Braun, Kützing</t>
  </si>
  <si>
    <t>Chlamydomonadaceae sp.</t>
  </si>
  <si>
    <t>Chlamydomonas cf botryospora</t>
  </si>
  <si>
    <t>botryospora</t>
  </si>
  <si>
    <t>Rodhe &amp; Skuja</t>
  </si>
  <si>
    <t>Chlamydomonas conica</t>
  </si>
  <si>
    <t>conica</t>
  </si>
  <si>
    <t>P.C.A. Dangeard</t>
  </si>
  <si>
    <t>Chlamydomonas conica var. subconica</t>
  </si>
  <si>
    <t>subconica</t>
  </si>
  <si>
    <t>(Starm.) Ettl</t>
  </si>
  <si>
    <t>Chlamydomonas globosa</t>
  </si>
  <si>
    <t>globosa</t>
  </si>
  <si>
    <t>J.SNOW</t>
  </si>
  <si>
    <t>Chlamydomonas gloeopara</t>
  </si>
  <si>
    <t>gloeopara</t>
  </si>
  <si>
    <t>Rodhe et Skuja</t>
  </si>
  <si>
    <t>moyennes biliographie</t>
  </si>
  <si>
    <t>Chlamydomonas gloeophila var. irregularis</t>
  </si>
  <si>
    <t>gloeophila</t>
  </si>
  <si>
    <t>irregularis</t>
  </si>
  <si>
    <t>H. Ettl</t>
  </si>
  <si>
    <t>Chlamydomonas intermedia</t>
  </si>
  <si>
    <t>intermedia</t>
  </si>
  <si>
    <t>Chlamydomonas proboscigera</t>
  </si>
  <si>
    <t>proboscigera</t>
  </si>
  <si>
    <t>Korshikov</t>
  </si>
  <si>
    <t>Chlamydomonas reinhardtii</t>
  </si>
  <si>
    <t>Dangeard</t>
  </si>
  <si>
    <t>Chlamydomonas sp.</t>
  </si>
  <si>
    <t>Chlamydomonas sp. 8 µm</t>
  </si>
  <si>
    <t>sp. 8 µm</t>
  </si>
  <si>
    <t>Ehrenb.</t>
  </si>
  <si>
    <t>Moyenne sur Lac d'Anterne 2010</t>
  </si>
  <si>
    <t>Chlamydomonas zebra</t>
  </si>
  <si>
    <t>zebra</t>
  </si>
  <si>
    <t>Korsh. ex Pascher</t>
  </si>
  <si>
    <t>Chlorella cf ellipsoidea</t>
  </si>
  <si>
    <t>ellipsoidea</t>
  </si>
  <si>
    <t>Gerneck</t>
  </si>
  <si>
    <t>Chlorella vulgaris</t>
  </si>
  <si>
    <t>BEIJERINCK</t>
  </si>
  <si>
    <t>Chlorellaceae sp</t>
  </si>
  <si>
    <t>Chlorhormidium sp.</t>
  </si>
  <si>
    <t>Ulvophyceae</t>
  </si>
  <si>
    <t>Ulotrichales</t>
  </si>
  <si>
    <t>Ulotrichaceae</t>
  </si>
  <si>
    <t>Chlorhormidium</t>
  </si>
  <si>
    <t>Chlorhormidium subtile</t>
  </si>
  <si>
    <t>subtile</t>
  </si>
  <si>
    <t>(Kützing) Starmach</t>
  </si>
  <si>
    <t>Chlorolobion saxatile</t>
  </si>
  <si>
    <t>Chlorolobion</t>
  </si>
  <si>
    <t>saxatile</t>
  </si>
  <si>
    <t>(J. Komarek-Legn.) J. Komarek</t>
  </si>
  <si>
    <t>Chlorophyceae small colony</t>
  </si>
  <si>
    <t>small colony</t>
  </si>
  <si>
    <t>Chlorophyceae indetermined big</t>
  </si>
  <si>
    <t>indetermined big</t>
  </si>
  <si>
    <t>Chlorophyceae indetermined small</t>
  </si>
  <si>
    <t>indetermined small</t>
  </si>
  <si>
    <t>Chlorophyceae sp.</t>
  </si>
  <si>
    <t>Chlorophyceae sp. filaments</t>
  </si>
  <si>
    <t>sp. filaments</t>
  </si>
  <si>
    <t>Chlorophyceae spp.</t>
  </si>
  <si>
    <t>Choricystis cf chodatii</t>
  </si>
  <si>
    <t>Choricystis</t>
  </si>
  <si>
    <t>(Jaag) Fott</t>
  </si>
  <si>
    <t>Chlorella + Choricysits</t>
  </si>
  <si>
    <t>M.Beijerinck</t>
  </si>
  <si>
    <t>Choricystis cf minor</t>
  </si>
  <si>
    <t>(Skuja) Fott</t>
  </si>
  <si>
    <t>Choricystis minor</t>
  </si>
  <si>
    <t>(H. Skuja) Fott</t>
  </si>
  <si>
    <t>Closteriopsis longissima</t>
  </si>
  <si>
    <t>Sphaeropleales</t>
  </si>
  <si>
    <t>Ankistrodesmaceae</t>
  </si>
  <si>
    <t>Closteriopsis</t>
  </si>
  <si>
    <t>longissima</t>
  </si>
  <si>
    <t>(Lemmermann) Lemmermann</t>
  </si>
  <si>
    <t>Coccomonas platyformis</t>
  </si>
  <si>
    <t>Phacotaceae</t>
  </si>
  <si>
    <t>Coccomonas</t>
  </si>
  <si>
    <t>platyformis</t>
  </si>
  <si>
    <t>F.W.Jane</t>
  </si>
  <si>
    <t>Coelastrum astroideum</t>
  </si>
  <si>
    <t>astroideum</t>
  </si>
  <si>
    <t>DE NOTARIS</t>
  </si>
  <si>
    <t>Coelastrum cambricum</t>
  </si>
  <si>
    <t>cambricum</t>
  </si>
  <si>
    <t>Archer</t>
  </si>
  <si>
    <t>Coelastrum indicum</t>
  </si>
  <si>
    <t>indicum</t>
  </si>
  <si>
    <t>Turn.</t>
  </si>
  <si>
    <t>Coelastrum microporum</t>
  </si>
  <si>
    <t>microporum</t>
  </si>
  <si>
    <t>Nägeli in A. Braun</t>
  </si>
  <si>
    <t>Coelastrum morus</t>
  </si>
  <si>
    <t>morus</t>
  </si>
  <si>
    <t>Coelastrum pseudomicroporum</t>
  </si>
  <si>
    <t>pseudomicroporum</t>
  </si>
  <si>
    <t>Coelastrum reticulatum</t>
  </si>
  <si>
    <t>reticulatum</t>
  </si>
  <si>
    <t>(DANGEARD) SENN</t>
  </si>
  <si>
    <t>Coelastrum reticulatum 3 cells</t>
  </si>
  <si>
    <t>3 cells</t>
  </si>
  <si>
    <t>(P.A.Dangeard) Senn</t>
  </si>
  <si>
    <t>Mesures Bultière 2007</t>
  </si>
  <si>
    <t>Coelastrum sp single cell</t>
  </si>
  <si>
    <t>Coelastrum sphaericum</t>
  </si>
  <si>
    <t>sphaericum</t>
  </si>
  <si>
    <t>Coenochloris hindakii</t>
  </si>
  <si>
    <t>Coenochloris</t>
  </si>
  <si>
    <t>hindakii</t>
  </si>
  <si>
    <t>Léman 2011 pour les colonies</t>
  </si>
  <si>
    <t>Coenochloris ovalis</t>
  </si>
  <si>
    <t>Coenochloris pyrenoideum var. minimum</t>
  </si>
  <si>
    <t xml:space="preserve">pyrenoideum </t>
  </si>
  <si>
    <t>minimum</t>
  </si>
  <si>
    <t>Coenochloris pyrenoidosa</t>
  </si>
  <si>
    <t>pyrenoidosa</t>
  </si>
  <si>
    <t>Korschikov</t>
  </si>
  <si>
    <t>Coenochloris sp.</t>
  </si>
  <si>
    <t>Coenocystis planctonica var. hercynica</t>
  </si>
  <si>
    <t>Coenocystis</t>
  </si>
  <si>
    <t>hercynica</t>
  </si>
  <si>
    <t>(Heynig) Fott</t>
  </si>
  <si>
    <t>Coenocystis sp.</t>
  </si>
  <si>
    <t>Coenocystis subcylindrica</t>
  </si>
  <si>
    <t>subcylindrica</t>
  </si>
  <si>
    <t>Crucigenia fenestrata</t>
  </si>
  <si>
    <t>Scenedesmaceae</t>
  </si>
  <si>
    <t>Crucigenia</t>
  </si>
  <si>
    <t>Schmidle</t>
  </si>
  <si>
    <t>Crucigenia lauterbornii</t>
  </si>
  <si>
    <t>lauterbornii</t>
  </si>
  <si>
    <t>Crucigenia mucronata</t>
  </si>
  <si>
    <t>mucronata</t>
  </si>
  <si>
    <t>(G.M. Smith) J. Komarek</t>
  </si>
  <si>
    <t>Crucigenia quadrata</t>
  </si>
  <si>
    <t>quadrata</t>
  </si>
  <si>
    <t>Morren</t>
  </si>
  <si>
    <t>Crucigenia tetrapedia</t>
  </si>
  <si>
    <t xml:space="preserve">tetrapedia </t>
  </si>
  <si>
    <t>(Kirchn.) W.G.S. West</t>
  </si>
  <si>
    <t>Crucigeniella apiculata</t>
  </si>
  <si>
    <t>Crucigeniella</t>
  </si>
  <si>
    <t>(Lemmermann) J. Komarek</t>
  </si>
  <si>
    <t>Crucigeniella crucifera</t>
  </si>
  <si>
    <t>crucifera</t>
  </si>
  <si>
    <t>(WOLLE) Komarek</t>
  </si>
  <si>
    <t>Crucigeniella lunaris</t>
  </si>
  <si>
    <t>lunaris</t>
  </si>
  <si>
    <t>Crucigeniella pulchra</t>
  </si>
  <si>
    <t>(W. &amp; G.S.West) Komarek</t>
  </si>
  <si>
    <t>Crucigeniella rectangularis</t>
  </si>
  <si>
    <t>rectangularis</t>
  </si>
  <si>
    <t>(Nägeli) Komarek</t>
  </si>
  <si>
    <t>Desmatractum indutum</t>
  </si>
  <si>
    <t>Treubariaceae</t>
  </si>
  <si>
    <t>Desmatractum</t>
  </si>
  <si>
    <t>indutum</t>
  </si>
  <si>
    <t>(Geitler) Pasher</t>
  </si>
  <si>
    <t>Dictyosphaerium cf subsolitarium</t>
  </si>
  <si>
    <t>Dictyosphaerium</t>
  </si>
  <si>
    <t>subsolitarium</t>
  </si>
  <si>
    <t>Van Goor</t>
  </si>
  <si>
    <t>Dictyosphaerium subsolitarium</t>
  </si>
  <si>
    <t>Dictyosphaerium subsolitarium single cell</t>
  </si>
  <si>
    <t>Dictyosphaerium cf tetrachotomum</t>
  </si>
  <si>
    <t>tetrachotomum</t>
  </si>
  <si>
    <t>Printz</t>
  </si>
  <si>
    <t>Dictyosphaerium ehrenbergianum</t>
  </si>
  <si>
    <t>ehrenbergianum</t>
  </si>
  <si>
    <t>Naeg.</t>
  </si>
  <si>
    <t>Dictyosphaerium elongatum</t>
  </si>
  <si>
    <t>F. Hindák</t>
  </si>
  <si>
    <t>Dictyosphaerium pulchellum</t>
  </si>
  <si>
    <t>pulchellum</t>
  </si>
  <si>
    <t>WOOD</t>
  </si>
  <si>
    <t>Didymocystis bicellularis</t>
  </si>
  <si>
    <t>Didymocystis</t>
  </si>
  <si>
    <t>bicellularis</t>
  </si>
  <si>
    <t>(Chodat) Komarek</t>
  </si>
  <si>
    <t>Didymocystis fina</t>
  </si>
  <si>
    <t>fina</t>
  </si>
  <si>
    <t>Mesures moyennes selon Huber Pestalozzi</t>
  </si>
  <si>
    <t>Didymocystis planctonica</t>
  </si>
  <si>
    <t>Didymocystis sp.</t>
  </si>
  <si>
    <t>Dimorphococcus lunatus</t>
  </si>
  <si>
    <t>Dimorphococcus</t>
  </si>
  <si>
    <t>lunatus</t>
  </si>
  <si>
    <t>A. Braun</t>
  </si>
  <si>
    <t>Dimorphococcus cordatus</t>
  </si>
  <si>
    <t>cordatus</t>
  </si>
  <si>
    <t>Wolle</t>
  </si>
  <si>
    <t>Echinosphaerella limnetica</t>
  </si>
  <si>
    <t>Echinosphaerella</t>
  </si>
  <si>
    <t>G.M. Smith</t>
  </si>
  <si>
    <t>Elakatothrix gelatinosa</t>
  </si>
  <si>
    <t>Elakatothrix</t>
  </si>
  <si>
    <t>gelatinosa</t>
  </si>
  <si>
    <t>WILLE</t>
  </si>
  <si>
    <t>Elakatothrix sp.</t>
  </si>
  <si>
    <t>Wille</t>
  </si>
  <si>
    <t>Elakatothrix viridis</t>
  </si>
  <si>
    <t>(Snow) Printz sensu Skuja</t>
  </si>
  <si>
    <t>Eudorina elegans</t>
  </si>
  <si>
    <t>Volvocaceae</t>
  </si>
  <si>
    <t>Eudorina</t>
  </si>
  <si>
    <t>Eudorina elegans single cell</t>
  </si>
  <si>
    <t>Eutetramorus fottii</t>
  </si>
  <si>
    <t>Eutetramorus</t>
  </si>
  <si>
    <t>fotti</t>
  </si>
  <si>
    <t>(Hind.) Kom.</t>
  </si>
  <si>
    <t>Eutetramorus globosus</t>
  </si>
  <si>
    <t>globosus</t>
  </si>
  <si>
    <t>Walton</t>
  </si>
  <si>
    <t>Eutetramorus nygaardii</t>
  </si>
  <si>
    <t>nygaardii</t>
  </si>
  <si>
    <t>Kom</t>
  </si>
  <si>
    <t>Eutetramorus sp.</t>
  </si>
  <si>
    <t>Fotterella tetrachlorella</t>
  </si>
  <si>
    <t>Fotterella</t>
  </si>
  <si>
    <t>tetrachlorella</t>
  </si>
  <si>
    <t>R.Buck</t>
  </si>
  <si>
    <t>Franceia amphitricha</t>
  </si>
  <si>
    <t>Franceia</t>
  </si>
  <si>
    <t>amphitricha</t>
  </si>
  <si>
    <t>(Lagerheim) Hegewald</t>
  </si>
  <si>
    <t>Franceia ovalis</t>
  </si>
  <si>
    <t>(France) Lemmermann</t>
  </si>
  <si>
    <t>Geminella subtilissima</t>
  </si>
  <si>
    <t>Geminella</t>
  </si>
  <si>
    <t>subtillissima</t>
  </si>
  <si>
    <t>(Lagerheim) Printz</t>
  </si>
  <si>
    <t>Geminella interrupta</t>
  </si>
  <si>
    <t>interrupta</t>
  </si>
  <si>
    <t>Turpin</t>
  </si>
  <si>
    <t>Gloeocystis sp.</t>
  </si>
  <si>
    <t>Golenkinia radiata</t>
  </si>
  <si>
    <t>Golenkinia</t>
  </si>
  <si>
    <t>radiata</t>
  </si>
  <si>
    <t>Golenkinia viridis</t>
  </si>
  <si>
    <t>(Frenzel) Printz</t>
  </si>
  <si>
    <t>Golenkiniopsis chlorelloides</t>
  </si>
  <si>
    <t>Golenkiniopsis</t>
  </si>
  <si>
    <t>chlorelloides</t>
  </si>
  <si>
    <t>(J.W.G. Lund) Fott</t>
  </si>
  <si>
    <t>Golenkiniopsis longispina</t>
  </si>
  <si>
    <t>Micractiniaceae</t>
  </si>
  <si>
    <t>longispina</t>
  </si>
  <si>
    <t>(Korshikov) Korshikov</t>
  </si>
  <si>
    <t>Golenkiniopsis parvula</t>
  </si>
  <si>
    <t>parvula</t>
  </si>
  <si>
    <t>Kors.</t>
  </si>
  <si>
    <t>Golenkiniopsis solitaria</t>
  </si>
  <si>
    <t>Golenkiniopsis sp.</t>
  </si>
  <si>
    <t>Gonium pectorale</t>
  </si>
  <si>
    <t>Goniaceae</t>
  </si>
  <si>
    <t>Gonium</t>
  </si>
  <si>
    <t>pectorale</t>
  </si>
  <si>
    <t>O.F.MÜLLER</t>
  </si>
  <si>
    <t>Granulocystis helenae</t>
  </si>
  <si>
    <t>Granulocystis</t>
  </si>
  <si>
    <t>helenae</t>
  </si>
  <si>
    <t>Granulocystopsis coronata</t>
  </si>
  <si>
    <t>Granulocystopsis</t>
  </si>
  <si>
    <t>(Lemmermann) Hindák</t>
  </si>
  <si>
    <t>Granulocystopsis pseudocoronata</t>
  </si>
  <si>
    <t>pseudocoronata</t>
  </si>
  <si>
    <t>(Korshikov) Hindák</t>
  </si>
  <si>
    <t>Heleochloris pallida</t>
  </si>
  <si>
    <t>Heleochloris</t>
  </si>
  <si>
    <t>pallida</t>
  </si>
  <si>
    <t>Hyaloraphidium contortum</t>
  </si>
  <si>
    <t>Hyaloraphidium</t>
  </si>
  <si>
    <t>contortum</t>
  </si>
  <si>
    <t>Pasch.et Kors.</t>
  </si>
  <si>
    <t>Kirchneriella contorta</t>
  </si>
  <si>
    <t>Kirchneriella</t>
  </si>
  <si>
    <t>contorta</t>
  </si>
  <si>
    <t>(SCHMIDLE) BOHLIN</t>
  </si>
  <si>
    <t>Kirchneriella dianae</t>
  </si>
  <si>
    <t>dianae</t>
  </si>
  <si>
    <t>(BOHLIN) COMAS</t>
  </si>
  <si>
    <t>Kirchneriella dichotomococcoides</t>
  </si>
  <si>
    <t>dichotomococcoides</t>
  </si>
  <si>
    <t>Kirchneriella incurvata</t>
  </si>
  <si>
    <t>incurvata</t>
  </si>
  <si>
    <t>Belcher &amp; Swale</t>
  </si>
  <si>
    <t>Kirchneriella irregularis</t>
  </si>
  <si>
    <t>(G.M.Smith) Korshikov</t>
  </si>
  <si>
    <t>Kirchneriella lunaris</t>
  </si>
  <si>
    <t>(KIRCHNER) MOEBIUS</t>
  </si>
  <si>
    <t>Kirchneriella mayori</t>
  </si>
  <si>
    <t>mayori</t>
  </si>
  <si>
    <t>(G. S. West) J. Komarek</t>
  </si>
  <si>
    <t>Kirchneriella microscopica</t>
  </si>
  <si>
    <t>microscopica</t>
  </si>
  <si>
    <t>G. Nygaard</t>
  </si>
  <si>
    <t>Kirchneriella obesa</t>
  </si>
  <si>
    <t>obesa</t>
  </si>
  <si>
    <t>(W.West) SCHMIDLE</t>
  </si>
  <si>
    <t>Kirchneriella subcapitata</t>
  </si>
  <si>
    <t>subcapitata</t>
  </si>
  <si>
    <t>Korshikoviella gracilipes</t>
  </si>
  <si>
    <t>Korshikoviella</t>
  </si>
  <si>
    <t>gracilipes</t>
  </si>
  <si>
    <t>(Lamb) Silva</t>
  </si>
  <si>
    <t>Korshikoviella limnetica</t>
  </si>
  <si>
    <t>(Lemmermann) P.C.SILVA</t>
  </si>
  <si>
    <t>Korshikoviella michailovskoensis</t>
  </si>
  <si>
    <t>michailovskoensis</t>
  </si>
  <si>
    <t>(Elenkin) P.C. Silva</t>
  </si>
  <si>
    <t>Korshikoviella sp.</t>
  </si>
  <si>
    <t>P.C. Silva</t>
  </si>
  <si>
    <t>Lagerheimia balatonica</t>
  </si>
  <si>
    <t>Lagerheimia</t>
  </si>
  <si>
    <t>balatonica</t>
  </si>
  <si>
    <t>(Scherff.in Kol.) Hindák</t>
  </si>
  <si>
    <t>Lagerheimia chodatii colony</t>
  </si>
  <si>
    <t>C.Bernard</t>
  </si>
  <si>
    <t>Lagerheimia chodatii</t>
  </si>
  <si>
    <t>Bern</t>
  </si>
  <si>
    <t>Lagerheimia ciliata</t>
  </si>
  <si>
    <t>ciliata</t>
  </si>
  <si>
    <t>(LAGERHEIM) Chodat</t>
  </si>
  <si>
    <t>Lagerheimia citriformis</t>
  </si>
  <si>
    <t>citriformis</t>
  </si>
  <si>
    <t>(SNOW) COLLINS</t>
  </si>
  <si>
    <t>Lagerheimia genevensis</t>
  </si>
  <si>
    <t>Lagerheimia longiseta</t>
  </si>
  <si>
    <t>(Lemmermann) Wille</t>
  </si>
  <si>
    <t>Lagerheimia marsonii</t>
  </si>
  <si>
    <t>Lagerheimia quadriseta</t>
  </si>
  <si>
    <t>quadriseta</t>
  </si>
  <si>
    <t>Lagerheimia sp.</t>
  </si>
  <si>
    <t>R. Chodat</t>
  </si>
  <si>
    <t>Lagerheimia subsalsa</t>
  </si>
  <si>
    <t>subsalsa</t>
  </si>
  <si>
    <t>Lagerheimia wratislaviensis</t>
  </si>
  <si>
    <t>wratislaviensis</t>
  </si>
  <si>
    <t>Schroed.</t>
  </si>
  <si>
    <t>Lobocystis sp.</t>
  </si>
  <si>
    <t>Botryococcaceae</t>
  </si>
  <si>
    <t>Lobocystis</t>
  </si>
  <si>
    <t>R.H. Thompson</t>
  </si>
  <si>
    <t>Micractinium pusillum single cell</t>
  </si>
  <si>
    <t>Micractinium</t>
  </si>
  <si>
    <t>pusillum</t>
  </si>
  <si>
    <t>Fresenius</t>
  </si>
  <si>
    <t>Micractinium pusillum</t>
  </si>
  <si>
    <t>FRESENIUS</t>
  </si>
  <si>
    <t>Micractinium pusillum colony 4 cells</t>
  </si>
  <si>
    <t>colony 4 cells</t>
  </si>
  <si>
    <t>Micractinium crassisetum</t>
  </si>
  <si>
    <t>crassisetum</t>
  </si>
  <si>
    <t>Hortob.</t>
  </si>
  <si>
    <t>micro Chlorophyceae</t>
  </si>
  <si>
    <t>Microspora abbreviata</t>
  </si>
  <si>
    <t>Microsporales</t>
  </si>
  <si>
    <t>Microsporaceae</t>
  </si>
  <si>
    <t>Microspora</t>
  </si>
  <si>
    <t>(Rabenhorst) Lagerheim</t>
  </si>
  <si>
    <t>Monoraphidium arcuatum</t>
  </si>
  <si>
    <t>Monoraphidium</t>
  </si>
  <si>
    <t>arcuatum</t>
  </si>
  <si>
    <t>(Korshikov) HINDÁK</t>
  </si>
  <si>
    <t>Monoraphidium circinale</t>
  </si>
  <si>
    <t>circinale</t>
  </si>
  <si>
    <t>(NYGAARD) NYGAARD</t>
  </si>
  <si>
    <t>Monoraphidium contortum</t>
  </si>
  <si>
    <t>(THURET) KOMÁRKOVÁ-LEGNEROVÁ</t>
  </si>
  <si>
    <t>valeurs moyennes selon Komarek &amp; Fott 1983</t>
  </si>
  <si>
    <t>Monoraphidium convolutum</t>
  </si>
  <si>
    <t>convolutum</t>
  </si>
  <si>
    <t>(CORDA) KOMÁRKOVÁ-LEGNEROVÁ</t>
  </si>
  <si>
    <t>Monoraphidium dybowskii</t>
  </si>
  <si>
    <t>dybowskii</t>
  </si>
  <si>
    <t>(Woloszynska) Hindak &amp; J. Komarek Legnerova</t>
  </si>
  <si>
    <t>Monoraphidium fontinale</t>
  </si>
  <si>
    <t>fontinale</t>
  </si>
  <si>
    <t>Monoraphidium griffithii</t>
  </si>
  <si>
    <t>(M.J.BERKELEY) KOMÁRKOVÁ-LEGNEROVÁ</t>
  </si>
  <si>
    <t>Monoraphidium indicum</t>
  </si>
  <si>
    <t>Monoraphidium irregulare</t>
  </si>
  <si>
    <t>(G.M. Smith) Komarkova-Legnerova</t>
  </si>
  <si>
    <t>Monoraphidium komarkovae</t>
  </si>
  <si>
    <t>komarkovae</t>
  </si>
  <si>
    <t>NYGAARD</t>
  </si>
  <si>
    <t>Monoraphidium minutum</t>
  </si>
  <si>
    <t>(Nägeli) KOMÁRKOVÁ-LEGNEROVÁ</t>
  </si>
  <si>
    <t>Monoraphidium mirabile</t>
  </si>
  <si>
    <t>mirabile</t>
  </si>
  <si>
    <t>(West &amp; G. S. West) Pankow</t>
  </si>
  <si>
    <t>Monoraphidium nanum</t>
  </si>
  <si>
    <t>nanum</t>
  </si>
  <si>
    <t>(Ettl.) Hindák</t>
  </si>
  <si>
    <t>Monoraphidium pusillum</t>
  </si>
  <si>
    <t>(Printz) J. Komarek-Legn.</t>
  </si>
  <si>
    <t>Monoraphidium subclavatum</t>
  </si>
  <si>
    <t>subclavatum</t>
  </si>
  <si>
    <t>Nyg</t>
  </si>
  <si>
    <t>Monoraphidium skujae</t>
  </si>
  <si>
    <t>Monoraphidium sp.</t>
  </si>
  <si>
    <t>Komarkova-Legnerova</t>
  </si>
  <si>
    <t>Monoraphidium tortile</t>
  </si>
  <si>
    <t>tortile</t>
  </si>
  <si>
    <t>(W.et G.S.West) J. Komarek-Legn.</t>
  </si>
  <si>
    <t>Nephrochlamys allanthoidea</t>
  </si>
  <si>
    <t>Nephrochlamys</t>
  </si>
  <si>
    <t>allanthoidea</t>
  </si>
  <si>
    <t>Nephrochlamys danica</t>
  </si>
  <si>
    <t>danica</t>
  </si>
  <si>
    <t>Nephrochlamys subsolitaria</t>
  </si>
  <si>
    <t>subsolitaria</t>
  </si>
  <si>
    <t>(G.S.West) Korshikov</t>
  </si>
  <si>
    <t>Nephrocytium agardhianum</t>
  </si>
  <si>
    <t>Nephrocytium</t>
  </si>
  <si>
    <t>agardhianum</t>
  </si>
  <si>
    <t>Nephrocytium limneticum</t>
  </si>
  <si>
    <t>(G.M. Sm.) G.M. Smith</t>
  </si>
  <si>
    <t>Nephrocytium sp.</t>
  </si>
  <si>
    <t>Oedogonium large cell Bourget03</t>
  </si>
  <si>
    <t>Oedogoniales</t>
  </si>
  <si>
    <t>Oedogoniaceae</t>
  </si>
  <si>
    <t>Oedogonium</t>
  </si>
  <si>
    <t>large cell</t>
  </si>
  <si>
    <t>Link ex Hirn</t>
  </si>
  <si>
    <t>Oedogonium sp.</t>
  </si>
  <si>
    <t>Link</t>
  </si>
  <si>
    <t>Oocystis borgei</t>
  </si>
  <si>
    <t>borgei</t>
  </si>
  <si>
    <t>Snow</t>
  </si>
  <si>
    <t>Oocystis cf. bispora</t>
  </si>
  <si>
    <t>bispora</t>
  </si>
  <si>
    <t>Komarek</t>
  </si>
  <si>
    <t>Oocystis parva</t>
  </si>
  <si>
    <t>W.et G.S.West</t>
  </si>
  <si>
    <t>Oocystis lacustris</t>
  </si>
  <si>
    <t>Oocystis marsonii</t>
  </si>
  <si>
    <t>Oocystis naegelii</t>
  </si>
  <si>
    <t>A. Br.</t>
  </si>
  <si>
    <t>Oocystis polymorpha</t>
  </si>
  <si>
    <t>Groover &amp; Bold</t>
  </si>
  <si>
    <t>Oocystis rhomboidea</t>
  </si>
  <si>
    <t>rhomboidea</t>
  </si>
  <si>
    <t>Oocystis solitaria</t>
  </si>
  <si>
    <t>WITTROCK in WITTROCK &amp; NORDSTEDT</t>
  </si>
  <si>
    <t>Oocystis sp.</t>
  </si>
  <si>
    <t>Pandorina morum</t>
  </si>
  <si>
    <t>Pandorina</t>
  </si>
  <si>
    <t>morum</t>
  </si>
  <si>
    <t>Pandorina morum var. major</t>
  </si>
  <si>
    <t>Jyengar</t>
  </si>
  <si>
    <t>Moyenne sur échantillons lac Babeni Roumanie - 2009</t>
  </si>
  <si>
    <t>Pandorina sp.</t>
  </si>
  <si>
    <t>Bory</t>
  </si>
  <si>
    <t>Mesure Léman SHL2 n 14</t>
  </si>
  <si>
    <t>Papenfussiomonas cordata</t>
  </si>
  <si>
    <t>Dunaliellaceae</t>
  </si>
  <si>
    <t>Papenfussiomonas</t>
  </si>
  <si>
    <t>Desikachary</t>
  </si>
  <si>
    <t>Gloeotila spiralis</t>
  </si>
  <si>
    <t>Gloeotilaceae</t>
  </si>
  <si>
    <t>Gloeotila</t>
  </si>
  <si>
    <t>spiralis</t>
  </si>
  <si>
    <t>Paradoxia pelletieri</t>
  </si>
  <si>
    <t>pelletieri</t>
  </si>
  <si>
    <t>Druart &amp; Reymond</t>
  </si>
  <si>
    <t>Paulschulzia pseudovolvox</t>
  </si>
  <si>
    <t>Tetrasporaceae</t>
  </si>
  <si>
    <t>Paulschulzia</t>
  </si>
  <si>
    <t>pseudovolvox</t>
  </si>
  <si>
    <t>(Schulz.) Skuja</t>
  </si>
  <si>
    <t>Pediastrum biradiatum</t>
  </si>
  <si>
    <t>biradiatum</t>
  </si>
  <si>
    <t>Pediastrum boryanum</t>
  </si>
  <si>
    <t>boryanum</t>
  </si>
  <si>
    <t>(TURPIN) MENEGHINI</t>
  </si>
  <si>
    <t>Pediastrum boryanum var. longicorne</t>
  </si>
  <si>
    <t>longicorne</t>
  </si>
  <si>
    <t>Reinsch</t>
  </si>
  <si>
    <t>Pediastrum duplex</t>
  </si>
  <si>
    <t>MEYEN</t>
  </si>
  <si>
    <t>Pediastrum duplex var. gracillimum</t>
  </si>
  <si>
    <t>Pediastrum simplex</t>
  </si>
  <si>
    <t xml:space="preserve">simplex </t>
  </si>
  <si>
    <t>Pediastrum simplex var. sturmii</t>
  </si>
  <si>
    <t>simplex</t>
  </si>
  <si>
    <t>sturmii</t>
  </si>
  <si>
    <t>(Reinsch.) Wolle</t>
  </si>
  <si>
    <t>Pediastrum tetras</t>
  </si>
  <si>
    <t>tetras</t>
  </si>
  <si>
    <t>(Ehrenberg) RALFS</t>
  </si>
  <si>
    <t>Phacotus lendneri</t>
  </si>
  <si>
    <t>Phacotus</t>
  </si>
  <si>
    <t>lendneri</t>
  </si>
  <si>
    <t>Xph</t>
  </si>
  <si>
    <t>Phacotus lenticularis</t>
  </si>
  <si>
    <t>lenticularis</t>
  </si>
  <si>
    <t>(Ehrenberg) Stein</t>
  </si>
  <si>
    <t>Planctonema lauterbornii</t>
  </si>
  <si>
    <t>Planktonema</t>
  </si>
  <si>
    <t>moyenne lacs ORE</t>
  </si>
  <si>
    <t>Planktosphaeria gelatinosa</t>
  </si>
  <si>
    <t>Planktosphaeria</t>
  </si>
  <si>
    <t>G.M.Smith</t>
  </si>
  <si>
    <t>Polyedriopsis bitridens</t>
  </si>
  <si>
    <t>Polyedriopsis</t>
  </si>
  <si>
    <t>bitridens</t>
  </si>
  <si>
    <t>(Beck-Mannagetta) Kovacik</t>
  </si>
  <si>
    <t>Pseudochlorella pyrenoidosa</t>
  </si>
  <si>
    <t>Trebouxiophyceae</t>
  </si>
  <si>
    <t>Prasiolales</t>
  </si>
  <si>
    <t>Koliellaceae</t>
  </si>
  <si>
    <t>Pseudochlorella</t>
  </si>
  <si>
    <t>(Zeitler) J.W.G.Lund</t>
  </si>
  <si>
    <t>Pseudosphaerocystis lundii</t>
  </si>
  <si>
    <t>Pseudosphaerocystis</t>
  </si>
  <si>
    <t>lundii</t>
  </si>
  <si>
    <t>Pteromonas aculeata</t>
  </si>
  <si>
    <t>Pteromonas</t>
  </si>
  <si>
    <t>aculeata</t>
  </si>
  <si>
    <t>Pteromonas angulosa</t>
  </si>
  <si>
    <t>angulosa</t>
  </si>
  <si>
    <t>Pteromonas cordiformis</t>
  </si>
  <si>
    <t>cordiformis</t>
  </si>
  <si>
    <t>Pteromonas pseudoangulosa</t>
  </si>
  <si>
    <t>pseudoangulosa</t>
  </si>
  <si>
    <t>Péterfi</t>
  </si>
  <si>
    <t>Pyramimonas inconstans</t>
  </si>
  <si>
    <t>Prasinophyceae</t>
  </si>
  <si>
    <t>Pyramimonadales</t>
  </si>
  <si>
    <t>Pyramimonadaceae</t>
  </si>
  <si>
    <t>Pyramimonas</t>
  </si>
  <si>
    <t>inconstans</t>
  </si>
  <si>
    <t>Hodgett</t>
  </si>
  <si>
    <t>Pyramimonas micron</t>
  </si>
  <si>
    <t>micron</t>
  </si>
  <si>
    <t>W. Conrad &amp; H. Kufferath</t>
  </si>
  <si>
    <t>Moyenne Leman et Bourget 2009</t>
  </si>
  <si>
    <t>Quadrichloris carterioides</t>
  </si>
  <si>
    <t>Quadrichloris</t>
  </si>
  <si>
    <t>carterioides</t>
  </si>
  <si>
    <t>(Pascher et Jahoda) Fott</t>
  </si>
  <si>
    <t>Quadricoccus ellipticus</t>
  </si>
  <si>
    <t>Quadricoccus</t>
  </si>
  <si>
    <t>ellipticus</t>
  </si>
  <si>
    <t>Hortobagyi C. Agardh</t>
  </si>
  <si>
    <t>Quadrigula cf. closterioides</t>
  </si>
  <si>
    <t>Quadrigula</t>
  </si>
  <si>
    <t>closterioides</t>
  </si>
  <si>
    <t>(Bohlin) Printz</t>
  </si>
  <si>
    <t>Quadrigula lacustris</t>
  </si>
  <si>
    <t>(Chodat) G.M.Smith</t>
  </si>
  <si>
    <t>Quadrigula quaternata</t>
  </si>
  <si>
    <t>quaternata</t>
  </si>
  <si>
    <t>(W.et G.S.West) Printz</t>
  </si>
  <si>
    <t>Rayssiella hemisphaerica</t>
  </si>
  <si>
    <t>Rayssiella</t>
  </si>
  <si>
    <t>hemisphaerica</t>
  </si>
  <si>
    <t>Edelstein &amp; Prescott</t>
  </si>
  <si>
    <t>Radiococcus planktonicus</t>
  </si>
  <si>
    <t>Radiococcus</t>
  </si>
  <si>
    <t>planktonicus</t>
  </si>
  <si>
    <t>Scenedesmus aculeolatus</t>
  </si>
  <si>
    <t>aculeolatus</t>
  </si>
  <si>
    <t>Scenedesmus acuminatus</t>
  </si>
  <si>
    <t>acuminatus</t>
  </si>
  <si>
    <t>Scenedesmus acunae</t>
  </si>
  <si>
    <t>acunae</t>
  </si>
  <si>
    <t>Comas</t>
  </si>
  <si>
    <t>Scenedesmus acutiformis</t>
  </si>
  <si>
    <t>acutiformis</t>
  </si>
  <si>
    <t>Schröder</t>
  </si>
  <si>
    <t>Scenedesmus acutus</t>
  </si>
  <si>
    <t>acutus</t>
  </si>
  <si>
    <t>Scenedesmus acutus single cell</t>
  </si>
  <si>
    <t xml:space="preserve">f. </t>
  </si>
  <si>
    <t>une cellule</t>
  </si>
  <si>
    <t>Lagh. Chodat</t>
  </si>
  <si>
    <t>Scenedesmus acutus var. acutus</t>
  </si>
  <si>
    <t>Scenedesmus acutus var. alternans</t>
  </si>
  <si>
    <t>Scenedesmus apiculatus</t>
  </si>
  <si>
    <t>apiculatus</t>
  </si>
  <si>
    <t>(West &amp; G.S.West) Chodat</t>
  </si>
  <si>
    <t>Scenedesmus arcuatus</t>
  </si>
  <si>
    <t>arcuatus</t>
  </si>
  <si>
    <t>(Lemmermann) Lemm</t>
  </si>
  <si>
    <t>Scenedesmus armatus</t>
  </si>
  <si>
    <t>armatus</t>
  </si>
  <si>
    <t>Scenedesmus bernardii</t>
  </si>
  <si>
    <t>bernardii</t>
  </si>
  <si>
    <t>Scenedesmus bicaudatus</t>
  </si>
  <si>
    <t>bicaudatus</t>
  </si>
  <si>
    <t>DEDUSENKO</t>
  </si>
  <si>
    <t>Scenedesmus bicaudatus var. brevicaudatus</t>
  </si>
  <si>
    <t>brevicaudatus</t>
  </si>
  <si>
    <t>Hortobagyi</t>
  </si>
  <si>
    <t>Scenedesmus bicaudatus var. fenestratus</t>
  </si>
  <si>
    <t>fenestratus</t>
  </si>
  <si>
    <t>Non trouvé dans biblio - arbitraire</t>
  </si>
  <si>
    <t>Scenedesmus fusiformis</t>
  </si>
  <si>
    <t>Meneghini</t>
  </si>
  <si>
    <t>Scenedesmus gutwinskii</t>
  </si>
  <si>
    <t>gutwinskii</t>
  </si>
  <si>
    <t>Chod.</t>
  </si>
  <si>
    <t>Scenedesmus oahuensis</t>
  </si>
  <si>
    <t>oahuensis</t>
  </si>
  <si>
    <t>Scenedesmus opoliensis</t>
  </si>
  <si>
    <t>opoliensis</t>
  </si>
  <si>
    <t>Scenedesmus pannonicus</t>
  </si>
  <si>
    <t>pannonicus</t>
  </si>
  <si>
    <t>Scenedesmus parisiensis</t>
  </si>
  <si>
    <t>parisiensis</t>
  </si>
  <si>
    <t>Scenedesmus praetervisus</t>
  </si>
  <si>
    <t>praetervisus</t>
  </si>
  <si>
    <t>Scenedesmus semipulcher</t>
  </si>
  <si>
    <t>semipulcher</t>
  </si>
  <si>
    <t>Scenedesmus serratus</t>
  </si>
  <si>
    <t>serratus</t>
  </si>
  <si>
    <t>(Corda) Bohl.</t>
  </si>
  <si>
    <t>Scenedesmus tibiscensis</t>
  </si>
  <si>
    <t>tibiscensis</t>
  </si>
  <si>
    <t>Uherkovich</t>
  </si>
  <si>
    <t>Scenedesmus denticulatus</t>
  </si>
  <si>
    <t>denticulatus</t>
  </si>
  <si>
    <t>Lagerheim</t>
  </si>
  <si>
    <t>Scenedesmus denticulatus var. fenestratus</t>
  </si>
  <si>
    <t>(Teiling) Uherkovich</t>
  </si>
  <si>
    <t>Scenedesmus dimorphus</t>
  </si>
  <si>
    <t>dimorphus</t>
  </si>
  <si>
    <t>(Turpin) Kützing</t>
  </si>
  <si>
    <t>Scenedesmus disciformis</t>
  </si>
  <si>
    <t>disciformis</t>
  </si>
  <si>
    <t>(Chodat) Fott &amp; J. Komarek</t>
  </si>
  <si>
    <t>Scenedesmus disciformis f. disciformis</t>
  </si>
  <si>
    <t>Scenedesmus dispar</t>
  </si>
  <si>
    <t>dispar</t>
  </si>
  <si>
    <t>(Brébisson) Rabenhorst</t>
  </si>
  <si>
    <t>Scenedesmus ecornis</t>
  </si>
  <si>
    <t>ecornis</t>
  </si>
  <si>
    <t>(Ehrenberg) Chodat</t>
  </si>
  <si>
    <t>Scenedesmus ecornis var. polymorphus</t>
  </si>
  <si>
    <t>polymorphus</t>
  </si>
  <si>
    <t>Scenedesmus ecornis single cell</t>
  </si>
  <si>
    <t>Scenedesmus grahneisii</t>
  </si>
  <si>
    <t>grahneisii</t>
  </si>
  <si>
    <t>Scenedesmus granulatus</t>
  </si>
  <si>
    <t>Scenedesmus insignis</t>
  </si>
  <si>
    <t>insignis</t>
  </si>
  <si>
    <t>(West &amp; G.S. West) Chodat</t>
  </si>
  <si>
    <t>Scenedesmus intermedius var. acaudatus</t>
  </si>
  <si>
    <t>intermedius</t>
  </si>
  <si>
    <t>acaudatus</t>
  </si>
  <si>
    <t>Scenedesmus intermedius var. intermedius</t>
  </si>
  <si>
    <t>Scenedesmus intermedius var. bicaudatus</t>
  </si>
  <si>
    <t>Scenedesmus lefevrii</t>
  </si>
  <si>
    <t>lefevrii</t>
  </si>
  <si>
    <t>Deflandre</t>
  </si>
  <si>
    <t>Scenedesmus lefevrii var. manguinii</t>
  </si>
  <si>
    <t>manguinii</t>
  </si>
  <si>
    <t>Lefév. &amp; Bourrelly</t>
  </si>
  <si>
    <t>Scenedesmus linearis</t>
  </si>
  <si>
    <t>Scenedesmus lunatus</t>
  </si>
  <si>
    <t>(W. &amp; G.S. West) Chodat</t>
  </si>
  <si>
    <t>Scenedesmus magnus</t>
  </si>
  <si>
    <t>magnus</t>
  </si>
  <si>
    <t>Scenedesmus obliquus</t>
  </si>
  <si>
    <t>obliquus</t>
  </si>
  <si>
    <t>(TURPIN) Kützing</t>
  </si>
  <si>
    <t>Scenedesmus obtusus</t>
  </si>
  <si>
    <t>obtusus</t>
  </si>
  <si>
    <t>Scenedesmus obtusus f. alternans</t>
  </si>
  <si>
    <t>(Reinsch) Compere</t>
  </si>
  <si>
    <t>P.G.RICHTER</t>
  </si>
  <si>
    <t>Scenedesmus opoliensis var. carinatus</t>
  </si>
  <si>
    <t>carinatus</t>
  </si>
  <si>
    <t>Scenedesmus ovalternus</t>
  </si>
  <si>
    <t>ovalternus</t>
  </si>
  <si>
    <t>Scenedesmus pecsensis</t>
  </si>
  <si>
    <t>pecsensis</t>
  </si>
  <si>
    <t>Scenedesmus protuberans</t>
  </si>
  <si>
    <t>Fritsch.</t>
  </si>
  <si>
    <t>Scenedesmus pulloideus</t>
  </si>
  <si>
    <t>pulloideus</t>
  </si>
  <si>
    <t>Hegewald</t>
  </si>
  <si>
    <t>Scenedesmus quadricauda</t>
  </si>
  <si>
    <t>quadricauda</t>
  </si>
  <si>
    <t>(TURPIN) Brébisson sensu Chodat</t>
  </si>
  <si>
    <t>Scenedesmus smithii</t>
  </si>
  <si>
    <t>Teiling</t>
  </si>
  <si>
    <t>Scenedesmus sp.</t>
  </si>
  <si>
    <t>Scenedesmus spinosus</t>
  </si>
  <si>
    <t>spinosus</t>
  </si>
  <si>
    <t>Scenedesmus verrucosus</t>
  </si>
  <si>
    <t>verrucosus</t>
  </si>
  <si>
    <t>Schroederia antillarum</t>
  </si>
  <si>
    <t>Schroederia</t>
  </si>
  <si>
    <t>antillarum</t>
  </si>
  <si>
    <t>Schroederia indica</t>
  </si>
  <si>
    <t>indica</t>
  </si>
  <si>
    <t>Philipose</t>
  </si>
  <si>
    <t>Schroederia setigera</t>
  </si>
  <si>
    <t>setigera</t>
  </si>
  <si>
    <t>(SCHRÖDER) Lemmermann</t>
  </si>
  <si>
    <t>Selenastrum capricornutum</t>
  </si>
  <si>
    <t>Selenastrum</t>
  </si>
  <si>
    <t>capricornutum</t>
  </si>
  <si>
    <t>Selenochloris quadriloba</t>
  </si>
  <si>
    <t>Polyblepharidaceae</t>
  </si>
  <si>
    <t>Selenochloris</t>
  </si>
  <si>
    <t>quadriloba</t>
  </si>
  <si>
    <t>(Korshikov) Ettl</t>
  </si>
  <si>
    <t>Siderocelis minor</t>
  </si>
  <si>
    <t>Siderocelis</t>
  </si>
  <si>
    <t>(Naumann) Fott</t>
  </si>
  <si>
    <t>Siderocelis oblonga</t>
  </si>
  <si>
    <t>oblonga</t>
  </si>
  <si>
    <t>Siderocelis ornata</t>
  </si>
  <si>
    <t>ornata</t>
  </si>
  <si>
    <t>Siderocelis sp.</t>
  </si>
  <si>
    <t>Naumann (Fott)</t>
  </si>
  <si>
    <t>Sphaerellopsis aulata</t>
  </si>
  <si>
    <t>Sphaerellopsis</t>
  </si>
  <si>
    <t>aulata</t>
  </si>
  <si>
    <t>(Pascher) Gerloff</t>
  </si>
  <si>
    <t>Sphaerocystis schroeteri</t>
  </si>
  <si>
    <t>Sphaerocystis</t>
  </si>
  <si>
    <t>schroeteri</t>
  </si>
  <si>
    <t>Sphaerocystis schroeteri single cell</t>
  </si>
  <si>
    <t>Sphaerocystis planctonica</t>
  </si>
  <si>
    <t>(Korsh.) Bourrelly</t>
  </si>
  <si>
    <t>Aiguebelette 28-09-09</t>
  </si>
  <si>
    <t>Stichococcus bacillaris</t>
  </si>
  <si>
    <t>Prasiolaceae</t>
  </si>
  <si>
    <t>Stichococcus</t>
  </si>
  <si>
    <t>bacillaris</t>
  </si>
  <si>
    <t>(Nägeli) Nägeli</t>
  </si>
  <si>
    <t>détermination dans le Bourget et Léman pas certaine</t>
  </si>
  <si>
    <t>Stichococcus mirabilis</t>
  </si>
  <si>
    <t>mirabilis</t>
  </si>
  <si>
    <t>Tetrachlorella alternans</t>
  </si>
  <si>
    <t>Tetrachlorella</t>
  </si>
  <si>
    <t>Tetrachlorella incerta</t>
  </si>
  <si>
    <t>Hindak</t>
  </si>
  <si>
    <t>Tetrachlorella ornata</t>
  </si>
  <si>
    <t>Tetraedron caudatum</t>
  </si>
  <si>
    <t>caudatum</t>
  </si>
  <si>
    <t>(CORDA) HANSGIRG</t>
  </si>
  <si>
    <t>Tetraedron incus</t>
  </si>
  <si>
    <t>incus</t>
  </si>
  <si>
    <t>(Teil.) G.M. Smith</t>
  </si>
  <si>
    <t>Tetraedron minimum</t>
  </si>
  <si>
    <t>(A. Braun) Hansgirg</t>
  </si>
  <si>
    <t>Tetraedron minimum var. scrobiculatum</t>
  </si>
  <si>
    <t>scrobiculatum</t>
  </si>
  <si>
    <t>Lagerh.</t>
  </si>
  <si>
    <t>Tetraedron minimum f. tetralobulatum</t>
  </si>
  <si>
    <t>tetralobulatum</t>
  </si>
  <si>
    <t>Tetraedron regulare</t>
  </si>
  <si>
    <t>regulare</t>
  </si>
  <si>
    <t xml:space="preserve">Tetraedron sp. </t>
  </si>
  <si>
    <t xml:space="preserve">sp. </t>
  </si>
  <si>
    <t>Tetraedron triangulare</t>
  </si>
  <si>
    <t>triangulare</t>
  </si>
  <si>
    <t>Tetraedron trigonum</t>
  </si>
  <si>
    <t>trigonum</t>
  </si>
  <si>
    <t>(Nägeli) Hansgirg</t>
  </si>
  <si>
    <t>Tetraselmis arnoldii</t>
  </si>
  <si>
    <t>Chlorodendrales</t>
  </si>
  <si>
    <t>Chlorodendraceae</t>
  </si>
  <si>
    <t>Tetraselmis</t>
  </si>
  <si>
    <t>arnoldii</t>
  </si>
  <si>
    <t>(Proskina-Lavrenko) Norris et al.</t>
  </si>
  <si>
    <t>Tetraselmis cordiformis</t>
  </si>
  <si>
    <t>(Carter) F.STEIN</t>
  </si>
  <si>
    <t>Tetrastrum elegans</t>
  </si>
  <si>
    <t>Tetrastrum heteracanthum</t>
  </si>
  <si>
    <t>heteracanthum</t>
  </si>
  <si>
    <t>(Nordst.) Chodat</t>
  </si>
  <si>
    <t>Tetrastrum komarekii</t>
  </si>
  <si>
    <t>komarekii</t>
  </si>
  <si>
    <t>HINDÁK</t>
  </si>
  <si>
    <t>Tetrastrum punctatum</t>
  </si>
  <si>
    <t>punctatum</t>
  </si>
  <si>
    <t>(Schmidle) Ahlstr. &amp; Tiff.</t>
  </si>
  <si>
    <t>Tetrastrum staurogeniaeforme</t>
  </si>
  <si>
    <t>staurogeniaeforme</t>
  </si>
  <si>
    <t>Tetrastrum triacanthum</t>
  </si>
  <si>
    <t>triacanthum</t>
  </si>
  <si>
    <t>Tetrastrum triangulare</t>
  </si>
  <si>
    <t>(Chodat) J. Komarek</t>
  </si>
  <si>
    <t>Thorakochloris nygaardii</t>
  </si>
  <si>
    <t>Thorakochloris</t>
  </si>
  <si>
    <t>Thorakochloris tetras</t>
  </si>
  <si>
    <t>Treubaria euryacantha</t>
  </si>
  <si>
    <t>Teubariaceae</t>
  </si>
  <si>
    <t>Treubaria</t>
  </si>
  <si>
    <t>euryacantha</t>
  </si>
  <si>
    <t>(Schmidle) Korshikov</t>
  </si>
  <si>
    <t>Treubaria planctonica</t>
  </si>
  <si>
    <t>(G.M.Smith) Kors.</t>
  </si>
  <si>
    <t>Treubaria quadrispina</t>
  </si>
  <si>
    <t>quadrispina</t>
  </si>
  <si>
    <t>(G.M. Smith) Fott &amp; Kovácik</t>
  </si>
  <si>
    <t>Treubaria schmidlei</t>
  </si>
  <si>
    <t>(SCHRÖDER) Fott &amp; KOVACIK</t>
  </si>
  <si>
    <t>Treubaria setigera</t>
  </si>
  <si>
    <t>(Archer) G.M.Smith</t>
  </si>
  <si>
    <t>Treubaria triappendiculata</t>
  </si>
  <si>
    <t>triappendiculata</t>
  </si>
  <si>
    <t>BERNARD</t>
  </si>
  <si>
    <t>Treubaria varia</t>
  </si>
  <si>
    <t>varia</t>
  </si>
  <si>
    <t>Ahlstr. &amp; Tiffany</t>
  </si>
  <si>
    <t>Trochiscia granulata</t>
  </si>
  <si>
    <t>Trochischia</t>
  </si>
  <si>
    <t>(Reinsch) Hansgirg</t>
  </si>
  <si>
    <t>Trochiscia planctonica</t>
  </si>
  <si>
    <t>E.M. Lind &amp; Pearsall f.</t>
  </si>
  <si>
    <t>Trochiscia sp.</t>
  </si>
  <si>
    <t>Trochiscia aciculifera</t>
  </si>
  <si>
    <t>aciculifera</t>
  </si>
  <si>
    <t>(Lagerh.) Hansg.</t>
  </si>
  <si>
    <t>Ulothricophyceae sp.</t>
  </si>
  <si>
    <t>Ulothrix short cell and broken filament</t>
  </si>
  <si>
    <t>Ulothrix</t>
  </si>
  <si>
    <t>short cell and broken filament</t>
  </si>
  <si>
    <t>Ulothrix barrel cell somtimes surounded by mucous</t>
  </si>
  <si>
    <t>barrel cell somtimes surounded by mucous</t>
  </si>
  <si>
    <t>Ulothrix long cell</t>
  </si>
  <si>
    <t>long cell</t>
  </si>
  <si>
    <t>Ulothrix cf. amphigranulata</t>
  </si>
  <si>
    <t>amphigranulata</t>
  </si>
  <si>
    <t>Ulothrix limnetica</t>
  </si>
  <si>
    <t>Observée sur le Bourget en 2008 - FR</t>
  </si>
  <si>
    <t>Ulothrix sp.</t>
  </si>
  <si>
    <t>Ulothrix subtilissima</t>
  </si>
  <si>
    <t>subtilissima</t>
  </si>
  <si>
    <t>Ulothrix tenuissima</t>
  </si>
  <si>
    <t>Ulothrix variabilis</t>
  </si>
  <si>
    <t>Volvocale 4 flagella</t>
  </si>
  <si>
    <t>volvocale</t>
  </si>
  <si>
    <t>4 flagelles</t>
  </si>
  <si>
    <t>Volvox globator single cell</t>
  </si>
  <si>
    <t>Volvox</t>
  </si>
  <si>
    <t>globator</t>
  </si>
  <si>
    <t>Linné</t>
  </si>
  <si>
    <t>Westella botryoides</t>
  </si>
  <si>
    <t>Westella</t>
  </si>
  <si>
    <t>botryoides</t>
  </si>
  <si>
    <t>(W.West) DE WILDEMAN</t>
  </si>
  <si>
    <t>Willea irregularis</t>
  </si>
  <si>
    <t>Willea</t>
  </si>
  <si>
    <t>(Wille) Schmidle</t>
  </si>
  <si>
    <t>Willea vilhelmii</t>
  </si>
  <si>
    <t>vilhelmii</t>
  </si>
  <si>
    <t>(Fott) Komarek</t>
  </si>
  <si>
    <t>Actinotaenium cruciferum</t>
  </si>
  <si>
    <t>Viridiplantae</t>
  </si>
  <si>
    <t>Charophyta</t>
  </si>
  <si>
    <t>Zygnematophyceae</t>
  </si>
  <si>
    <t>Zygnematales</t>
  </si>
  <si>
    <t>Desmidiaceae</t>
  </si>
  <si>
    <t>Actinotaenium</t>
  </si>
  <si>
    <t>cruciferum</t>
  </si>
  <si>
    <t>De Bary Teiling</t>
  </si>
  <si>
    <t>Zygophycées</t>
  </si>
  <si>
    <t>Actinotaenium sp.</t>
  </si>
  <si>
    <t>(Näg.) Teil.</t>
  </si>
  <si>
    <t>Closterium acerosum</t>
  </si>
  <si>
    <t>Closteriaceae</t>
  </si>
  <si>
    <t>acerosum</t>
  </si>
  <si>
    <t>(Schrank) Ehrenberg</t>
  </si>
  <si>
    <t>Closterium aciculare</t>
  </si>
  <si>
    <t>T.West</t>
  </si>
  <si>
    <t>Closterium acutum</t>
  </si>
  <si>
    <t>acutum</t>
  </si>
  <si>
    <t>Breb.</t>
  </si>
  <si>
    <t>Closterium acutum var. latius</t>
  </si>
  <si>
    <t>latius</t>
  </si>
  <si>
    <t>Grönblad</t>
  </si>
  <si>
    <t>Closterium acutum var. linea</t>
  </si>
  <si>
    <t>linea</t>
  </si>
  <si>
    <t>(Perty) W. &amp; G.S. West</t>
  </si>
  <si>
    <t>Closterium acutum var. variabile</t>
  </si>
  <si>
    <t>variabile</t>
  </si>
  <si>
    <t>(Lemmermann) Krieg.</t>
  </si>
  <si>
    <t>Closterium cf. lanceolatum var. parvum</t>
  </si>
  <si>
    <t>parvum</t>
  </si>
  <si>
    <t>Closterium cornu</t>
  </si>
  <si>
    <t>cornu</t>
  </si>
  <si>
    <t>Closterium dianae</t>
  </si>
  <si>
    <t>Closterium ehrenbergii</t>
  </si>
  <si>
    <t>Meneghini ex Ralfs</t>
  </si>
  <si>
    <t>Closterium gracile</t>
  </si>
  <si>
    <t>De Brébisson</t>
  </si>
  <si>
    <t>Closterium jenneri</t>
  </si>
  <si>
    <t>jenneri</t>
  </si>
  <si>
    <t>Ralfs</t>
  </si>
  <si>
    <t>Closterium limneticum</t>
  </si>
  <si>
    <t>Closterium lineatum</t>
  </si>
  <si>
    <t>lineatum</t>
  </si>
  <si>
    <t>Closterium monoliferum</t>
  </si>
  <si>
    <t>monoliferum</t>
  </si>
  <si>
    <t>Ehrenberg ex Ralfs</t>
  </si>
  <si>
    <t>Closterium nordstedtii</t>
  </si>
  <si>
    <t>nordstedtii</t>
  </si>
  <si>
    <t>Closterium parvulum</t>
  </si>
  <si>
    <t>Closterium pronum</t>
  </si>
  <si>
    <t>pronum</t>
  </si>
  <si>
    <t>Closterium sp.</t>
  </si>
  <si>
    <t>Nitzsch Ex Ralfs</t>
  </si>
  <si>
    <t>Closterium sp1</t>
  </si>
  <si>
    <t>Nitzsch ex Ralfs</t>
  </si>
  <si>
    <t>Closterium strigosum</t>
  </si>
  <si>
    <t>strigosum</t>
  </si>
  <si>
    <t>Closterium striolatum</t>
  </si>
  <si>
    <t>striolatum</t>
  </si>
  <si>
    <t>Closterium venus var. westii</t>
  </si>
  <si>
    <t>venus</t>
  </si>
  <si>
    <t>westii</t>
  </si>
  <si>
    <t>Willi Krieger</t>
  </si>
  <si>
    <t>Cosmarium abbreviatum</t>
  </si>
  <si>
    <t>Cosmarium</t>
  </si>
  <si>
    <t>abbreviatum</t>
  </si>
  <si>
    <t>Raciborski</t>
  </si>
  <si>
    <t>Cosmarium abbreviatum f. minor</t>
  </si>
  <si>
    <t>West &amp; West</t>
  </si>
  <si>
    <t>Mesures moyennes sur Annecy 2007</t>
  </si>
  <si>
    <t>Cosmarium biretum</t>
  </si>
  <si>
    <t>biretum</t>
  </si>
  <si>
    <t>Brébisson in Ralfs</t>
  </si>
  <si>
    <t>Cosmarium blytii</t>
  </si>
  <si>
    <t>blytii</t>
  </si>
  <si>
    <t>Cosmarium botrytis</t>
  </si>
  <si>
    <t>Cosmarium brebissonii</t>
  </si>
  <si>
    <t>Cosmarium depressum</t>
  </si>
  <si>
    <t>depressum</t>
  </si>
  <si>
    <t>(Nägeli) LUNDELL</t>
  </si>
  <si>
    <t>Cosmarium depressum var. planctonicum</t>
  </si>
  <si>
    <t>(Naeg.) Lund</t>
  </si>
  <si>
    <t>Cosmarium granatum</t>
  </si>
  <si>
    <t>granatum</t>
  </si>
  <si>
    <t>Brébisson ex Ralfs</t>
  </si>
  <si>
    <t>Cosmarium impressulum</t>
  </si>
  <si>
    <t>impressulum</t>
  </si>
  <si>
    <t>Elfv.</t>
  </si>
  <si>
    <t>Cosmarium laeve</t>
  </si>
  <si>
    <t>laeve</t>
  </si>
  <si>
    <t>Cosmarium margaritiferum</t>
  </si>
  <si>
    <t>margaritiferum</t>
  </si>
  <si>
    <t>Cosmarium margaritiferum f. regularius</t>
  </si>
  <si>
    <t>regularius</t>
  </si>
  <si>
    <t>(Nordst.) W. &amp; G.S. West</t>
  </si>
  <si>
    <t>Cosmarium meneghenii</t>
  </si>
  <si>
    <t>meneghenii</t>
  </si>
  <si>
    <t>Cosmarium minimum</t>
  </si>
  <si>
    <t>West &amp; G.S. West</t>
  </si>
  <si>
    <t>Cosmarium novae-semliae var. sibericum</t>
  </si>
  <si>
    <t>novae-semliae</t>
  </si>
  <si>
    <t>sibericum</t>
  </si>
  <si>
    <t>Boldt</t>
  </si>
  <si>
    <t>Cosmarium octhodes</t>
  </si>
  <si>
    <t>octhodes</t>
  </si>
  <si>
    <t>Nordst.</t>
  </si>
  <si>
    <t>Cosmarium ornatum</t>
  </si>
  <si>
    <t>ornatum</t>
  </si>
  <si>
    <t>Cosmarium phaseolus</t>
  </si>
  <si>
    <t>phaseolus</t>
  </si>
  <si>
    <t>Brébisson ex RALFS</t>
  </si>
  <si>
    <t>Cosmarium phaseolus var. minus</t>
  </si>
  <si>
    <t>(Boldt) Krieger &amp; Gerloff</t>
  </si>
  <si>
    <t>Cosmarium polygonum var. hexagonum</t>
  </si>
  <si>
    <t>polygonum</t>
  </si>
  <si>
    <t>hexagonum</t>
  </si>
  <si>
    <t>Gronbl.</t>
  </si>
  <si>
    <t>Cosmarium protractum</t>
  </si>
  <si>
    <t>(Nägeli) DE BARY</t>
  </si>
  <si>
    <t>Cosmarium pseudonitidulum</t>
  </si>
  <si>
    <t>pseudonitidulum</t>
  </si>
  <si>
    <t>Cosmarium pseudoornatum</t>
  </si>
  <si>
    <t>pseudoornatum</t>
  </si>
  <si>
    <t>Eichler &amp; Gutwinski</t>
  </si>
  <si>
    <t>Cosmarium pseudopyramidum</t>
  </si>
  <si>
    <t>pseudopyramidum</t>
  </si>
  <si>
    <t>P.Lundell</t>
  </si>
  <si>
    <t>Cosmarium punctulatum</t>
  </si>
  <si>
    <t>punctulatum</t>
  </si>
  <si>
    <t>Cosmarium pusillum</t>
  </si>
  <si>
    <t>(Brébisson) W. Archer in Pritch.</t>
  </si>
  <si>
    <t>Cosmarium pygmaeum</t>
  </si>
  <si>
    <t>pygmaeum</t>
  </si>
  <si>
    <t>Cosmarium pygmaeum var. heimerlii</t>
  </si>
  <si>
    <t>heimerlii</t>
  </si>
  <si>
    <t>(West &amp; G.S.West) Krieger &amp; Gerloff</t>
  </si>
  <si>
    <t>Cosmarium regnellii</t>
  </si>
  <si>
    <t>regnellii</t>
  </si>
  <si>
    <t>Cosmarium reniforme</t>
  </si>
  <si>
    <t>reniforme</t>
  </si>
  <si>
    <t>(RALFS) Archer</t>
  </si>
  <si>
    <t>Cosmarium sexangulare var. minus</t>
  </si>
  <si>
    <t>sexangulare</t>
  </si>
  <si>
    <t>J. Roy &amp; Bisset</t>
  </si>
  <si>
    <t>Cosmarium skujae</t>
  </si>
  <si>
    <t>Krieger &amp; Gerloff</t>
  </si>
  <si>
    <t>Cosmarium sp.</t>
  </si>
  <si>
    <t>Cosmarium sp1</t>
  </si>
  <si>
    <t>Corda ex Ralfs</t>
  </si>
  <si>
    <t>Cosmarium spp.</t>
  </si>
  <si>
    <t>Cosmarium subcostatum var. minus</t>
  </si>
  <si>
    <t>subcostatum</t>
  </si>
  <si>
    <t>(W. &amp; G.S. West) Kurt Föster</t>
  </si>
  <si>
    <t>Cosmarium subcostatum var. subcostatum</t>
  </si>
  <si>
    <t>Nordstedt</t>
  </si>
  <si>
    <t>Cosmarium subcremulatum</t>
  </si>
  <si>
    <t>subcremulatum</t>
  </si>
  <si>
    <t>Cosmarium subcrenatum</t>
  </si>
  <si>
    <t>subcrenatum</t>
  </si>
  <si>
    <t>HANTZSCH in Rabenhorst</t>
  </si>
  <si>
    <t>Cosmarium subgranatum</t>
  </si>
  <si>
    <t>subgranatum</t>
  </si>
  <si>
    <t>(Nordst.) Lütkem.</t>
  </si>
  <si>
    <t>Cosmarium subprotumidum</t>
  </si>
  <si>
    <t>subprotumidum</t>
  </si>
  <si>
    <t>NORDSTEDT</t>
  </si>
  <si>
    <t>Cosmarium subprotumidum var. gregorii</t>
  </si>
  <si>
    <t>gregorii</t>
  </si>
  <si>
    <t>(Roy &amp; Bisset) W. West &amp; G. S. West</t>
  </si>
  <si>
    <t>Cosmarium subsalsum</t>
  </si>
  <si>
    <t>Cosmarium tenue</t>
  </si>
  <si>
    <t>tenue</t>
  </si>
  <si>
    <t>Cosmarium tumidum</t>
  </si>
  <si>
    <t>tumidum</t>
  </si>
  <si>
    <t>Lundell</t>
  </si>
  <si>
    <t>Cosmarium turpinii</t>
  </si>
  <si>
    <t>turpinii</t>
  </si>
  <si>
    <t>Cosmarium undulatum</t>
  </si>
  <si>
    <t>undulatum</t>
  </si>
  <si>
    <t>Cosmarium undulatum var. minutum</t>
  </si>
  <si>
    <t>Wittrock</t>
  </si>
  <si>
    <t>Cosmarium venustum</t>
  </si>
  <si>
    <t>venustum</t>
  </si>
  <si>
    <t>(Breb.) Archer</t>
  </si>
  <si>
    <t>Cosmarium venustum var. minus</t>
  </si>
  <si>
    <t>(Wille) Willi Krieger &amp; Gerloff</t>
  </si>
  <si>
    <t>Euastrum sp.</t>
  </si>
  <si>
    <t>Euastrum</t>
  </si>
  <si>
    <t>Euastrum subalpinum</t>
  </si>
  <si>
    <t>subalpinum</t>
  </si>
  <si>
    <t>Messikommer</t>
  </si>
  <si>
    <t>Gonatozygon brebissonnii</t>
  </si>
  <si>
    <t>Peniaceae</t>
  </si>
  <si>
    <t>Gonatozygon</t>
  </si>
  <si>
    <t>brebissonnii</t>
  </si>
  <si>
    <t>De Bary</t>
  </si>
  <si>
    <t>Gonatozygon monotaenium</t>
  </si>
  <si>
    <t>monotaenium</t>
  </si>
  <si>
    <t>Hyalotheca dissiliens</t>
  </si>
  <si>
    <t>Hyalotheca</t>
  </si>
  <si>
    <t>dissiliens</t>
  </si>
  <si>
    <t>(SM.) Brébisson</t>
  </si>
  <si>
    <t>Mougeotia gracillima</t>
  </si>
  <si>
    <t>Zygnemataceae</t>
  </si>
  <si>
    <t>gracillima</t>
  </si>
  <si>
    <t>(Hassall) Wittrock</t>
  </si>
  <si>
    <t>Mougeotia sp.</t>
  </si>
  <si>
    <t>Mougeotia sp. bourget03</t>
  </si>
  <si>
    <t>sp. bourget03</t>
  </si>
  <si>
    <t>Mougeotia sp. grande cell</t>
  </si>
  <si>
    <t>sp. grande cell</t>
  </si>
  <si>
    <t>Mougeotia sp. large cell</t>
  </si>
  <si>
    <t>sp. Large cell</t>
  </si>
  <si>
    <t>Penium sp.</t>
  </si>
  <si>
    <t>Penium</t>
  </si>
  <si>
    <t>Brébisson ex Ralfs emend. Kouwets &amp; Coesel</t>
  </si>
  <si>
    <t>Penium spinospermum</t>
  </si>
  <si>
    <t>spinospermum</t>
  </si>
  <si>
    <t>Joshua</t>
  </si>
  <si>
    <t>Pleurotaenium trabecula</t>
  </si>
  <si>
    <t>Pleurotaenium</t>
  </si>
  <si>
    <t>trabecula</t>
  </si>
  <si>
    <t>(Ehrenberg) ex Naeg.</t>
  </si>
  <si>
    <t>Spirogyra sp.</t>
  </si>
  <si>
    <t>Spirogyra</t>
  </si>
  <si>
    <t>Spirogyra sp1</t>
  </si>
  <si>
    <t>Spirogyra sp2</t>
  </si>
  <si>
    <t>sp2</t>
  </si>
  <si>
    <t>Staurastrum avicula</t>
  </si>
  <si>
    <t>Staurastrum</t>
  </si>
  <si>
    <t>avicula</t>
  </si>
  <si>
    <t>Staurastrum dejectum</t>
  </si>
  <si>
    <t>dejectum</t>
  </si>
  <si>
    <t>(Breb.) Ralfs</t>
  </si>
  <si>
    <t>Staurastrum planctonicum var. bulbosum</t>
  </si>
  <si>
    <t>bulbosum</t>
  </si>
  <si>
    <t>(West) Thomasson</t>
  </si>
  <si>
    <t>Staurastrum sebaldii</t>
  </si>
  <si>
    <t>sebaldii</t>
  </si>
  <si>
    <t>Staurastrum cingulum</t>
  </si>
  <si>
    <t>cingulum</t>
  </si>
  <si>
    <t>(W. &amp; G.S.West) G.M.Smith</t>
  </si>
  <si>
    <t>Staurastrum furcatum</t>
  </si>
  <si>
    <t>furcatum</t>
  </si>
  <si>
    <t>(Ehrenberg) Brébisson</t>
  </si>
  <si>
    <t>Staurastrum furcigerum</t>
  </si>
  <si>
    <t>furcigerum</t>
  </si>
  <si>
    <t>(Brébisson in MENEGHINI) Archer</t>
  </si>
  <si>
    <t>Staurastrum hexacerum</t>
  </si>
  <si>
    <t>hexacerum</t>
  </si>
  <si>
    <t>(Ehrenberg) Wittrock</t>
  </si>
  <si>
    <t>Staurastrum johnsoni var. triradiatum</t>
  </si>
  <si>
    <t>johnsoni</t>
  </si>
  <si>
    <t>triradiatum</t>
  </si>
  <si>
    <t>Staurastrum messikomerii f. planctonicum</t>
  </si>
  <si>
    <t>messikomerii</t>
  </si>
  <si>
    <t>Thomasson</t>
  </si>
  <si>
    <t>Staurastrum paradoxum</t>
  </si>
  <si>
    <t>paradoxum</t>
  </si>
  <si>
    <t>Staurastrum proboscideum</t>
  </si>
  <si>
    <t>proboscideum</t>
  </si>
  <si>
    <t>Staurastrum pseudotetracerum</t>
  </si>
  <si>
    <t>pseudotetracerum</t>
  </si>
  <si>
    <t>(Nordstedt) W. &amp; G.S. West</t>
  </si>
  <si>
    <t>Staurastrum pingue</t>
  </si>
  <si>
    <t>pingue</t>
  </si>
  <si>
    <t>Staurastrum punctulatum</t>
  </si>
  <si>
    <t>Staurastrum sebaldii var. ornatum</t>
  </si>
  <si>
    <t>Staurastrum sebaldii var. ornatum f quadriradiata</t>
  </si>
  <si>
    <t>ornatum f. quadriradiata</t>
  </si>
  <si>
    <t>Staurastrum sp. (petit)</t>
  </si>
  <si>
    <t>sp. (petit)</t>
  </si>
  <si>
    <t>Meyen ex Ralfs</t>
  </si>
  <si>
    <t>Staurastrum sp. Annecy 2004</t>
  </si>
  <si>
    <t>sp. Annecy 2004</t>
  </si>
  <si>
    <t>Staurastrum teliferum</t>
  </si>
  <si>
    <t>teliferum</t>
  </si>
  <si>
    <t>Staurodesmus spencerianus</t>
  </si>
  <si>
    <t>Staurodesmus</t>
  </si>
  <si>
    <t>spencerianus</t>
  </si>
  <si>
    <t>(W.M. Maskell) Teiling</t>
  </si>
  <si>
    <t>Staurodesmus cuspidatus</t>
  </si>
  <si>
    <t>cuspidatus</t>
  </si>
  <si>
    <t>(Brébisson) Teil.</t>
  </si>
  <si>
    <t>Staurodesmus dejectus</t>
  </si>
  <si>
    <t>dejectus</t>
  </si>
  <si>
    <t>Staurodesmus patens</t>
  </si>
  <si>
    <t>patens</t>
  </si>
  <si>
    <t>(Nordst.) Croasd.</t>
  </si>
  <si>
    <t>Staurodesmus incus f. minor</t>
  </si>
  <si>
    <t>Moyenne sur Lac Cornu 2010</t>
  </si>
  <si>
    <t>Staurodesmus sp.</t>
  </si>
  <si>
    <t>Teil.</t>
  </si>
  <si>
    <t>Spondylosium sp.</t>
  </si>
  <si>
    <t>Spondylosium</t>
  </si>
  <si>
    <t>Moyene David Pobel Plan Vianney</t>
  </si>
  <si>
    <t>Spondylosium clepsydra</t>
  </si>
  <si>
    <t>clepsydra</t>
  </si>
  <si>
    <t>G. Beck</t>
  </si>
  <si>
    <t>Spondylosium pygmaeum</t>
  </si>
  <si>
    <t>(Cooke) West</t>
  </si>
  <si>
    <t>Spondylosium tetragonum</t>
  </si>
  <si>
    <t>tetragonum</t>
  </si>
  <si>
    <t>Teilingia excavata</t>
  </si>
  <si>
    <t>Teilingia</t>
  </si>
  <si>
    <t>excavata</t>
  </si>
  <si>
    <t>(Ralfs) Bourr.</t>
  </si>
  <si>
    <t>Xanthidium alpinum</t>
  </si>
  <si>
    <t>Xanthidium</t>
  </si>
  <si>
    <t>alpinum</t>
  </si>
  <si>
    <t>Xanthidium antilopaeum</t>
  </si>
  <si>
    <t>antilopaeum</t>
  </si>
  <si>
    <t>(Breb.) Kützing</t>
  </si>
  <si>
    <t>Zygnema sp.</t>
  </si>
  <si>
    <t>Zygnema</t>
  </si>
  <si>
    <t>&gt;25-100</t>
  </si>
  <si>
    <t>No structures</t>
  </si>
  <si>
    <t>Rapheated</t>
  </si>
  <si>
    <t xml:space="preserve"> Colonial</t>
  </si>
  <si>
    <t>assumed Lagerheimia</t>
  </si>
  <si>
    <t>Trophy</t>
  </si>
  <si>
    <t>Nitzschia holstatica</t>
  </si>
  <si>
    <t>Nitzschia stagnorum</t>
  </si>
  <si>
    <t>2-Lyngbya sp.</t>
  </si>
  <si>
    <t>Chlorella pyrenoidosa</t>
  </si>
  <si>
    <r>
      <t xml:space="preserve">Oocystis elliptica </t>
    </r>
    <r>
      <rPr>
        <sz val="9"/>
        <color theme="1"/>
        <rFont val="TimesNewRomanPSMT"/>
      </rPr>
      <t xml:space="preserve">var </t>
    </r>
    <r>
      <rPr>
        <i/>
        <sz val="9"/>
        <color theme="1"/>
        <rFont val="TimesNewRomanPS"/>
      </rPr>
      <t>minor</t>
    </r>
  </si>
  <si>
    <t>Oocystis novae-semliae</t>
  </si>
  <si>
    <t>Oocystis submarina</t>
  </si>
  <si>
    <t>Scenedesmus bicellularis</t>
  </si>
  <si>
    <t>Scenedesmus bijuga</t>
  </si>
  <si>
    <r>
      <t xml:space="preserve">Scenedesmus bijuga </t>
    </r>
    <r>
      <rPr>
        <sz val="9"/>
        <color theme="1"/>
        <rFont val="TimesNewRomanPSMT"/>
      </rPr>
      <t xml:space="preserve">var. </t>
    </r>
    <r>
      <rPr>
        <i/>
        <sz val="9"/>
        <color theme="1"/>
        <rFont val="TimesNewRomanPS"/>
      </rPr>
      <t xml:space="preserve">alternans Scenedesmus bijuga </t>
    </r>
    <r>
      <rPr>
        <sz val="9"/>
        <color theme="1"/>
        <rFont val="TimesNewRomanPSMT"/>
      </rPr>
      <t xml:space="preserve">var. </t>
    </r>
    <r>
      <rPr>
        <i/>
        <sz val="9"/>
        <color theme="1"/>
        <rFont val="TimesNewRomanPS"/>
      </rPr>
      <t>seriatus</t>
    </r>
  </si>
  <si>
    <t>Scenedesmus communis</t>
  </si>
  <si>
    <t>Scenedesmus houlensis</t>
  </si>
  <si>
    <t xml:space="preserve">Tetrastrum glabrum (= Crucigenia triangularis) </t>
  </si>
  <si>
    <t>Cryptomonas erosa</t>
  </si>
  <si>
    <t>Cryptomonas reflexa</t>
  </si>
  <si>
    <t xml:space="preserve">Anabaena planctonica </t>
  </si>
  <si>
    <r>
      <t xml:space="preserve">Scenedesmus acuminatus </t>
    </r>
    <r>
      <rPr>
        <sz val="9"/>
        <color theme="1"/>
        <rFont val="TimesNewRomanPSMT"/>
      </rPr>
      <t>var</t>
    </r>
    <r>
      <rPr>
        <i/>
        <sz val="9"/>
        <color theme="1"/>
        <rFont val="TimesNewRomanPS"/>
      </rPr>
      <t>. tetradesmoides</t>
    </r>
  </si>
  <si>
    <t xml:space="preserve">Scenedesmus acuminatus var. minor </t>
  </si>
  <si>
    <t>Peridinium gatunense</t>
  </si>
  <si>
    <t>assumed meneghiniana</t>
  </si>
  <si>
    <t>sister = Cyanodictyon planctonicum</t>
  </si>
  <si>
    <t xml:space="preserve">Cylindrospermopsis raciborskii </t>
  </si>
  <si>
    <t>2-Anabaena</t>
  </si>
  <si>
    <t>2-Aphanocapsa</t>
  </si>
  <si>
    <t>2-Cylindrospermopsis</t>
  </si>
  <si>
    <t>3-Nitzschia</t>
  </si>
  <si>
    <t>4-Chlamydomonas</t>
  </si>
  <si>
    <t>4-Chlorella</t>
  </si>
  <si>
    <t>4-Chodatella</t>
  </si>
  <si>
    <t>4-Oocystis spp</t>
  </si>
  <si>
    <t>4-Scenedesmus spp</t>
  </si>
  <si>
    <t>4-Tetrastrum</t>
  </si>
  <si>
    <t>Name</t>
  </si>
  <si>
    <t>c_ratio_1</t>
  </si>
  <si>
    <t>c_ratio_2</t>
  </si>
  <si>
    <t>c_ratio_3</t>
  </si>
  <si>
    <t>c_ratio_4</t>
  </si>
  <si>
    <t>col_F</t>
  </si>
  <si>
    <t>col_T</t>
  </si>
  <si>
    <t>mob_flag</t>
  </si>
  <si>
    <t>mob_raph</t>
  </si>
  <si>
    <t>mob_F</t>
  </si>
  <si>
    <t>troph_het</t>
  </si>
  <si>
    <t>troph_mix</t>
  </si>
  <si>
    <t>troph_aut</t>
  </si>
  <si>
    <t>Notes</t>
  </si>
  <si>
    <t>2-Lyngbya</t>
  </si>
  <si>
    <t>4-Mougeotia</t>
  </si>
  <si>
    <t>Woronichinia naegeliana</t>
  </si>
  <si>
    <r>
      <t xml:space="preserve">Chlorella </t>
    </r>
    <r>
      <rPr>
        <sz val="12"/>
        <color theme="1"/>
        <rFont val="Times New Roman"/>
        <family val="1"/>
      </rPr>
      <t xml:space="preserve">sp. </t>
    </r>
  </si>
  <si>
    <t>Aulacoseira granulata f.k.a  Melosira granulata Aulacoseira subarctica Aulacoseira islandica</t>
  </si>
  <si>
    <t xml:space="preserve">Cryptomonas erosa Cryptomonas ovata Cryptomonas sp. </t>
  </si>
  <si>
    <t>Closterium aciculare Closterium ehrenbergii Closterium lunula Closterium setaceum</t>
  </si>
  <si>
    <t>Peridinium sp. Peridinium willei</t>
  </si>
  <si>
    <t>Staurastrum avicula Staurastrum cingulum Staurastrum pingue Staurastrum pseudotetracerum</t>
  </si>
  <si>
    <t>Trachelomonas hispida Trachelomonas sp. Trachelomonas volvocina</t>
  </si>
  <si>
    <t>Eugleophyta</t>
  </si>
  <si>
    <t>Miozophyta</t>
  </si>
  <si>
    <t>N fixation</t>
  </si>
  <si>
    <t>n_fix</t>
  </si>
  <si>
    <t>n_nfix</t>
  </si>
  <si>
    <t>No N fixation</t>
  </si>
  <si>
    <t>N Fixing</t>
  </si>
  <si>
    <t>?</t>
  </si>
  <si>
    <t>renamed Chrysosporum ovalisporum</t>
  </si>
  <si>
    <t>Silicious</t>
  </si>
  <si>
    <t>Defence</t>
  </si>
  <si>
    <t>N Fixation</t>
  </si>
  <si>
    <t>Not Silicious</t>
  </si>
  <si>
    <t>sil_T</t>
  </si>
  <si>
    <t>sil_F</t>
  </si>
  <si>
    <t>c_ratio</t>
  </si>
  <si>
    <t>troph</t>
  </si>
  <si>
    <t>auto</t>
  </si>
  <si>
    <t>mixo</t>
  </si>
  <si>
    <t>None</t>
  </si>
  <si>
    <t>raph</t>
  </si>
  <si>
    <t>flag</t>
  </si>
  <si>
    <t>mob</t>
  </si>
  <si>
    <t>none</t>
  </si>
  <si>
    <t>Chlorococcaceae</t>
  </si>
  <si>
    <t xml:space="preserve">Cryptomonas erosa </t>
  </si>
  <si>
    <t>Cyanogranis ferruginea</t>
  </si>
  <si>
    <t>Monomastix astigmata</t>
  </si>
  <si>
    <t>Monoraphidium capricornutum</t>
  </si>
  <si>
    <t>Phormidium mucicola</t>
  </si>
  <si>
    <t>Pyramichlamys dissecta</t>
  </si>
  <si>
    <t xml:space="preserve">Stephanodiscus niagarae </t>
  </si>
  <si>
    <t>Synedra filiformis</t>
  </si>
  <si>
    <t>Anabaena augstumalis</t>
  </si>
  <si>
    <t>Olenina, I., Hajdu, S., Edler, L., Andersson, A., Wasmund, N., Busch, S., Göbel, J., Gromisz, S., Huseby, S., Huttunen, M., Jaanus, A., Kokkonen, P., Ledaine, I. and Niemkiewicz, E. 2006</t>
  </si>
  <si>
    <t xml:space="preserve">HELCOM Balt.Sea Environ. Proc. No. 106, 144pp. </t>
  </si>
  <si>
    <t>doi.org/10.1111/j.1529-8817.1981.tb00820.x</t>
  </si>
  <si>
    <t>https://books.google.co.uk/books?id=Sc4897dfM_MC&amp;pg=PA90&amp;lpg=PA90&amp;dq=Anabaena+%22augstumalis%22+cell+size&amp;source=bl&amp;ots=n6aJwbJORL&amp;sig=ACfU3U3yZCS6qfpuLMgl49Z1kzJ3rVEFTw&amp;hl=en&amp;sa=X&amp;ved=2ahUKEwjNkMudhaHwAhX3ZxUIHYdMDqIQ6AEwEHoECCAQAw#v=onepage&amp;q=Anabaena%20%22augstumalis%22%20cell%20size&amp;f=false</t>
  </si>
  <si>
    <t>https://books.google.co.uk/books?id=2_Q4DwAAQBAJ&amp;pg=PA33&amp;lpg=PA33&amp;dq=Cyanogranis+ferruginea+cell+size&amp;source=bl&amp;ots=pHEoSmW3uW&amp;sig=ACfU3U3A-OFsy-ofEos8cQpeHsaBgox2sQ&amp;hl=en&amp;sa=X&amp;ved=2ahUKEwjJ-5GshqHwAhU7tXEKHXHGA-IQ6AEwB3oECAUQAw#v=onepage&amp;q=Cyanogranis%20ferruginea%20cell%20size&amp;f=false</t>
  </si>
  <si>
    <t>Cyanogranis</t>
  </si>
  <si>
    <t>Aulacoseira granulata f.k.a  Melosira granulata Aulacoseira subarctica Aulacoseira islandica Aulacoseira ambigua</t>
  </si>
  <si>
    <t>Tabellaria flocculosa Tabellaria sp. Tabellaria fenestrata Tabellaria quadriseptata</t>
  </si>
  <si>
    <t>Ceratium hirundinella Ceratium furcoides Ceratium sp.</t>
  </si>
  <si>
    <t xml:space="preserve">Cosmarium binum Cosmarium portianum Cosmarium abbreviatum Cosmarium botrytis Cosmarium contractum Cosmarium depressum Cosmarium bioculatum Cosmarium margaritiferum Cosmarium subtubidatum Cosmarium ismithium Cosmarium impressulum Cosmarium humile Cosmarium punctulatum Cosmarium ornatum Cosmarium turpinii Cosmarium phaseolus Cosmarium reniforme Cosmarium ac Cosmarium subcrenatum </t>
  </si>
  <si>
    <t xml:space="preserve">Closterium aciculare Closterium acutum var variabile Closterium idiosporum Closterium lanceolatum Closterium lineatum Closterium acutum Closterium cornu Closterium dianae Closterium ehrenbergii Closterium gracile Closterium intermedium Closterium kuetzingii Closterium limneticum Closterium acerosum Closterium pronum Closterium parvulum Closterium ralfsii </t>
  </si>
  <si>
    <t>Cryptomonas erosa Cryptomonas ovata Cryptomonas sp. Cryptomonas marssonii Cryptomonas rostratiformis Cryptomonas rostrata Cryptomonas curvatum Cryptomonas curvirostrata</t>
  </si>
  <si>
    <t>Gymnodinium helveticum Gymnodinium fuscum Gymnodinium saginatum Gymnodinium luteofaba</t>
  </si>
  <si>
    <t>Mallomonas sp.Mallomonas akrokomas Mallomonas caudata Mallomonas areolata Mallomonas reginae Mallomonas elegans Mallomonas crassisquama Mallomonas acaroides</t>
  </si>
  <si>
    <t>Peridinium sp. Peridinium willei Peridinium cinctum Peridinium lomnickii Peridinium pusillum Peridinium umboratum</t>
  </si>
  <si>
    <t>Staurastrum avicula Staurastrum cingulum Staurastrum pingue Staurastrum pseudotetracerum Staurastrum anatinum Staurastrum brevispinosum Staurastrum chaetoceras Staurastrum cuspidatum Staurodesmus convergens Staurastrum gracile Staurodesmus jaculiferum Staurodesmus subulatus Staurastrum lunatum Staurastrum megacanthum Staurastrum longipes Staurastrum pilosum Staurastrum dejectum Staurastrum pseudopelagicum Staurastrum curvatum Staurastrum inflexum</t>
  </si>
  <si>
    <t>Trachelomonas hispida Trachelomonas sp. Trachelomonas volvocina Trachelomonas granulata Trachelomonas varians</t>
  </si>
  <si>
    <t>Woronichinia naegeliana Woronichinia sp.</t>
  </si>
  <si>
    <t xml:space="preserve">Botryococcus braunii </t>
  </si>
  <si>
    <t>Rhodomonas minuta Rhodomonas lacustris Rhodomonas pusilla Rhodomonas lens</t>
  </si>
  <si>
    <t>Monoraphidium contortum Monoraphidium griffithii  Monoraphidium minimum Monoraphidium komarkovae Monoraphidium mirabile Monoraphidium nanum Monoraphidium pusillum Monoraphidium irregulare Monoraphidium arcuatum Monoraphidium convolutum Monoraphidium dybowskii Monoraphidium tortile Monoraphidium curvatum</t>
  </si>
  <si>
    <t>Aphanizomenon_flos-aquae</t>
  </si>
  <si>
    <t>Planktothrix_rubescens</t>
  </si>
  <si>
    <t>Dinobryon_sp</t>
  </si>
  <si>
    <t>Stephanodiscus_sp</t>
  </si>
  <si>
    <t>Amphora_sp</t>
  </si>
  <si>
    <t>Asterionella_formosa</t>
  </si>
  <si>
    <t>Cocconeis_sp</t>
  </si>
  <si>
    <t>Cymbella_sp</t>
  </si>
  <si>
    <t>Fragilaria_crotonensis</t>
  </si>
  <si>
    <t>Nitzschia_sp</t>
  </si>
  <si>
    <t>Tabellaria_fenestrata</t>
  </si>
  <si>
    <t>Gymnodinium_sp</t>
  </si>
  <si>
    <t>Gymnodinium_helveticum</t>
  </si>
  <si>
    <t>Peridinium_sp</t>
  </si>
  <si>
    <t>Cryptomonas_sp</t>
  </si>
  <si>
    <t>Rhodomonas_sp</t>
  </si>
  <si>
    <t>Phacotus_lenticularis</t>
  </si>
  <si>
    <t>Ankistrodesmus_sp</t>
  </si>
  <si>
    <t>Ankyra_sp</t>
  </si>
  <si>
    <t>Dictyosphaerium_sp</t>
  </si>
  <si>
    <t>Pediastrum_sp</t>
  </si>
  <si>
    <t>Scenedesmus_sp</t>
  </si>
  <si>
    <t>Tetraedron_minimum</t>
  </si>
  <si>
    <t>Oocystis_sp</t>
  </si>
  <si>
    <t>Elakatothrix_gelatinosa</t>
  </si>
  <si>
    <t>Closterium_sp</t>
  </si>
  <si>
    <t>Closterium_aciculare</t>
  </si>
  <si>
    <t>Staurastrum_sp</t>
  </si>
  <si>
    <t>Mougeotia_sp</t>
  </si>
  <si>
    <t>Planktolyngbya_limnetica</t>
  </si>
  <si>
    <t>Coelastrum_sp</t>
  </si>
  <si>
    <t>Cyclotella_sp</t>
  </si>
  <si>
    <t>Gomphonema_sp</t>
  </si>
  <si>
    <t>Cosmarium_sp</t>
  </si>
  <si>
    <t>Eunotia_sp</t>
  </si>
  <si>
    <t>Fragilaria_capucina</t>
  </si>
  <si>
    <t>Nitzschia_sigmoidea</t>
  </si>
  <si>
    <t>Fragilaria_acus</t>
  </si>
  <si>
    <t>Ulnaria_ulna</t>
  </si>
  <si>
    <t>Pandorina_morum</t>
  </si>
  <si>
    <t>Dolichospermum_flosaquae</t>
  </si>
  <si>
    <t>Anabaena_planctonica</t>
  </si>
  <si>
    <t>Ceratium_hirundinella</t>
  </si>
  <si>
    <t>Eutetramorus_sp</t>
  </si>
  <si>
    <t>Nephrocytium_agardhianum</t>
  </si>
  <si>
    <t>Lagerheimia_sp</t>
  </si>
  <si>
    <t>Erkenia_subaequiciliata</t>
  </si>
  <si>
    <t>Chroococcus_sp</t>
  </si>
  <si>
    <t>Kirchneriella_sp</t>
  </si>
  <si>
    <t>Salpingoeca_ruttneri</t>
  </si>
  <si>
    <t>Pinnularia_sp</t>
  </si>
  <si>
    <t>Planktosphaeria_gelatinosa</t>
  </si>
  <si>
    <t>Carteria_sp</t>
  </si>
  <si>
    <t>Crucigenia_sp</t>
  </si>
  <si>
    <t>Aphanothece_sp</t>
  </si>
  <si>
    <t>Pseudosphaerocystis_lacustris</t>
  </si>
  <si>
    <t>Kephyrion_moniliferum</t>
  </si>
  <si>
    <t>Chlamydomonas_sp</t>
  </si>
  <si>
    <t>Pseudopedinella_erkensis</t>
  </si>
  <si>
    <t>Aulacoseira_granulata</t>
  </si>
  <si>
    <t>Crucigeniella_sp</t>
  </si>
  <si>
    <t>Monoraphidium_minutum</t>
  </si>
  <si>
    <t>Mallomonas_akrokomos</t>
  </si>
  <si>
    <t>Melosira_varians</t>
  </si>
  <si>
    <t>Tetrastrum_sp</t>
  </si>
  <si>
    <t>Koliella_sp</t>
  </si>
  <si>
    <t>Merismopedia_sp</t>
  </si>
  <si>
    <t>Closterium_acutum</t>
  </si>
  <si>
    <t>Mallomonas_caudata</t>
  </si>
  <si>
    <t>Coenochloris_sp</t>
  </si>
  <si>
    <t>Scenedesmus_obtusus</t>
  </si>
  <si>
    <t>Botryococcus_braunii</t>
  </si>
  <si>
    <t>Bitrichia_chodatii</t>
  </si>
  <si>
    <t>Westella_botryoides</t>
  </si>
  <si>
    <t>Mallomonas_elongata</t>
  </si>
  <si>
    <t>Microcystis_sp</t>
  </si>
  <si>
    <t>Ulnaria_delicatissima_var_angustissima</t>
  </si>
  <si>
    <t>Diatoma_vulgaris</t>
  </si>
  <si>
    <t>Aphanocapsa_delicatissima</t>
  </si>
  <si>
    <t>Uroglena_sp</t>
  </si>
  <si>
    <t>Coelastrum_reticulatum</t>
  </si>
  <si>
    <t>Gyrosigma_sp</t>
  </si>
  <si>
    <t>Microphytoplankton</t>
  </si>
  <si>
    <t>Nanophytoplankton</t>
  </si>
  <si>
    <t>anabaena flos aquae</t>
  </si>
  <si>
    <t>Aphanothece nidulans</t>
  </si>
  <si>
    <t>Closterium moniliferum</t>
  </si>
  <si>
    <t>Gymnodinium sp2</t>
  </si>
  <si>
    <t>Lyngbya limnetica</t>
  </si>
  <si>
    <t>Oscillatoria limnetica</t>
  </si>
  <si>
    <t>Schroederia judayi</t>
  </si>
  <si>
    <t>Stephanodiscus niagarae</t>
  </si>
  <si>
    <t>Anabaena aphanizomenoides</t>
  </si>
  <si>
    <t>Ankistrodesmus convolutus</t>
  </si>
  <si>
    <t>Coelosphaerium naegelianum</t>
  </si>
  <si>
    <t>Cryptomonas lucens</t>
  </si>
  <si>
    <t>Cylindrospermopsis raciborskii</t>
  </si>
  <si>
    <t>Gymnodinium sp3</t>
  </si>
  <si>
    <t>Scenedesmus abundans</t>
  </si>
  <si>
    <t>Sphaerospermopsis aphanizomenoides</t>
  </si>
  <si>
    <t>&gt;1-3</t>
  </si>
  <si>
    <t>&gt;3</t>
  </si>
  <si>
    <t>SA:Vol ratio</t>
  </si>
  <si>
    <t>&lt;0.3</t>
  </si>
  <si>
    <t>&gt;0.3-0.7</t>
  </si>
  <si>
    <t>&gt;0.7-1.0</t>
  </si>
  <si>
    <t>sa_v_1</t>
  </si>
  <si>
    <t>sa_v_2</t>
  </si>
  <si>
    <t>sa_v_3</t>
  </si>
  <si>
    <t>sa_v_4</t>
  </si>
  <si>
    <t>sa_v_5</t>
  </si>
  <si>
    <t>Anabaena lemmermannii</t>
  </si>
  <si>
    <t>Anabaena mendotae</t>
  </si>
  <si>
    <t>Aphanizomenon gracile</t>
  </si>
  <si>
    <t>Chlamydomonas incerta</t>
  </si>
  <si>
    <t>Chlamydomonas inepta</t>
  </si>
  <si>
    <t>Chlamydomonas platystigma</t>
  </si>
  <si>
    <t>Chrysochromulina parva</t>
  </si>
  <si>
    <t>Cocconeis placentula var. lineata</t>
  </si>
  <si>
    <t>Crucigenia crucifera</t>
  </si>
  <si>
    <t>Cuspidothrix issatschenkoi</t>
  </si>
  <si>
    <t>Cyanocatena planctonic</t>
  </si>
  <si>
    <t>Cryptomonas gracilis</t>
  </si>
  <si>
    <t>Cyanocatena planctonica</t>
  </si>
  <si>
    <t>Cyclostephanos tholiformis</t>
  </si>
  <si>
    <t>Cyclotella sp. 1</t>
  </si>
  <si>
    <t>Cyclotella sp1</t>
  </si>
  <si>
    <t>Dactylococcopsis irregularis</t>
  </si>
  <si>
    <t>Deasonia gigantica</t>
  </si>
  <si>
    <t>Dictyosphaerium chlorelloides</t>
  </si>
  <si>
    <t>Dinobryon sociale</t>
  </si>
  <si>
    <t>Dolichospermum circinale</t>
  </si>
  <si>
    <t>Dolichospermum crassum</t>
  </si>
  <si>
    <t>Dolichospermum lemmermannii</t>
  </si>
  <si>
    <t>Dolichospermum macrosporum</t>
  </si>
  <si>
    <t>Dolichospermum planctonicum</t>
  </si>
  <si>
    <t>Dolichospermum spiroides</t>
  </si>
  <si>
    <t>Fragilaria filiformis</t>
  </si>
  <si>
    <t>Glenodinium quadridens</t>
  </si>
  <si>
    <t>Gloeotrichia echinulata</t>
  </si>
  <si>
    <t>Gymnodinium sp. 2</t>
  </si>
  <si>
    <t>Gymnodinium sp. 3</t>
  </si>
  <si>
    <t>Gymnodinium sp1</t>
  </si>
  <si>
    <t>Kephyrion gracilis</t>
  </si>
  <si>
    <t>Kephyrion planctonicum</t>
  </si>
  <si>
    <t>Lobomonas</t>
  </si>
  <si>
    <t>Lyngbya birgei</t>
  </si>
  <si>
    <t>Lyngbya circumcreta</t>
  </si>
  <si>
    <t>Lyngbya lagerheimia</t>
  </si>
  <si>
    <t>Lyngbya lagerheimia var. minor</t>
  </si>
  <si>
    <t>Mallomonas akrokomas</t>
  </si>
  <si>
    <t>Merismopedia minima</t>
  </si>
  <si>
    <t>Merismopedia warmingiana</t>
  </si>
  <si>
    <t>Monomastix minuta</t>
  </si>
  <si>
    <t>Mucidosphaerium pulchellum</t>
  </si>
  <si>
    <t>Navicula cryptocephala</t>
  </si>
  <si>
    <t>Nitzschia perminuta</t>
  </si>
  <si>
    <t>Oocystis pusilla</t>
  </si>
  <si>
    <t>Oscillatoria agardhii</t>
  </si>
  <si>
    <t>Oscillatoria chlorina</t>
  </si>
  <si>
    <t>Planktolyngbya lagerheimia</t>
  </si>
  <si>
    <t>Planktolyngbya microspira</t>
  </si>
  <si>
    <t>Scenedesmus intermedius</t>
  </si>
  <si>
    <t>Schizochlamys compacta</t>
  </si>
  <si>
    <t>Selenastrum minutum</t>
  </si>
  <si>
    <t>Snowella litoralis</t>
  </si>
  <si>
    <t>Stephanodiscus medius</t>
  </si>
  <si>
    <t>Synechococcus leopoliensis</t>
  </si>
  <si>
    <t>Synechococcus sp. 1</t>
  </si>
  <si>
    <t>Synechococcus sp1</t>
  </si>
  <si>
    <t>Synedra cyclopum</t>
  </si>
  <si>
    <t>Synedra ulna</t>
  </si>
  <si>
    <t>Tetraedron muticum</t>
  </si>
  <si>
    <r>
      <t>Chlamydomonas</t>
    </r>
    <r>
      <rPr>
        <sz val="6"/>
        <color rgb="FF1C1D1E"/>
        <rFont val="Arial"/>
        <family val="2"/>
      </rPr>
      <t> sp.</t>
    </r>
  </si>
  <si>
    <t>Ulothrix_sp</t>
  </si>
  <si>
    <t>Aulacoseira_sp</t>
  </si>
  <si>
    <t>Fragilariforma_virescens</t>
  </si>
  <si>
    <t>Oscillatoria_limosa</t>
  </si>
  <si>
    <t>Stauroneis_sp</t>
  </si>
  <si>
    <t>Volvox_sp</t>
  </si>
  <si>
    <t>Coelosphaerium_kuetzingianum</t>
  </si>
  <si>
    <t>Asterococcus_sp</t>
  </si>
  <si>
    <t>Spirogyra_sp</t>
  </si>
  <si>
    <t>Meridion_circulare</t>
  </si>
  <si>
    <t>Surirella_sp</t>
  </si>
  <si>
    <t>Stephanodiscus_binderanus</t>
  </si>
  <si>
    <t>Schroederia_sp</t>
  </si>
  <si>
    <t>Tetrachlorella_alternans</t>
  </si>
  <si>
    <t>Actinastrum_hantzschii</t>
  </si>
  <si>
    <t>Cylindrotheca_sp</t>
  </si>
  <si>
    <t>Koliella_spirotaenia</t>
  </si>
  <si>
    <t>Cymatopleura_sp</t>
  </si>
  <si>
    <t>Koliella_planctonica</t>
  </si>
  <si>
    <t>Microcystis_flos-aquae</t>
  </si>
  <si>
    <t>Diploneis_sp</t>
  </si>
  <si>
    <t>Belonastrum_berolinensis</t>
  </si>
  <si>
    <t>Coelosphaerium_minutissimum</t>
  </si>
  <si>
    <t>Mallomonas_sp</t>
  </si>
  <si>
    <t>Mallomonas_acaroides</t>
  </si>
  <si>
    <t>Gonium_sp</t>
  </si>
  <si>
    <t>Golenkinia_radiata</t>
  </si>
  <si>
    <t>Kirchneriella_obesa</t>
  </si>
  <si>
    <t>Actinastrum_sp</t>
  </si>
  <si>
    <t>Koliella_spiculiformis</t>
  </si>
  <si>
    <t>Pseudanabaena_catenata</t>
  </si>
  <si>
    <t>Anabaena_sp</t>
  </si>
  <si>
    <t>Nitzschia_paleacea</t>
  </si>
  <si>
    <t>Ochromonas_sp</t>
  </si>
  <si>
    <t>Ankyra_ancora</t>
  </si>
  <si>
    <t>Tetrachlorella_sp</t>
  </si>
  <si>
    <t>Phormidium_retzii</t>
  </si>
  <si>
    <t>Stylochrysalis_sp</t>
  </si>
  <si>
    <t>Willea_sp</t>
  </si>
  <si>
    <t>Koliella_longiseta</t>
  </si>
  <si>
    <t>Limnothrix_redekei</t>
  </si>
  <si>
    <t>Micractinium_sp</t>
  </si>
  <si>
    <t>Leptolyngbya_fragilis</t>
  </si>
  <si>
    <t>Stichococcus_sp</t>
  </si>
  <si>
    <t>Chrysolykos_planctonicus</t>
  </si>
  <si>
    <t>Pseudanabaena_arcuata</t>
  </si>
  <si>
    <t>Uroglena_americana</t>
  </si>
  <si>
    <t>Monoraphidium_sp</t>
  </si>
  <si>
    <t>Tabellaria_flocculosa</t>
  </si>
  <si>
    <t>Chlamydomonas_gloeophila</t>
  </si>
  <si>
    <t>Fotterella_tetrachlorelloides</t>
  </si>
  <si>
    <t>Nitzschia_acicularis</t>
  </si>
  <si>
    <t>Geitlerinema_splendidum</t>
  </si>
  <si>
    <t>Chrysochromulina_sp</t>
  </si>
  <si>
    <t>Kephyrion_sp</t>
  </si>
  <si>
    <t>Chrysamoeba_sp</t>
  </si>
  <si>
    <t>Mallomonas_tonsurata</t>
  </si>
  <si>
    <t>Chromulina_sp</t>
  </si>
  <si>
    <t>Leptolyngbya_foveolara</t>
  </si>
  <si>
    <t>Epithemia_sp</t>
  </si>
  <si>
    <t>Staurosira_construens</t>
  </si>
  <si>
    <t>Tribonema_angustissimum</t>
  </si>
  <si>
    <t>Chrysidiastrum_catenatum</t>
  </si>
  <si>
    <t>Sphaerellopsis_sp</t>
  </si>
  <si>
    <t>Nephrocytium_sp</t>
  </si>
  <si>
    <t>Synechococcus_sp</t>
  </si>
  <si>
    <t>Cosmarium_bioculatum</t>
  </si>
  <si>
    <t>Fragilaria_nitzschioides</t>
  </si>
  <si>
    <t>Chrysococcus_sp</t>
  </si>
  <si>
    <t>Tetrachlorella_incerta</t>
  </si>
  <si>
    <t>Phormidium_sp</t>
  </si>
  <si>
    <t>Tribonema_sp</t>
  </si>
  <si>
    <t>Spumella_sp</t>
  </si>
  <si>
    <t>Cyclotella_ocellata</t>
  </si>
  <si>
    <t>Fragilaria_sp</t>
  </si>
  <si>
    <t>Diatoma_mesodon</t>
  </si>
  <si>
    <t>Coelastrella_sp</t>
  </si>
  <si>
    <t>Pseudanabaena_sp</t>
  </si>
  <si>
    <t>Merismopedia_tenuissima</t>
  </si>
  <si>
    <t>Aulacoseira_islandica</t>
  </si>
  <si>
    <t>Cyclotella_bodanica</t>
  </si>
  <si>
    <t>Gloeotrichia_sp</t>
  </si>
  <si>
    <t>Coelosphaerium_sp</t>
  </si>
  <si>
    <t>Aphanocapsa_sp</t>
  </si>
  <si>
    <t>Leptolyngbya_sp</t>
  </si>
  <si>
    <t>Synura_sp</t>
  </si>
  <si>
    <t>Hannaea_arcus</t>
  </si>
  <si>
    <t>Lanceola_spatulifera</t>
  </si>
  <si>
    <t>Coelastrum_polychordum</t>
  </si>
  <si>
    <t>Bitrichia_ollula</t>
  </si>
  <si>
    <t>Bumilleriopsis_sp</t>
  </si>
  <si>
    <t>Trachelomonas_sp</t>
  </si>
  <si>
    <t>Heteronema_sp</t>
  </si>
  <si>
    <t>Gonium pectorale only e.g.</t>
  </si>
  <si>
    <t>Chromulina cf erkensis only e.g.</t>
  </si>
  <si>
    <t xml:space="preserve"> Coelosphaerium kutzingii only e.g.</t>
  </si>
  <si>
    <t>Cosmarium sphagnicolum</t>
  </si>
  <si>
    <t>4-Cosmarium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</si>
</sst>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numFmt numFmtId="165" formatCode="0.0_)"/>
  </numFmts>
  <fonts count="49">
    <font>
      <sz val="12"/>
      <color theme="1"/>
      <name val="Calibri"/>
      <family val="2"/>
      <scheme val="minor"/>
    </font>
    <font>
      <b/>
      <sz val="12"/>
      <color theme="1"/>
      <name val="Calibri"/>
      <family val="2"/>
      <scheme val="minor"/>
    </font>
    <font>
      <b/>
      <sz val="9"/>
      <color theme="1"/>
      <name val="Arial"/>
      <family val="2"/>
    </font>
    <font>
      <sz val="9"/>
      <color theme="1"/>
      <name val="Arial"/>
      <family val="2"/>
    </font>
    <font>
      <sz val="9"/>
      <color rgb="FF000000"/>
      <name val="Arial"/>
      <family val="2"/>
    </font>
    <font>
      <sz val="8"/>
      <name val="Calibri"/>
      <family val="2"/>
      <scheme val="minor"/>
    </font>
    <font>
      <sz val="10"/>
      <name val="Arial"/>
      <family val="2"/>
    </font>
    <font>
      <shadow/>
      <sz val="10"/>
      <name val="Arial"/>
      <family val="2"/>
    </font>
    <font>
      <sz val="10"/>
      <color theme="0"/>
      <name val="Arial"/>
      <family val="2"/>
    </font>
    <font>
      <b/>
      <sz val="10"/>
      <name val="Arial"/>
      <family val="2"/>
    </font>
    <font>
      <sz val="8"/>
      <color indexed="8"/>
      <name val="Verdana"/>
      <family val="2"/>
    </font>
    <font>
      <sz val="10"/>
      <color indexed="8"/>
      <name val="Arial"/>
      <family val="2"/>
    </font>
    <font>
      <sz val="10"/>
      <name val="Times New Roman"/>
      <family val="1"/>
    </font>
    <font>
      <sz val="10"/>
      <color indexed="10"/>
      <name val="Arial"/>
      <family val="2"/>
    </font>
    <font>
      <sz val="10"/>
      <name val="Arial"/>
      <family val="2"/>
      <charset val="1"/>
    </font>
    <font>
      <sz val="8.5"/>
      <color indexed="63"/>
      <name val="Verdana"/>
      <family val="2"/>
    </font>
    <font>
      <sz val="9"/>
      <name val="Verdana"/>
      <family val="2"/>
    </font>
    <font>
      <sz val="9"/>
      <color indexed="8"/>
      <name val="Verdana"/>
      <family val="2"/>
    </font>
    <font>
      <sz val="11"/>
      <name val="Arial"/>
      <family val="2"/>
    </font>
    <font>
      <sz val="8"/>
      <color indexed="63"/>
      <name val="Verdana"/>
      <family val="2"/>
    </font>
    <font>
      <sz val="8"/>
      <name val="Verdana"/>
      <family val="2"/>
    </font>
    <font>
      <b/>
      <sz val="10"/>
      <color rgb="FF000000"/>
      <name val="Tahoma"/>
      <family val="2"/>
    </font>
    <font>
      <sz val="10"/>
      <color rgb="FF000000"/>
      <name val="Tahoma"/>
      <family val="2"/>
    </font>
    <font>
      <b/>
      <sz val="10"/>
      <color indexed="81"/>
      <name val="Tahoma"/>
      <family val="2"/>
    </font>
    <font>
      <sz val="10"/>
      <color indexed="81"/>
      <name val="Tahoma"/>
      <family val="2"/>
    </font>
    <font>
      <i/>
      <sz val="9"/>
      <color theme="1"/>
      <name val="TimesNewRomanPS"/>
    </font>
    <font>
      <sz val="9"/>
      <color theme="1"/>
      <name val="TimesNewRomanPSMT"/>
    </font>
    <font>
      <i/>
      <sz val="12"/>
      <color theme="1"/>
      <name val="Calibri"/>
      <family val="2"/>
      <scheme val="minor"/>
    </font>
    <font>
      <i/>
      <sz val="10"/>
      <name val="Arial"/>
      <family val="2"/>
    </font>
    <font>
      <sz val="10"/>
      <color theme="1"/>
      <name val="AdvPTimes"/>
    </font>
    <font>
      <sz val="10"/>
      <color rgb="FFFF0000"/>
      <name val="Arial"/>
      <family val="2"/>
    </font>
    <font>
      <b/>
      <sz val="9"/>
      <color theme="1"/>
      <name val="Calibri"/>
      <family val="2"/>
      <scheme val="minor"/>
    </font>
    <font>
      <sz val="9"/>
      <name val="Arial"/>
      <family val="2"/>
    </font>
    <font>
      <sz val="9"/>
      <color theme="1"/>
      <name val="Calibri"/>
      <family val="2"/>
      <scheme val="minor"/>
    </font>
    <font>
      <sz val="12"/>
      <color theme="1"/>
      <name val="Times New Roman,Italic"/>
    </font>
    <font>
      <sz val="12"/>
      <color theme="1"/>
      <name val="Times New Roman"/>
      <family val="1"/>
    </font>
    <font>
      <sz val="9"/>
      <color rgb="FF000000"/>
      <name val="Calibri"/>
      <family val="2"/>
      <scheme val="minor"/>
    </font>
    <font>
      <sz val="12"/>
      <color rgb="FF000000"/>
      <name val="Calibri"/>
      <family val="2"/>
      <scheme val="minor"/>
    </font>
    <font>
      <u/>
      <sz val="12"/>
      <color theme="10"/>
      <name val="Calibri"/>
      <family val="2"/>
      <scheme val="minor"/>
    </font>
    <font>
      <sz val="8"/>
      <color theme="1"/>
      <name val="ArialMT"/>
    </font>
    <font>
      <sz val="8"/>
      <color rgb="FF000000"/>
      <name val="Verdana"/>
      <family val="2"/>
    </font>
    <font>
      <b/>
      <sz val="9"/>
      <color rgb="FF000000"/>
      <name val="Calibri"/>
      <family val="2"/>
      <scheme val="minor"/>
    </font>
    <font>
      <u/>
      <sz val="6"/>
      <color theme="10"/>
      <name val="Calibri"/>
      <family val="2"/>
      <scheme val="minor"/>
    </font>
    <font>
      <sz val="6"/>
      <color theme="1"/>
      <name val="Calibri"/>
      <family val="2"/>
      <scheme val="minor"/>
    </font>
    <font>
      <i/>
      <sz val="6"/>
      <color rgb="FF1C1D1E"/>
      <name val="Arial"/>
      <family val="2"/>
    </font>
    <font>
      <sz val="6"/>
      <color rgb="FF1C1D1E"/>
      <name val="Arial"/>
      <family val="2"/>
    </font>
    <font>
      <sz val="6"/>
      <color theme="1"/>
      <name val="ArialMT"/>
    </font>
    <font>
      <sz val="6"/>
      <name val="Arial"/>
      <family val="2"/>
    </font>
    <font>
      <sz val="6"/>
      <color rgb="FF535154"/>
      <name val="Lucida Grande"/>
      <family val="2"/>
    </font>
  </fonts>
  <fills count="12">
    <fill>
      <patternFill patternType="none"/>
    </fill>
    <fill>
      <patternFill patternType="gray125"/>
    </fill>
    <fill>
      <patternFill patternType="solid">
        <fgColor indexed="29"/>
        <bgColor indexed="64"/>
      </patternFill>
    </fill>
    <fill>
      <patternFill patternType="solid">
        <fgColor indexed="40"/>
        <bgColor indexed="64"/>
      </patternFill>
    </fill>
    <fill>
      <patternFill patternType="solid">
        <fgColor rgb="FFFFFF00"/>
        <bgColor indexed="64"/>
      </patternFill>
    </fill>
    <fill>
      <patternFill patternType="solid">
        <fgColor indexed="47"/>
        <bgColor indexed="64"/>
      </patternFill>
    </fill>
    <fill>
      <patternFill patternType="solid">
        <fgColor indexed="22"/>
        <bgColor indexed="64"/>
      </patternFill>
    </fill>
    <fill>
      <patternFill patternType="solid">
        <fgColor indexed="23"/>
        <bgColor indexed="64"/>
      </patternFill>
    </fill>
    <fill>
      <patternFill patternType="solid">
        <fgColor theme="1"/>
        <bgColor indexed="64"/>
      </patternFill>
    </fill>
    <fill>
      <patternFill patternType="solid">
        <fgColor indexed="13"/>
        <bgColor indexed="64"/>
      </patternFill>
    </fill>
    <fill>
      <patternFill patternType="solid">
        <fgColor indexed="10"/>
        <bgColor indexed="64"/>
      </patternFill>
    </fill>
    <fill>
      <patternFill patternType="solid">
        <fgColor indexed="42"/>
        <bgColor indexed="64"/>
      </patternFill>
    </fill>
  </fills>
  <borders count="1">
    <border>
      <left/>
      <right/>
      <top/>
      <bottom/>
      <diagonal/>
    </border>
  </borders>
  <cellStyleXfs count="3">
    <xf numFmtId="0" fontId="0" fillId="0" borderId="0"/>
    <xf numFmtId="0" fontId="18" fillId="0" borderId="0"/>
    <xf numFmtId="0" fontId="38" fillId="0" borderId="0" applyNumberFormat="0" applyFill="0" applyBorder="0" applyAlignment="0" applyProtection="0"/>
  </cellStyleXfs>
  <cellXfs count="85">
    <xf numFmtId="0" fontId="0" fillId="0" borderId="0" xfId="0"/>
    <xf numFmtId="0" fontId="2" fillId="0" borderId="0" xfId="0" applyFont="1" applyAlignment="1">
      <alignment horizontal="center" vertical="center" textRotation="90"/>
    </xf>
    <xf numFmtId="0" fontId="2" fillId="0" borderId="0" xfId="0" applyFont="1" applyAlignment="1">
      <alignment horizontal="center" textRotation="90"/>
    </xf>
    <xf numFmtId="0" fontId="1" fillId="0" borderId="0" xfId="0" applyFont="1"/>
    <xf numFmtId="0" fontId="3" fillId="0" borderId="0" xfId="0" applyFont="1" applyAlignment="1">
      <alignment horizontal="center" textRotation="90" wrapText="1"/>
    </xf>
    <xf numFmtId="0" fontId="4" fillId="0" borderId="0" xfId="0" applyFont="1" applyAlignment="1">
      <alignment horizontal="center" textRotation="90" wrapText="1"/>
    </xf>
    <xf numFmtId="0" fontId="6" fillId="2" borderId="0" xfId="0" applyFont="1" applyFill="1" applyAlignment="1">
      <alignment wrapText="1"/>
    </xf>
    <xf numFmtId="0" fontId="6" fillId="3" borderId="0" xfId="0" applyFont="1" applyFill="1" applyAlignment="1">
      <alignment wrapText="1"/>
    </xf>
    <xf numFmtId="0" fontId="7" fillId="3" borderId="0" xfId="0" applyFont="1" applyFill="1" applyAlignment="1">
      <alignment wrapText="1"/>
    </xf>
    <xf numFmtId="0" fontId="6" fillId="4" borderId="0" xfId="0" applyFont="1" applyFill="1" applyAlignment="1">
      <alignment wrapText="1"/>
    </xf>
    <xf numFmtId="0" fontId="6" fillId="5" borderId="0" xfId="0" applyFont="1" applyFill="1" applyAlignment="1">
      <alignment wrapText="1"/>
    </xf>
    <xf numFmtId="2" fontId="6" fillId="5" borderId="0" xfId="0" applyNumberFormat="1" applyFont="1" applyFill="1" applyAlignment="1">
      <alignment wrapText="1"/>
    </xf>
    <xf numFmtId="0" fontId="6" fillId="6" borderId="0" xfId="0" applyFont="1" applyFill="1" applyAlignment="1">
      <alignment wrapText="1"/>
    </xf>
    <xf numFmtId="2" fontId="6" fillId="6" borderId="0" xfId="0" applyNumberFormat="1" applyFont="1" applyFill="1" applyAlignment="1">
      <alignment wrapText="1"/>
    </xf>
    <xf numFmtId="0" fontId="6" fillId="7" borderId="0" xfId="0" applyFont="1" applyFill="1" applyAlignment="1">
      <alignment wrapText="1"/>
    </xf>
    <xf numFmtId="2" fontId="6" fillId="7" borderId="0" xfId="0" applyNumberFormat="1" applyFont="1" applyFill="1" applyAlignment="1">
      <alignment wrapText="1"/>
    </xf>
    <xf numFmtId="0" fontId="8" fillId="8" borderId="0" xfId="0" applyFont="1" applyFill="1" applyAlignment="1">
      <alignment wrapText="1"/>
    </xf>
    <xf numFmtId="0" fontId="6" fillId="9" borderId="0" xfId="0" applyFont="1" applyFill="1" applyAlignment="1">
      <alignment wrapText="1"/>
    </xf>
    <xf numFmtId="0" fontId="6" fillId="10" borderId="0" xfId="0" applyFont="1" applyFill="1" applyAlignment="1">
      <alignment wrapText="1"/>
    </xf>
    <xf numFmtId="0" fontId="9" fillId="11" borderId="0" xfId="0" applyFont="1" applyFill="1" applyAlignment="1">
      <alignment wrapText="1"/>
    </xf>
    <xf numFmtId="0" fontId="6" fillId="0" borderId="0" xfId="0" applyFont="1" applyAlignment="1">
      <alignment wrapText="1"/>
    </xf>
    <xf numFmtId="0" fontId="6" fillId="0" borderId="0" xfId="0" applyFont="1" applyProtection="1">
      <protection locked="0"/>
    </xf>
    <xf numFmtId="0" fontId="6" fillId="0" borderId="0" xfId="0" applyFont="1"/>
    <xf numFmtId="0" fontId="10" fillId="0" borderId="0" xfId="0" applyFont="1"/>
    <xf numFmtId="2" fontId="6" fillId="0" borderId="0" xfId="0" applyNumberFormat="1" applyFont="1" applyProtection="1">
      <protection locked="0"/>
    </xf>
    <xf numFmtId="2" fontId="6" fillId="0" borderId="0" xfId="0" applyNumberFormat="1" applyFont="1"/>
    <xf numFmtId="0" fontId="11" fillId="0" borderId="0" xfId="0" applyFont="1"/>
    <xf numFmtId="0" fontId="9" fillId="0" borderId="0" xfId="0" applyFont="1" applyProtection="1">
      <protection locked="0"/>
    </xf>
    <xf numFmtId="0" fontId="12" fillId="0" borderId="0" xfId="0" applyFont="1" applyAlignment="1" applyProtection="1">
      <alignment horizontal="left"/>
      <protection locked="0"/>
    </xf>
    <xf numFmtId="0" fontId="13" fillId="0" borderId="0" xfId="0" applyFont="1"/>
    <xf numFmtId="0" fontId="14" fillId="0" borderId="0" xfId="0" applyFont="1" applyAlignment="1" applyProtection="1">
      <alignment horizontal="left"/>
      <protection locked="0"/>
    </xf>
    <xf numFmtId="164" fontId="12" fillId="0" borderId="0" xfId="0" applyNumberFormat="1" applyFont="1" applyAlignment="1" applyProtection="1">
      <alignment horizontal="center"/>
      <protection locked="0"/>
    </xf>
    <xf numFmtId="0" fontId="15" fillId="0" borderId="0" xfId="0" applyFont="1"/>
    <xf numFmtId="0" fontId="12" fillId="0" borderId="0" xfId="0" applyFont="1"/>
    <xf numFmtId="0" fontId="16" fillId="0" borderId="0" xfId="0" applyFont="1"/>
    <xf numFmtId="0" fontId="12" fillId="0" borderId="0" xfId="0" applyFont="1" applyProtection="1">
      <protection locked="0"/>
    </xf>
    <xf numFmtId="0" fontId="14" fillId="0" borderId="0" xfId="0" applyFont="1" applyProtection="1">
      <protection locked="0"/>
    </xf>
    <xf numFmtId="0" fontId="17" fillId="0" borderId="0" xfId="0" applyFont="1"/>
    <xf numFmtId="165" fontId="6" fillId="0" borderId="0" xfId="0" applyNumberFormat="1" applyFont="1"/>
    <xf numFmtId="0" fontId="6" fillId="0" borderId="0" xfId="1" applyFont="1"/>
    <xf numFmtId="0" fontId="6" fillId="0" borderId="0" xfId="0" quotePrefix="1" applyFont="1" applyProtection="1">
      <protection locked="0"/>
    </xf>
    <xf numFmtId="0" fontId="19" fillId="0" borderId="0" xfId="0" applyFont="1"/>
    <xf numFmtId="0" fontId="20" fillId="0" borderId="0" xfId="0" applyFont="1"/>
    <xf numFmtId="0" fontId="25" fillId="0" borderId="0" xfId="0" applyFont="1"/>
    <xf numFmtId="0" fontId="9" fillId="0" borderId="0" xfId="0" applyFont="1"/>
    <xf numFmtId="0" fontId="27" fillId="0" borderId="0" xfId="0" applyFont="1"/>
    <xf numFmtId="0" fontId="28" fillId="0" borderId="0" xfId="0" applyFont="1" applyProtection="1">
      <protection locked="0"/>
    </xf>
    <xf numFmtId="0" fontId="29" fillId="0" borderId="0" xfId="0" applyFont="1"/>
    <xf numFmtId="0" fontId="30" fillId="0" borderId="0" xfId="0" applyFont="1"/>
    <xf numFmtId="0" fontId="6" fillId="0" borderId="0" xfId="0" applyFont="1" applyAlignment="1" applyProtection="1">
      <alignment wrapText="1"/>
      <protection locked="0"/>
    </xf>
    <xf numFmtId="0" fontId="2" fillId="0" borderId="0" xfId="0" applyFont="1" applyAlignment="1">
      <alignment horizontal="center" vertical="center" textRotation="90" wrapText="1"/>
    </xf>
    <xf numFmtId="0" fontId="2" fillId="0" borderId="0" xfId="0" applyFont="1" applyAlignment="1">
      <alignment horizontal="center" textRotation="90" wrapText="1"/>
    </xf>
    <xf numFmtId="0" fontId="1" fillId="0" borderId="0" xfId="0" applyFont="1" applyAlignment="1">
      <alignment wrapText="1"/>
    </xf>
    <xf numFmtId="0" fontId="0" fillId="0" borderId="0" xfId="0" applyAlignment="1">
      <alignment wrapText="1"/>
    </xf>
    <xf numFmtId="0" fontId="31" fillId="0" borderId="0" xfId="0" applyFont="1" applyAlignment="1">
      <alignment wrapText="1"/>
    </xf>
    <xf numFmtId="0" fontId="32" fillId="0" borderId="0" xfId="0" applyFont="1" applyAlignment="1" applyProtection="1">
      <alignment wrapText="1"/>
      <protection locked="0"/>
    </xf>
    <xf numFmtId="0" fontId="33" fillId="0" borderId="0" xfId="0" applyFont="1" applyAlignment="1">
      <alignment wrapText="1"/>
    </xf>
    <xf numFmtId="0" fontId="34" fillId="0" borderId="0" xfId="0" applyFont="1" applyAlignment="1">
      <alignment wrapText="1"/>
    </xf>
    <xf numFmtId="0" fontId="1" fillId="0" borderId="0" xfId="0" applyFont="1" applyAlignment="1"/>
    <xf numFmtId="0" fontId="0" fillId="0" borderId="0" xfId="0" applyAlignment="1"/>
    <xf numFmtId="0" fontId="36" fillId="0" borderId="0" xfId="0" applyFont="1" applyAlignment="1"/>
    <xf numFmtId="0" fontId="0" fillId="0" borderId="0" xfId="0" applyAlignment="1">
      <alignment horizontal="center"/>
    </xf>
    <xf numFmtId="0" fontId="37" fillId="0" borderId="0" xfId="0" applyFont="1"/>
    <xf numFmtId="0" fontId="0" fillId="0" borderId="0" xfId="0" applyAlignment="1">
      <alignment horizontal="center"/>
    </xf>
    <xf numFmtId="2" fontId="0" fillId="0" borderId="0" xfId="0" applyNumberFormat="1"/>
    <xf numFmtId="0" fontId="39" fillId="0" borderId="0" xfId="0" applyFont="1"/>
    <xf numFmtId="0" fontId="0" fillId="0" borderId="0" xfId="0" applyAlignment="1">
      <alignment horizontal="center"/>
    </xf>
    <xf numFmtId="0" fontId="40" fillId="0" borderId="0" xfId="0" applyFont="1"/>
    <xf numFmtId="0" fontId="0" fillId="0" borderId="0" xfId="0" quotePrefix="1"/>
    <xf numFmtId="0" fontId="0" fillId="0" borderId="0" xfId="0" applyAlignment="1">
      <alignment horizontal="center" wrapText="1"/>
    </xf>
    <xf numFmtId="0" fontId="9" fillId="0" borderId="0" xfId="0" applyFont="1" applyAlignment="1">
      <alignment wrapText="1"/>
    </xf>
    <xf numFmtId="0" fontId="41" fillId="0" borderId="0" xfId="0" applyFont="1" applyAlignment="1"/>
    <xf numFmtId="0" fontId="0" fillId="0" borderId="0" xfId="0" applyAlignment="1">
      <alignment textRotation="90"/>
    </xf>
    <xf numFmtId="0" fontId="0" fillId="0" borderId="0" xfId="0" applyAlignment="1">
      <alignment horizontal="center" textRotation="90"/>
    </xf>
    <xf numFmtId="0" fontId="0" fillId="0" borderId="0" xfId="0" applyAlignment="1">
      <alignment horizontal="center" textRotation="90" wrapText="1"/>
    </xf>
    <xf numFmtId="0" fontId="33" fillId="0" borderId="0" xfId="0" applyFont="1" applyAlignment="1">
      <alignment horizontal="center" textRotation="90"/>
    </xf>
    <xf numFmtId="0" fontId="42" fillId="0" borderId="0" xfId="2" applyFont="1" applyAlignment="1">
      <alignment wrapText="1"/>
    </xf>
    <xf numFmtId="0" fontId="43" fillId="0" borderId="0" xfId="0" applyFont="1" applyAlignment="1">
      <alignment wrapText="1"/>
    </xf>
    <xf numFmtId="0" fontId="44" fillId="0" borderId="0" xfId="0" applyFont="1" applyAlignment="1">
      <alignment wrapText="1"/>
    </xf>
    <xf numFmtId="0" fontId="46" fillId="0" borderId="0" xfId="0" applyFont="1" applyAlignment="1">
      <alignment wrapText="1"/>
    </xf>
    <xf numFmtId="0" fontId="47" fillId="0" borderId="0" xfId="0" applyFont="1" applyAlignment="1">
      <alignment wrapText="1"/>
    </xf>
    <xf numFmtId="0" fontId="47" fillId="0" borderId="0" xfId="0" applyFont="1" applyAlignment="1" applyProtection="1">
      <alignment wrapText="1"/>
      <protection locked="0"/>
    </xf>
    <xf numFmtId="0" fontId="48" fillId="0" borderId="0" xfId="0" applyFont="1" applyAlignment="1">
      <alignment wrapText="1"/>
    </xf>
    <xf numFmtId="0" fontId="0" fillId="0" borderId="0" xfId="0" applyAlignment="1">
      <alignment horizontal="center"/>
    </xf>
    <xf numFmtId="0" fontId="0" fillId="0" borderId="0" xfId="0" applyAlignment="1">
      <alignment horizontal="center" wrapText="1"/>
    </xf>
  </cellXfs>
  <cellStyles count="3">
    <cellStyle name="Hyperlink" xfId="2" builtinId="8"/>
    <cellStyle name="Normal" xfId="0" builtinId="0"/>
    <cellStyle name="Normal_Feuil1" xfId="1" xr:uid="{C61A051D-5233-1E46-8E5A-D0A0F954D7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5.xml.rels><?xml version="1.0" encoding="UTF-8" standalone="yes"?>
<Relationships xmlns="http://schemas.openxmlformats.org/package/2006/relationships"><Relationship Id="rId2" Type="http://schemas.openxmlformats.org/officeDocument/2006/relationships/hyperlink" Target="https://books.google.co.uk/books?id=Sc4897dfM_MC&amp;pg=PA90&amp;lpg=PA90&amp;dq=Anabaena+%22augstumalis%22+cell+size&amp;source=bl&amp;ots=n6aJwbJORL&amp;sig=ACfU3U3yZCS6qfpuLMgl49Z1kzJ3rVEFTw&amp;hl=en&amp;sa=X&amp;ved=2ahUKEwjNkMudhaHwAhX3ZxUIHYdMDqIQ6AEwEHoECCAQAw" TargetMode="External"/><Relationship Id="rId1" Type="http://schemas.openxmlformats.org/officeDocument/2006/relationships/hyperlink" Target="https://doi.org/10.1111/j.1529-8817.1981.tb00820.x"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000C2-E05C-C646-953E-3656F6A9F150}">
  <dimension ref="A1:AG43"/>
  <sheetViews>
    <sheetView topLeftCell="A22" zoomScale="66" zoomScaleNormal="51" workbookViewId="0">
      <selection activeCell="F43" sqref="F43"/>
    </sheetView>
  </sheetViews>
  <sheetFormatPr baseColWidth="10" defaultRowHeight="16"/>
  <cols>
    <col min="1" max="1" width="13.6640625" customWidth="1"/>
    <col min="2" max="2" width="15.1640625" customWidth="1"/>
    <col min="3" max="4" width="23.33203125" customWidth="1"/>
    <col min="5" max="5" width="26.1640625" style="59" customWidth="1"/>
  </cols>
  <sheetData>
    <row r="1" spans="1:33" ht="32">
      <c r="E1" s="1" t="s">
        <v>2</v>
      </c>
      <c r="F1" s="83" t="s">
        <v>68</v>
      </c>
      <c r="G1" s="83"/>
      <c r="H1" s="83"/>
      <c r="I1" s="83"/>
      <c r="J1" s="83" t="s">
        <v>73</v>
      </c>
      <c r="K1" s="83"/>
      <c r="L1" s="83"/>
      <c r="M1" s="83"/>
      <c r="N1" s="83" t="s">
        <v>82</v>
      </c>
      <c r="O1" s="83"/>
      <c r="P1" s="83"/>
      <c r="Q1" s="83"/>
      <c r="R1" s="83" t="s">
        <v>97</v>
      </c>
      <c r="S1" s="83"/>
      <c r="T1" s="83"/>
      <c r="U1" s="83"/>
      <c r="V1" s="83" t="s">
        <v>90</v>
      </c>
      <c r="W1" s="83"/>
      <c r="X1" s="83" t="s">
        <v>92</v>
      </c>
      <c r="Y1" s="83"/>
      <c r="Z1" s="83"/>
      <c r="AA1" s="83" t="s">
        <v>3509</v>
      </c>
      <c r="AB1" s="83"/>
      <c r="AC1" s="83"/>
      <c r="AD1" s="83" t="s">
        <v>3577</v>
      </c>
      <c r="AE1" s="83"/>
      <c r="AF1" s="83" t="s">
        <v>3576</v>
      </c>
      <c r="AG1" s="83"/>
    </row>
    <row r="2" spans="1:33" ht="64">
      <c r="E2" s="2" t="s">
        <v>3</v>
      </c>
      <c r="F2" s="4" t="s">
        <v>69</v>
      </c>
      <c r="G2" s="4" t="s">
        <v>72</v>
      </c>
      <c r="H2" s="4" t="s">
        <v>3504</v>
      </c>
      <c r="I2" s="5" t="s">
        <v>70</v>
      </c>
      <c r="J2" s="4" t="s">
        <v>78</v>
      </c>
      <c r="K2" s="4" t="s">
        <v>79</v>
      </c>
      <c r="L2" s="4" t="s">
        <v>80</v>
      </c>
      <c r="M2" s="5" t="s">
        <v>81</v>
      </c>
      <c r="N2" s="4" t="s">
        <v>78</v>
      </c>
      <c r="O2" s="4" t="s">
        <v>87</v>
      </c>
      <c r="P2" s="4" t="s">
        <v>88</v>
      </c>
      <c r="Q2" s="5" t="s">
        <v>89</v>
      </c>
      <c r="R2" s="5">
        <v>0.11</v>
      </c>
      <c r="S2" s="5">
        <v>0.13</v>
      </c>
      <c r="T2" s="4">
        <v>0.16</v>
      </c>
      <c r="U2" s="5">
        <v>0.22</v>
      </c>
      <c r="V2" s="4" t="s">
        <v>91</v>
      </c>
      <c r="W2" s="4" t="s">
        <v>3507</v>
      </c>
      <c r="X2" s="4" t="s">
        <v>93</v>
      </c>
      <c r="Y2" s="4" t="s">
        <v>3506</v>
      </c>
      <c r="Z2" s="4" t="s">
        <v>3505</v>
      </c>
      <c r="AA2" s="4" t="s">
        <v>94</v>
      </c>
      <c r="AB2" s="4" t="s">
        <v>95</v>
      </c>
      <c r="AC2" s="4" t="s">
        <v>96</v>
      </c>
      <c r="AD2" s="4" t="s">
        <v>3568</v>
      </c>
      <c r="AE2" s="4" t="s">
        <v>3571</v>
      </c>
      <c r="AF2" s="4" t="s">
        <v>3575</v>
      </c>
      <c r="AG2" s="4" t="s">
        <v>3578</v>
      </c>
    </row>
    <row r="3" spans="1:33">
      <c r="A3" t="s">
        <v>59</v>
      </c>
      <c r="B3" s="3" t="s">
        <v>0</v>
      </c>
      <c r="C3" s="3" t="s">
        <v>3542</v>
      </c>
      <c r="D3" s="3" t="s">
        <v>1</v>
      </c>
      <c r="E3" s="58" t="s">
        <v>3555</v>
      </c>
      <c r="F3" t="s">
        <v>65</v>
      </c>
      <c r="G3" t="s">
        <v>66</v>
      </c>
      <c r="H3" t="s">
        <v>67</v>
      </c>
      <c r="I3" t="s">
        <v>71</v>
      </c>
      <c r="J3" t="s">
        <v>74</v>
      </c>
      <c r="K3" t="s">
        <v>75</v>
      </c>
      <c r="L3" t="s">
        <v>76</v>
      </c>
      <c r="M3" t="s">
        <v>77</v>
      </c>
      <c r="N3" t="s">
        <v>83</v>
      </c>
      <c r="O3" t="s">
        <v>84</v>
      </c>
      <c r="P3" t="s">
        <v>85</v>
      </c>
      <c r="Q3" t="s">
        <v>86</v>
      </c>
      <c r="R3" t="s">
        <v>3543</v>
      </c>
      <c r="S3" t="s">
        <v>3544</v>
      </c>
      <c r="T3" t="s">
        <v>3545</v>
      </c>
      <c r="U3" t="s">
        <v>3546</v>
      </c>
      <c r="V3" t="s">
        <v>3547</v>
      </c>
      <c r="W3" t="s">
        <v>3548</v>
      </c>
      <c r="X3" t="s">
        <v>3549</v>
      </c>
      <c r="Y3" t="s">
        <v>3550</v>
      </c>
      <c r="Z3" t="s">
        <v>3551</v>
      </c>
      <c r="AA3" t="s">
        <v>3552</v>
      </c>
      <c r="AB3" t="s">
        <v>3553</v>
      </c>
      <c r="AC3" t="s">
        <v>3554</v>
      </c>
      <c r="AD3" t="s">
        <v>3569</v>
      </c>
      <c r="AE3" t="s">
        <v>3570</v>
      </c>
      <c r="AF3" t="s">
        <v>3579</v>
      </c>
      <c r="AG3" t="s">
        <v>3580</v>
      </c>
    </row>
    <row r="4" spans="1:33">
      <c r="A4" t="s">
        <v>61</v>
      </c>
      <c r="B4" t="s">
        <v>32</v>
      </c>
      <c r="C4" t="s">
        <v>3532</v>
      </c>
      <c r="F4">
        <f>COUNTIF('remet-kin'!Q2:'remet-kin'!Q5,"&lt;=10")/COUNT('remet-kin'!Q2:'remet-kin'!Q5)</f>
        <v>1</v>
      </c>
      <c r="G4">
        <f>COUNTIFS('remet-kin'!Q2:'remet-kin'!Q5,"&gt;10",'remet-kin'!Q2:'remet-kin'!Q5,"&lt;=25")/COUNT('remet-kin'!Q2:'remet-kin'!Q5)</f>
        <v>0</v>
      </c>
      <c r="H4">
        <f>COUNTIFS('remet-kin'!Q2:'remet-kin'!Q5,"&gt;25",'remet-kin'!Q2:'remet-kin'!Q5,"&lt;=100")/COUNT('remet-kin'!Q2:'remet-kin'!Q5)</f>
        <v>0</v>
      </c>
      <c r="I4">
        <f>COUNTIFS('remet-kin'!Q2:'remet-kin'!Q5,"&gt;100")/COUNT('remet-kin'!Q2:'remet-kin'!Q5)</f>
        <v>0</v>
      </c>
      <c r="J4">
        <f>COUNTIF('remet-kin'!W2:'remet-kin'!W5,"&lt;=100")/COUNT('remet-kin'!W2:'remet-kin'!W5)</f>
        <v>0</v>
      </c>
      <c r="K4">
        <f>COUNTIFS('remet-kin'!W2:'remet-kin'!W5,"&gt;100",'remet-kin'!W2:'remet-kin'!W5,"&lt;=500")/COUNT('remet-kin'!W2:'remet-kin'!W5)</f>
        <v>1</v>
      </c>
      <c r="L4">
        <f>COUNTIFS('remet-kin'!W2:'remet-kin'!W5,"&gt;500",'remet-kin'!W2:'remet-kin'!W5,"&lt;=1000")/COUNT('remet-kin'!W2:'remet-kin'!W5)</f>
        <v>0</v>
      </c>
      <c r="M4">
        <f>COUNTIFS('remet-kin'!W2:'remet-kin'!W5,"&gt;1000")/COUNT('remet-kin'!W2:'remet-kin'!W5)</f>
        <v>0</v>
      </c>
      <c r="N4">
        <f>COUNTIF('remet-kin'!X2:'remet-kin'!X5,"&lt;=100")/COUNT('remet-kin'!X2:'remet-kin'!X5)</f>
        <v>0.5</v>
      </c>
      <c r="O4">
        <f>COUNTIFS('remet-kin'!X2:'remet-kin'!X5,"&gt;100",'remet-kin'!X2:'remet-kin'!X5,"&lt;=1000")/COUNT('remet-kin'!X2:'remet-kin'!X5)</f>
        <v>0.5</v>
      </c>
      <c r="P4">
        <f>COUNTIFS('remet-kin'!X2:'remet-kin'!X5,"&gt;1000",'remet-kin'!X2:'remet-kin'!X5,"&lt;=10000")/COUNT('remet-kin'!X2:'remet-kin'!X5)</f>
        <v>0</v>
      </c>
      <c r="Q4">
        <f>COUNTIFS('remet-kin'!X2:'remet-kin'!X5,"&gt;10000")/COUNT('remet-kin'!X2:'remet-kin'!X5)</f>
        <v>0</v>
      </c>
      <c r="R4">
        <f>COUNTIF('remet-kin'!AM2:'remet-kin'!AM5,"=0.11")/COUNT('remet-kin'!AM2:'remet-kin'!AM5)</f>
        <v>0</v>
      </c>
      <c r="S4">
        <f>COUNTIF('remet-kin'!AM2:'remet-kin'!AM5,"=0.13")/COUNT('remet-kin'!AM2:'remet-kin'!AM5)</f>
        <v>0</v>
      </c>
      <c r="T4">
        <f>COUNTIFS('remet-kin'!AM2:'remet-kin'!AM5,"0.16")/COUNT('remet-kin'!AM2:'remet-kin'!AM5)</f>
        <v>0</v>
      </c>
      <c r="U4">
        <f>COUNTIFS('remet-kin'!AM2:'remet-kin'!AM5,"=0.22")/COUNT('remet-kin'!AM2:'remet-kin'!AM5)</f>
        <v>1</v>
      </c>
      <c r="V4">
        <f>COUNTIF('remet-kin'!Y2:'remet-kin'!Y5,"=1")/COUNT('remet-kin'!Y2:'remet-kin'!Y5)</f>
        <v>0</v>
      </c>
      <c r="W4">
        <f>COUNTIF('remet-kin'!Y2:'remet-kin'!Y5,"&gt;1")/COUNT('remet-kin'!Y2:'remet-kin'!Y5)</f>
        <v>1</v>
      </c>
      <c r="X4">
        <f>COUNTIF('remet-kin'!AS2:'remet-kin'!AS5,"=1")/COUNT('remet-kin'!AS2:'remet-kin'!AS5)</f>
        <v>0</v>
      </c>
      <c r="Y4">
        <f>COUNTIF('remet-kin'!AT2:'remet-kin'!AT5,"=1")/COUNT('remet-kin'!AT2:'remet-kin'!AT5)</f>
        <v>0</v>
      </c>
      <c r="Z4">
        <f>1-X4-Y4</f>
        <v>1</v>
      </c>
      <c r="AA4">
        <f>COUNTIF('remet-kin'!AW2:'remet-kin'!AW5,"=1")/COUNT('remet-kin'!AW2:'remet-kin'!AW5)</f>
        <v>0</v>
      </c>
      <c r="AB4">
        <f>COUNTIF('remet-kin'!AX2:'remet-kin'!AX5,"=1")/COUNT('remet-kin'!AX2:'remet-kin'!AX5)</f>
        <v>0</v>
      </c>
      <c r="AC4">
        <f>COUNTIF('remet-kin'!AY2:'remet-kin'!AY5,"=1")/COUNT('remet-kin'!AY2:'remet-kin'!AY5)</f>
        <v>1</v>
      </c>
      <c r="AD4">
        <f>COUNTIF('remet-kin'!BF2:'remet-kin'!BF5,"=1")/COUNT('remet-kin'!BF2:'remet-kin'!BF5)</f>
        <v>1</v>
      </c>
      <c r="AE4">
        <f>1-AD4</f>
        <v>0</v>
      </c>
      <c r="AF4">
        <f>COUNTIF('remet-kin'!BG2:'remet-kin'!BG5,"=1")/COUNT('remet-kin'!BG2:'remet-kin'!BG5)</f>
        <v>0</v>
      </c>
      <c r="AG4">
        <f>1-AF4</f>
        <v>1</v>
      </c>
    </row>
    <row r="5" spans="1:33">
      <c r="A5" t="s">
        <v>61</v>
      </c>
      <c r="B5" t="s">
        <v>33</v>
      </c>
      <c r="C5" t="s">
        <v>4</v>
      </c>
      <c r="D5" t="s">
        <v>4</v>
      </c>
      <c r="F5">
        <f>COUNTIF('remet-kin'!Q8:'remet-kin'!Q9,"&lt;=10")/COUNT('remet-kin'!Q8:'remet-kin'!Q9)</f>
        <v>1</v>
      </c>
      <c r="G5">
        <f>COUNTIFS('remet-kin'!Q8:'remet-kin'!Q9,"&gt;10",'remet-kin'!Q8:'remet-kin'!Q9,"&lt;=25")/COUNT('remet-kin'!Q8:'remet-kin'!Q9)</f>
        <v>0</v>
      </c>
      <c r="H5">
        <f>COUNTIFS('remet-kin'!Q8:'remet-kin'!Q9,"&gt;25",'remet-kin'!Q8:'remet-kin'!Q9,"&lt;=100")/COUNT('remet-kin'!Q8:'remet-kin'!Q9)</f>
        <v>0</v>
      </c>
      <c r="I5">
        <f>COUNTIFS('remet-kin'!Q8:'remet-kin'!Q9,"&gt;100")/COUNT('remet-kin'!Q8:'remet-kin'!Q9)</f>
        <v>0</v>
      </c>
      <c r="J5">
        <f>COUNTIF('remet-kin'!W8:'remet-kin'!W9,"&lt;=100")/COUNT('remet-kin'!W8:'remet-kin'!W9)</f>
        <v>0</v>
      </c>
      <c r="K5">
        <f>COUNTIFS('remet-kin'!W8:'remet-kin'!W9,"&gt;100",'remet-kin'!W8:'remet-kin'!W9,"&lt;=500")/COUNT('remet-kin'!W8:'remet-kin'!W9)</f>
        <v>1</v>
      </c>
      <c r="L5">
        <f>COUNTIFS('remet-kin'!W8:'remet-kin'!W9,"&gt;500",'remet-kin'!W8:'remet-kin'!W9,"&lt;=1000")/COUNT('remet-kin'!W8:'remet-kin'!W9)</f>
        <v>0</v>
      </c>
      <c r="M5">
        <f>COUNTIFS('remet-kin'!W8:'remet-kin'!W9,"&gt;1000")/COUNT('remet-kin'!W8:'remet-kin'!W9)</f>
        <v>0</v>
      </c>
      <c r="N5">
        <f>COUNTIF('remet-kin'!X8:'remet-kin'!X9,"&lt;=100")/COUNT('remet-kin'!X8:'remet-kin'!X9)</f>
        <v>1</v>
      </c>
      <c r="O5">
        <f>COUNTIFS('remet-kin'!X8:'remet-kin'!X9,"&gt;100",'remet-kin'!X8:'remet-kin'!X9,"&lt;=1000")/COUNT('remet-kin'!X8:'remet-kin'!X9)</f>
        <v>0</v>
      </c>
      <c r="P5">
        <f>COUNTIFS('remet-kin'!X8:'remet-kin'!X9,"&gt;1000",'remet-kin'!X8:'remet-kin'!X9,"&lt;=10000")/COUNT('remet-kin'!X8:'remet-kin'!X9)</f>
        <v>0</v>
      </c>
      <c r="Q5">
        <f>COUNTIFS('remet-kin'!X8:'remet-kin'!X9,"&gt;10000")/COUNT('remet-kin'!X8:'remet-kin'!X9)</f>
        <v>0</v>
      </c>
      <c r="R5">
        <f>COUNTIF('remet-kin'!AM8:'remet-kin'!AM9,"=0.11")/COUNT('remet-kin'!AM8:'remet-kin'!AM9)</f>
        <v>0</v>
      </c>
      <c r="S5">
        <f>COUNTIF('remet-kin'!AM8:'remet-kin'!AM9,"=0.13")/COUNT('remet-kin'!AM8:'remet-kin'!AM9)</f>
        <v>0</v>
      </c>
      <c r="T5">
        <f>COUNTIFS('remet-kin'!AM8:'remet-kin'!AM9,"0.16")/COUNT('remet-kin'!AM8:'remet-kin'!AM9)</f>
        <v>0</v>
      </c>
      <c r="U5">
        <f>COUNTIFS('remet-kin'!AM8:'remet-kin'!AM9,"=0.22")/COUNT('remet-kin'!AM8:'remet-kin'!AM9)</f>
        <v>1</v>
      </c>
      <c r="V5">
        <f>COUNTIF('remet-kin'!Y8:'remet-kin'!Y9,"=1")/COUNT('remet-kin'!Y8:'remet-kin'!Y9)</f>
        <v>0</v>
      </c>
      <c r="W5">
        <f>COUNTIF('remet-kin'!Y8:'remet-kin'!Y9,"&gt;1")/COUNT('remet-kin'!Y8:'remet-kin'!Y9)</f>
        <v>1</v>
      </c>
      <c r="X5">
        <f>COUNTIF('remet-kin'!AS8:'remet-kin'!AS9,"=1")/COUNT('remet-kin'!AS8:'remet-kin'!AS9)</f>
        <v>0</v>
      </c>
      <c r="Y5">
        <f>COUNTIF('remet-kin'!AT8:'remet-kin'!AT9,"=1")/COUNT('remet-kin'!AT8:'remet-kin'!AT9)</f>
        <v>0</v>
      </c>
      <c r="Z5">
        <f>1-X5-Y5</f>
        <v>1</v>
      </c>
      <c r="AA5">
        <f>COUNTIF('remet-kin'!AW8:'remet-kin'!AW9,"=1")/COUNT('remet-kin'!AW8:'remet-kin'!AW9)</f>
        <v>0</v>
      </c>
      <c r="AB5">
        <f>COUNTIF('remet-kin'!AX8:'remet-kin'!AX9,"=1")/COUNT('remet-kin'!AX8:'remet-kin'!AX9)</f>
        <v>0</v>
      </c>
      <c r="AC5">
        <f>COUNTIF('remet-kin'!AY8:'remet-kin'!AY9,"=1")/COUNT('remet-kin'!AY8:'remet-kin'!AY9)</f>
        <v>1</v>
      </c>
      <c r="AD5">
        <f>COUNTIF('remet-kin'!BF8:'remet-kin'!BF9,"=1")/COUNT('remet-kin'!BF8:'remet-kin'!BF9)</f>
        <v>1</v>
      </c>
      <c r="AE5">
        <f t="shared" ref="AE5:AE43" si="0">1-AD5</f>
        <v>0</v>
      </c>
      <c r="AF5">
        <f>COUNTIF('remet-kin'!BG8:'remet-kin'!BG9,"=1")/COUNT('remet-kin'!BG8:'remet-kin'!BG9)</f>
        <v>0</v>
      </c>
      <c r="AG5">
        <f t="shared" ref="AG5:AG43" si="1">1-AF5</f>
        <v>1</v>
      </c>
    </row>
    <row r="6" spans="1:33" ht="34">
      <c r="A6" t="s">
        <v>61</v>
      </c>
      <c r="B6" t="s">
        <v>33</v>
      </c>
      <c r="C6" t="s">
        <v>5</v>
      </c>
      <c r="D6" t="s">
        <v>5</v>
      </c>
      <c r="E6" s="53" t="s">
        <v>3574</v>
      </c>
    </row>
    <row r="7" spans="1:33">
      <c r="A7" t="s">
        <v>61</v>
      </c>
      <c r="B7" t="s">
        <v>34</v>
      </c>
      <c r="C7" t="s">
        <v>3533</v>
      </c>
      <c r="F7">
        <f>COUNTIF('remet-kin'!Q11:'remet-kin'!Q19,"&lt;=10")/COUNT('remet-kin'!Q11:'remet-kin'!Q19)</f>
        <v>1</v>
      </c>
      <c r="G7">
        <f>COUNTIFS('remet-kin'!Q11:'remet-kin'!Q19,"&gt;10",'remet-kin'!Q11:'remet-kin'!Q19,"&lt;=25")/COUNT('remet-kin'!Q11:'remet-kin'!Q19)</f>
        <v>0</v>
      </c>
      <c r="H7">
        <f>COUNTIFS('remet-kin'!Q11:'remet-kin'!Q19,"&gt;25",'remet-kin'!Q11:'remet-kin'!Q19,"&lt;=100")/COUNT('remet-kin'!Q11:'remet-kin'!Q19)</f>
        <v>0</v>
      </c>
      <c r="I7">
        <f>COUNTIFS('remet-kin'!Q11:'remet-kin'!Q19,"&gt;100")/COUNT('remet-kin'!Q11:'remet-kin'!Q19)</f>
        <v>0</v>
      </c>
      <c r="J7">
        <f>COUNTIF('remet-kin'!W11:'remet-kin'!W19,"&lt;=100")/COUNT('remet-kin'!W11:'remet-kin'!W19)</f>
        <v>1</v>
      </c>
      <c r="K7">
        <f>COUNTIFS('remet-kin'!W11:'remet-kin'!W19,"&gt;100",'remet-kin'!W11:'remet-kin'!W19,"&lt;=500")/COUNT('remet-kin'!W11:'remet-kin'!W19)</f>
        <v>0</v>
      </c>
      <c r="L7">
        <f>COUNTIFS('remet-kin'!W11:'remet-kin'!W19,"&gt;500",'remet-kin'!W11:'remet-kin'!W19,"&lt;=1000")/COUNT('remet-kin'!W11:'remet-kin'!W19)</f>
        <v>0</v>
      </c>
      <c r="M7">
        <f>COUNTIFS('remet-kin'!W11:'remet-kin'!W19,"&gt;1000")/COUNT('remet-kin'!W11:'remet-kin'!W19)</f>
        <v>0</v>
      </c>
      <c r="N7">
        <f>COUNTIF('remet-kin'!X11:'remet-kin'!X19,"&lt;=100")/COUNT('remet-kin'!X11:'remet-kin'!X19)</f>
        <v>1</v>
      </c>
      <c r="O7">
        <f>COUNTIFS('remet-kin'!X11:'remet-kin'!X19,"&gt;100",'remet-kin'!X11:'remet-kin'!X19,"&lt;=1000")/COUNT('remet-kin'!X11:'remet-kin'!X19)</f>
        <v>0</v>
      </c>
      <c r="P7">
        <f>COUNTIFS('remet-kin'!X11:'remet-kin'!X19,"&gt;1000",'remet-kin'!X11:'remet-kin'!X19,"&lt;=10000")/COUNT('remet-kin'!X11:'remet-kin'!X19)</f>
        <v>0</v>
      </c>
      <c r="Q7">
        <f>COUNTIFS('remet-kin'!X11:'remet-kin'!X19,"&gt;10000")/COUNT('remet-kin'!X11:'remet-kin'!X19)</f>
        <v>0</v>
      </c>
      <c r="R7">
        <f>COUNTIF('remet-kin'!AM11:'remet-kin'!AM19,"=0.11")/COUNT('remet-kin'!AM11:'remet-kin'!AM19)</f>
        <v>0</v>
      </c>
      <c r="S7">
        <f>COUNTIF('remet-kin'!AM11:'remet-kin'!AM19,"=0.13")/COUNT('remet-kin'!AM11:'remet-kin'!AM19)</f>
        <v>0</v>
      </c>
      <c r="T7">
        <f>COUNTIFS('remet-kin'!AM11:'remet-kin'!AM19,"0.16")/COUNT('remet-kin'!AM11:'remet-kin'!AM19)</f>
        <v>0</v>
      </c>
      <c r="U7">
        <f>COUNTIFS('remet-kin'!AM11:'remet-kin'!AM19,"=0.22")/COUNT('remet-kin'!AM11:'remet-kin'!AM19)</f>
        <v>1</v>
      </c>
      <c r="V7">
        <f>COUNTIF('remet-kin'!Y11:'remet-kin'!Y19,"=1")/COUNT('remet-kin'!Y11:'remet-kin'!Y19)</f>
        <v>0.1111111111111111</v>
      </c>
      <c r="W7">
        <f>COUNTIF('remet-kin'!Y11:'remet-kin'!Y19,"&gt;1")/COUNT('remet-kin'!Y11:'remet-kin'!Y19)</f>
        <v>0.88888888888888884</v>
      </c>
      <c r="X7">
        <f>COUNTIF('remet-kin'!AS11:'remet-kin'!AS19,"=1")/COUNT('remet-kin'!AS11:'remet-kin'!AS19)</f>
        <v>0</v>
      </c>
      <c r="Y7">
        <f>COUNTIF('remet-kin'!AT11:'remet-kin'!AT19,"=1")/COUNT('remet-kin'!AT11:'remet-kin'!AT19)</f>
        <v>0</v>
      </c>
      <c r="Z7">
        <f>1-X7-Y7</f>
        <v>1</v>
      </c>
      <c r="AA7">
        <f>COUNTIF('remet-kin'!AW11:'remet-kin'!AW19,"=1")/COUNT('remet-kin'!AW11:'remet-kin'!AW19)</f>
        <v>0</v>
      </c>
      <c r="AB7">
        <f>COUNTIF('remet-kin'!AX11:'remet-kin'!AX19,"=1")/COUNT('remet-kin'!AX11:'remet-kin'!AX19)</f>
        <v>0</v>
      </c>
      <c r="AC7">
        <f>COUNTIF('remet-kin'!AY11:'remet-kin'!AY19,"=1")/COUNT('remet-kin'!AY11:'remet-kin'!AY19)</f>
        <v>1</v>
      </c>
      <c r="AD7">
        <f>COUNTIF('remet-kin'!BF11:'remet-kin'!BF19,"=1")/COUNT('remet-kin'!BF11:'remet-kin'!BF19)</f>
        <v>0</v>
      </c>
      <c r="AE7">
        <f t="shared" si="0"/>
        <v>1</v>
      </c>
      <c r="AF7">
        <f>COUNTIF('remet-kin'!BG11:'remet-kin'!BG19,"=1")/COUNT('remet-kin'!BG11:'remet-kin'!BG19)</f>
        <v>0</v>
      </c>
      <c r="AG7">
        <f t="shared" si="1"/>
        <v>1</v>
      </c>
    </row>
    <row r="8" spans="1:33">
      <c r="A8" t="s">
        <v>61</v>
      </c>
      <c r="B8" t="s">
        <v>35</v>
      </c>
      <c r="C8" t="s">
        <v>6</v>
      </c>
      <c r="D8" t="s">
        <v>6</v>
      </c>
      <c r="F8">
        <f>COUNTIF('remet-kin'!Q21,"&lt;=10")</f>
        <v>1</v>
      </c>
      <c r="G8">
        <f>COUNTIFS('remet-kin'!Q21,"&gt;10",'remet-kin'!Q21,"&lt;=25")</f>
        <v>0</v>
      </c>
      <c r="H8">
        <f>COUNTIFS('remet-kin'!Q21,"&gt;25",'remet-kin'!Q21,"&lt;=100")</f>
        <v>0</v>
      </c>
      <c r="I8">
        <f>COUNTIFS('remet-kin'!Q21,"&gt;100")</f>
        <v>0</v>
      </c>
      <c r="J8">
        <f>COUNTIF('remet-kin'!W21,"&lt;=100")</f>
        <v>0</v>
      </c>
      <c r="K8">
        <f>COUNTIFS('remet-kin'!W21,"&gt;100",'remet-kin'!W21,"&lt;=500")</f>
        <v>0</v>
      </c>
      <c r="L8">
        <f>COUNTIFS('remet-kin'!W21,"&gt;500",'remet-kin'!W21,"&lt;=1000")</f>
        <v>1</v>
      </c>
      <c r="M8">
        <f>COUNTIFS('remet-kin'!W21,"&gt;1000")</f>
        <v>0</v>
      </c>
      <c r="N8">
        <f>COUNTIF('remet-kin'!X21,"&lt;=100")</f>
        <v>0</v>
      </c>
      <c r="O8">
        <f>COUNTIFS('remet-kin'!X21,"&gt;100",'remet-kin'!X21,"&lt;=1000")</f>
        <v>1</v>
      </c>
      <c r="P8">
        <f>COUNTIFS('remet-kin'!X21,"&gt;1000",'remet-kin'!X21,"&lt;=10000")</f>
        <v>0</v>
      </c>
      <c r="Q8">
        <f>COUNTIFS('remet-kin'!X21,"&gt;10000")</f>
        <v>0</v>
      </c>
      <c r="R8">
        <f>COUNTIF('remet-kin'!AM21,"=0.11")</f>
        <v>0</v>
      </c>
      <c r="S8">
        <f>COUNTIFS('remet-kin'!AM21,"0.13")</f>
        <v>0</v>
      </c>
      <c r="T8">
        <f>COUNTIFS('remet-kin'!AM21,"0.16")</f>
        <v>0</v>
      </c>
      <c r="U8">
        <f>COUNTIFS('remet-kin'!AM21,"=0.22")</f>
        <v>1</v>
      </c>
      <c r="V8">
        <f>COUNTIF('remet-kin'!Y21,"=1")</f>
        <v>0</v>
      </c>
      <c r="W8">
        <f>COUNTIF('remet-kin'!Y21,"&gt;1")</f>
        <v>1</v>
      </c>
      <c r="X8">
        <f>COUNTIF('remet-kin'!AS21,"=1")</f>
        <v>0</v>
      </c>
      <c r="Y8">
        <f>COUNTIF('remet-kin'!AT21,"=1")</f>
        <v>0</v>
      </c>
      <c r="Z8">
        <f>1-X8-Y8</f>
        <v>1</v>
      </c>
      <c r="AA8">
        <f>COUNTIF('remet-kin'!AW21,"=1")</f>
        <v>0</v>
      </c>
      <c r="AB8">
        <f>COUNTIF('remet-kin'!AX21,"=1")</f>
        <v>0</v>
      </c>
      <c r="AC8">
        <f>COUNTIF('remet-kin'!AY21,"=1")</f>
        <v>1</v>
      </c>
      <c r="AD8">
        <f>COUNTIF('remet-kin'!BF21,"=1")</f>
        <v>0</v>
      </c>
      <c r="AE8">
        <f t="shared" si="0"/>
        <v>1</v>
      </c>
      <c r="AF8">
        <f>COUNTIF('remet-kin'!BG21,"=1")</f>
        <v>0</v>
      </c>
      <c r="AG8">
        <f t="shared" si="1"/>
        <v>1</v>
      </c>
    </row>
    <row r="9" spans="1:33">
      <c r="A9" t="s">
        <v>61</v>
      </c>
      <c r="B9" t="s">
        <v>35</v>
      </c>
      <c r="C9" t="s">
        <v>7</v>
      </c>
      <c r="D9" t="s">
        <v>7</v>
      </c>
      <c r="F9">
        <f>COUNTIF('remet-kin'!Q22:'remet-kin'!Q23,"&lt;=10")/COUNT('remet-kin'!Q22:'remet-kin'!Q23)</f>
        <v>0</v>
      </c>
      <c r="G9">
        <f>COUNTIFS('remet-kin'!Q22:'remet-kin'!Q23,"&gt;10",'remet-kin'!Q22:'remet-kin'!Q23,"&lt;=25")/COUNT('remet-kin'!Q22:'remet-kin'!Q23)</f>
        <v>1</v>
      </c>
      <c r="H9">
        <f>COUNTIFS('remet-kin'!Q22:'remet-kin'!Q23,"&gt;25",'remet-kin'!Q22:'remet-kin'!Q23,"&lt;=100")/COUNT('remet-kin'!Q22:'remet-kin'!Q23)</f>
        <v>0</v>
      </c>
      <c r="I9">
        <f>COUNTIFS('remet-kin'!Q22:'remet-kin'!Q23,"&gt;100")/COUNT('remet-kin'!Q22:'remet-kin'!Q23)</f>
        <v>0</v>
      </c>
      <c r="J9">
        <f>COUNTIF('remet-kin'!W22:'remet-kin'!W23,"&lt;=100")/COUNT('remet-kin'!W22:'remet-kin'!W23)</f>
        <v>0</v>
      </c>
      <c r="K9">
        <f>COUNTIFS('remet-kin'!W22:'remet-kin'!W23,"&gt;100",'remet-kin'!W22:'remet-kin'!W23,"&lt;=500")/COUNT('remet-kin'!W22:'remet-kin'!W23)</f>
        <v>0</v>
      </c>
      <c r="L9">
        <f>COUNTIFS('remet-kin'!W22:'remet-kin'!W23,"&gt;500",'remet-kin'!W22:'remet-kin'!W23,"&lt;=1000")/COUNT('remet-kin'!W22:'remet-kin'!W23)</f>
        <v>0</v>
      </c>
      <c r="M9">
        <f>COUNTIFS('remet-kin'!W22:'remet-kin'!W23,"&gt;1000")/COUNT('remet-kin'!W22:'remet-kin'!W23)</f>
        <v>1</v>
      </c>
      <c r="N9">
        <f>COUNTIF('remet-kin'!X22:'remet-kin'!X23,"&lt;=100")/COUNT('remet-kin'!X22:'remet-kin'!X23)</f>
        <v>0</v>
      </c>
      <c r="O9">
        <f>COUNTIFS('remet-kin'!X22:'remet-kin'!X23,"&gt;100",'remet-kin'!X22:'remet-kin'!X23,"&lt;=1000")/COUNT('remet-kin'!X22:'remet-kin'!X23)</f>
        <v>0</v>
      </c>
      <c r="P9">
        <f>COUNTIFS('remet-kin'!X22:'remet-kin'!X23,"&gt;1000",'remet-kin'!X22:'remet-kin'!X23,"&lt;=10000")/COUNT('remet-kin'!X22:'remet-kin'!X23)</f>
        <v>1</v>
      </c>
      <c r="Q9">
        <f>COUNTIFS('remet-kin'!X22:'remet-kin'!X23,"&gt;10000")/COUNT('remet-kin'!X22:'remet-kin'!X23)</f>
        <v>0</v>
      </c>
      <c r="R9">
        <f>COUNTIF('remet-kin'!AM22:'remet-kin'!AM23,"=0.11")/COUNT('remet-kin'!AM22:'remet-kin'!AM23)</f>
        <v>0</v>
      </c>
      <c r="S9">
        <f>COUNTIF('remet-kin'!AM22:'remet-kin'!AM23,"=0.13")/COUNT('remet-kin'!AM22:'remet-kin'!AM23)</f>
        <v>0</v>
      </c>
      <c r="T9">
        <f>COUNTIFS('remet-kin'!AM22:'remet-kin'!AM23,"0.16")/COUNT('remet-kin'!AM22:'remet-kin'!AM23)</f>
        <v>0</v>
      </c>
      <c r="U9">
        <f>COUNTIFS('remet-kin'!AM22:'remet-kin'!AM23,"=0.22")/COUNT('remet-kin'!AM22:'remet-kin'!AM23)</f>
        <v>1</v>
      </c>
      <c r="V9">
        <f>COUNTIF('remet-kin'!Y22:'remet-kin'!Y23,"=1")/COUNT('remet-kin'!Y22:'remet-kin'!Y23)</f>
        <v>0</v>
      </c>
      <c r="W9">
        <f>COUNTIF('remet-kin'!Y22:'remet-kin'!Y23,"&gt;1")/COUNT('remet-kin'!Y22:'remet-kin'!Y23)</f>
        <v>1</v>
      </c>
      <c r="X9">
        <f>COUNTIF('remet-kin'!AS22:'remet-kin'!AS23,"=1")/COUNT('remet-kin'!AS22:'remet-kin'!AS23)</f>
        <v>0</v>
      </c>
      <c r="Y9">
        <f>COUNTIF('remet-kin'!AT22:'remet-kin'!AT23,"=1")/COUNT('remet-kin'!AT22:'remet-kin'!AT23)</f>
        <v>0</v>
      </c>
      <c r="Z9">
        <f>1-X9-Y9</f>
        <v>1</v>
      </c>
      <c r="AA9">
        <f>COUNTIF('remet-kin'!AW22:'remet-kin'!AW23,"=1")/COUNT('remet-kin'!AW22:'remet-kin'!AW23)</f>
        <v>0</v>
      </c>
      <c r="AB9">
        <f>COUNTIF('remet-kin'!AX22:'remet-kin'!AX23,"=1")/COUNT('remet-kin'!AX22:'remet-kin'!AX23)</f>
        <v>0</v>
      </c>
      <c r="AC9">
        <f>COUNTIF('remet-kin'!AY22:'remet-kin'!AY23,"=1")/COUNT('remet-kin'!AY22:'remet-kin'!AY23)</f>
        <v>1</v>
      </c>
      <c r="AD9">
        <f>COUNTIF('remet-kin'!BF22:'remet-kin'!BF23,"=1")/COUNT('remet-kin'!BF22:'remet-kin'!BF23)</f>
        <v>0</v>
      </c>
      <c r="AE9">
        <f t="shared" si="0"/>
        <v>1</v>
      </c>
      <c r="AF9">
        <f>COUNTIF('remet-kin'!BG22:'remet-kin'!BG23,"=1")/COUNT('remet-kin'!BG22:'remet-kin'!BG23)</f>
        <v>0</v>
      </c>
      <c r="AG9">
        <f t="shared" si="1"/>
        <v>1</v>
      </c>
    </row>
    <row r="10" spans="1:33" ht="34">
      <c r="A10" t="s">
        <v>61</v>
      </c>
      <c r="B10" t="s">
        <v>36</v>
      </c>
      <c r="C10" t="s">
        <v>8</v>
      </c>
      <c r="D10" t="s">
        <v>8</v>
      </c>
      <c r="E10" s="53" t="s">
        <v>3530</v>
      </c>
      <c r="F10">
        <f>COUNTIF('remet-kin'!Q25,"&lt;=10")</f>
        <v>1</v>
      </c>
      <c r="G10">
        <f>COUNTIFS('remet-kin'!Q25,"&gt;10",'remet-kin'!Q25,"&lt;=25")</f>
        <v>0</v>
      </c>
      <c r="H10">
        <f>COUNTIFS('remet-kin'!Q25,"&gt;25",'remet-kin'!Q25,"&lt;=100")</f>
        <v>0</v>
      </c>
      <c r="I10">
        <f>COUNTIFS('remet-kin'!Q25,"&gt;100")</f>
        <v>0</v>
      </c>
      <c r="J10">
        <f>COUNTIF('remet-kin'!W25,"&lt;=100")</f>
        <v>1</v>
      </c>
      <c r="K10">
        <f>COUNTIFS('remet-kin'!W25,"&gt;100",'remet-kin'!W25,"&lt;=500")</f>
        <v>0</v>
      </c>
      <c r="L10">
        <f>COUNTIFS('remet-kin'!W25,"&gt;500",'remet-kin'!W25,"&lt;=1000")</f>
        <v>0</v>
      </c>
      <c r="M10">
        <f>COUNTIFS('remet-kin'!W25,"&gt;1000")</f>
        <v>0</v>
      </c>
      <c r="N10">
        <f>COUNTIF('remet-kin'!X25,"&lt;=100")</f>
        <v>1</v>
      </c>
      <c r="O10">
        <f>COUNTIFS('remet-kin'!X25,"&gt;100",'remet-kin'!X25,"&lt;=1000")</f>
        <v>0</v>
      </c>
      <c r="P10">
        <f>COUNTIFS('remet-kin'!X25,"&gt;1000",'remet-kin'!X25,"&lt;=10000")</f>
        <v>0</v>
      </c>
      <c r="Q10">
        <f>COUNTIFS('remet-kin'!X25,"&gt;10000")</f>
        <v>0</v>
      </c>
      <c r="R10">
        <f>COUNTIF('remet-kin'!AM25,"=0.11")</f>
        <v>0</v>
      </c>
      <c r="S10">
        <f>COUNTIFS('remet-kin'!AM25,"0.13")</f>
        <v>0</v>
      </c>
      <c r="T10">
        <f>COUNTIFS('remet-kin'!AM25,"0.16")</f>
        <v>0</v>
      </c>
      <c r="U10">
        <f>COUNTIFS('remet-kin'!AM25,"=0.22")</f>
        <v>1</v>
      </c>
      <c r="V10">
        <f>COUNTIF('remet-kin'!Y25,"=1")</f>
        <v>0</v>
      </c>
      <c r="W10">
        <f>COUNTIF('remet-kin'!Y25,"&gt;1")</f>
        <v>1</v>
      </c>
      <c r="X10">
        <f>COUNTIF('remet-kin'!AS25,"=1")</f>
        <v>0</v>
      </c>
      <c r="Y10">
        <f>COUNTIF('remet-kin'!AT25,"=1")</f>
        <v>0</v>
      </c>
      <c r="Z10">
        <f>1-X10-Y10</f>
        <v>1</v>
      </c>
      <c r="AA10">
        <f>COUNTIF('remet-kin'!AW25,"=1")</f>
        <v>0</v>
      </c>
      <c r="AB10">
        <f>COUNTIF('remet-kin'!AX25,"=1")</f>
        <v>0</v>
      </c>
      <c r="AC10">
        <f>COUNTIF('remet-kin'!AY25,"=1")</f>
        <v>1</v>
      </c>
      <c r="AD10">
        <f>COUNTIF('remet-kin'!BF25,"=1")</f>
        <v>0</v>
      </c>
      <c r="AE10">
        <f t="shared" si="0"/>
        <v>1</v>
      </c>
      <c r="AF10">
        <f>COUNTIF('remet-kin'!BG25,"=1")</f>
        <v>0</v>
      </c>
      <c r="AG10">
        <f t="shared" si="1"/>
        <v>1</v>
      </c>
    </row>
    <row r="11" spans="1:33">
      <c r="A11" t="s">
        <v>61</v>
      </c>
      <c r="B11" t="s">
        <v>37</v>
      </c>
      <c r="C11" t="s">
        <v>3534</v>
      </c>
      <c r="F11">
        <f>COUNTIF('remet-kin'!Q138,"&lt;=10")</f>
        <v>0</v>
      </c>
      <c r="G11">
        <f>COUNTIFS('remet-kin'!Q138,"&gt;10",'remet-kin'!Q138,"&lt;=25")</f>
        <v>0</v>
      </c>
      <c r="H11">
        <f>COUNTIFS('remet-kin'!Q138,"&gt;25",'remet-kin'!Q138,"&lt;=100")</f>
        <v>0</v>
      </c>
      <c r="I11">
        <f>COUNTIFS('remet-kin'!Q138,"&gt;100")</f>
        <v>1</v>
      </c>
      <c r="J11">
        <f>COUNTIF('remet-kin'!W138,"&lt;=100")</f>
        <v>0</v>
      </c>
      <c r="K11">
        <f>COUNTIFS('remet-kin'!W138,"&gt;100",'remet-kin'!W138,"&lt;=500")</f>
        <v>0</v>
      </c>
      <c r="L11">
        <f>COUNTIFS('remet-kin'!W138,"&gt;500",'remet-kin'!W138,"&lt;=1000")</f>
        <v>1</v>
      </c>
      <c r="M11">
        <f>COUNTIFS('remet-kin'!W138,"&gt;1000")</f>
        <v>0</v>
      </c>
      <c r="N11">
        <f>COUNTIF('remet-kin'!X138,"&lt;=100")</f>
        <v>0</v>
      </c>
      <c r="O11">
        <f>COUNTIFS('remet-kin'!X138,"&gt;100",'remet-kin'!X138,"&lt;=1000")</f>
        <v>1</v>
      </c>
      <c r="P11">
        <f>COUNTIFS('remet-kin'!X138,"&gt;1000",'remet-kin'!X138,"&lt;=10000")</f>
        <v>0</v>
      </c>
      <c r="Q11">
        <f>COUNTIFS('remet-kin'!X138,"&gt;10000")</f>
        <v>0</v>
      </c>
      <c r="R11">
        <f>COUNTIF('remet-kin'!AM138,"=0.11")</f>
        <v>0</v>
      </c>
      <c r="S11">
        <f>COUNTIFS('remet-kin'!AM138,"0.13")</f>
        <v>0</v>
      </c>
      <c r="T11">
        <f>COUNTIFS('remet-kin'!AM138,"0.16")</f>
        <v>0</v>
      </c>
      <c r="U11">
        <f>COUNTIFS('remet-kin'!AM138,"=0.22")</f>
        <v>1</v>
      </c>
      <c r="V11">
        <f>COUNTIF('remet-kin'!Y138,"=1")</f>
        <v>1</v>
      </c>
      <c r="W11">
        <f>COUNTIF('remet-kin'!Y138,"&gt;1")</f>
        <v>0</v>
      </c>
      <c r="X11">
        <f>COUNTIF('remet-kin'!AS138,"=1")</f>
        <v>0</v>
      </c>
      <c r="Y11">
        <f>COUNTIF('remet-kin'!AT138,"=1")</f>
        <v>0</v>
      </c>
      <c r="Z11">
        <f>1-X11-Y11</f>
        <v>1</v>
      </c>
      <c r="AA11">
        <f>COUNTIF('remet-kin'!AW138,"=1")</f>
        <v>0</v>
      </c>
      <c r="AB11">
        <f>COUNTIF('remet-kin'!AX138,"=1")</f>
        <v>0</v>
      </c>
      <c r="AC11">
        <f>COUNTIF('remet-kin'!AY138,"=1")</f>
        <v>1</v>
      </c>
      <c r="AD11">
        <f>COUNTIF('remet-kin'!BF138,"=1")</f>
        <v>0</v>
      </c>
      <c r="AE11">
        <f t="shared" si="0"/>
        <v>1</v>
      </c>
      <c r="AF11">
        <f>COUNTIF('remet-kin'!BG138,"=1")</f>
        <v>0</v>
      </c>
      <c r="AG11">
        <f t="shared" si="1"/>
        <v>1</v>
      </c>
    </row>
    <row r="12" spans="1:33">
      <c r="A12" t="s">
        <v>61</v>
      </c>
      <c r="B12" t="s">
        <v>38</v>
      </c>
      <c r="C12" t="s">
        <v>3556</v>
      </c>
      <c r="D12" t="s">
        <v>3512</v>
      </c>
      <c r="F12">
        <f>COUNTIF('remet-kin'!Q27:'remet-kin'!Q28,"&lt;=10")/COUNT('remet-kin'!Q27:'remet-kin'!Q28)</f>
        <v>1</v>
      </c>
      <c r="G12">
        <f>COUNTIFS('remet-kin'!Q27:'remet-kin'!Q28,"&gt;10",'remet-kin'!Q27:'remet-kin'!Q28,"&lt;=25")/COUNT('remet-kin'!Q27:'remet-kin'!Q28)</f>
        <v>0</v>
      </c>
      <c r="H12">
        <f>COUNTIFS('remet-kin'!Q27:'remet-kin'!Q28,"&gt;25",'remet-kin'!Q27:'remet-kin'!Q28,"&lt;=100")/COUNT('remet-kin'!Q27:'remet-kin'!Q28)</f>
        <v>0</v>
      </c>
      <c r="I12">
        <f>COUNTIFS('remet-kin'!Q27:'remet-kin'!Q28,"&gt;100")/COUNT('remet-kin'!Q27:'remet-kin'!Q28)</f>
        <v>0</v>
      </c>
      <c r="J12">
        <f>COUNTIF('remet-kin'!W27:'remet-kin'!W28,"&lt;=100")/COUNT('remet-kin'!W27:'remet-kin'!W28)</f>
        <v>0.5</v>
      </c>
      <c r="K12">
        <f>COUNTIFS('remet-kin'!W27:'remet-kin'!W28,"&gt;100",'remet-kin'!W27:'remet-kin'!W28,"&lt;=500")/COUNT('remet-kin'!W27:'remet-kin'!W28)</f>
        <v>0.5</v>
      </c>
      <c r="L12">
        <f>COUNTIFS('remet-kin'!W27:'remet-kin'!W28,"&gt;500",'remet-kin'!W27:'remet-kin'!W28,"&lt;=1000")/COUNT('remet-kin'!W27:'remet-kin'!W28)</f>
        <v>0</v>
      </c>
      <c r="M12">
        <f>COUNTIFS('remet-kin'!W27:'remet-kin'!W28,"&gt;1000")/COUNT('remet-kin'!W27:'remet-kin'!W28)</f>
        <v>0</v>
      </c>
      <c r="N12">
        <f>COUNTIF('remet-kin'!X27:'remet-kin'!X28,"&lt;=100")/COUNT('remet-kin'!X27:'remet-kin'!X28)</f>
        <v>0.5</v>
      </c>
      <c r="O12">
        <f>COUNTIFS('remet-kin'!X27:'remet-kin'!X28,"&gt;100",'remet-kin'!X27:'remet-kin'!X28,"&lt;=1000")/COUNT('remet-kin'!X27:'remet-kin'!X28)</f>
        <v>0.5</v>
      </c>
      <c r="P12">
        <f>COUNTIFS('remet-kin'!X27:'remet-kin'!X28,"&gt;1000",'remet-kin'!X27:'remet-kin'!X28,"&lt;=10000")/COUNT('remet-kin'!X27:'remet-kin'!X28)</f>
        <v>0</v>
      </c>
      <c r="Q12">
        <f>COUNTIFS('remet-kin'!X27:'remet-kin'!X28,"&gt;10000")/COUNT('remet-kin'!X27:'remet-kin'!X28)</f>
        <v>0</v>
      </c>
      <c r="R12">
        <f>COUNTIF('remet-kin'!AM27:'remet-kin'!AM28,"=0.11")/COUNT('remet-kin'!AM27:'remet-kin'!AM28)</f>
        <v>0</v>
      </c>
      <c r="S12">
        <f>COUNTIF('remet-kin'!AM27:'remet-kin'!AM28,"=0.13")/COUNT('remet-kin'!AM27:'remet-kin'!AM28)</f>
        <v>0</v>
      </c>
      <c r="T12">
        <f>COUNTIFS('remet-kin'!AM27:'remet-kin'!AM28,"0.16")/COUNT('remet-kin'!AM27:'remet-kin'!AM28)</f>
        <v>0</v>
      </c>
      <c r="U12">
        <f>COUNTIFS('remet-kin'!AM27:'remet-kin'!AM28,"=0.22")/COUNT('remet-kin'!AM27:'remet-kin'!AM28)</f>
        <v>1</v>
      </c>
      <c r="V12">
        <f>COUNTIF('remet-kin'!Y27:'remet-kin'!Y28,"=1")/COUNT('remet-kin'!Y27:'remet-kin'!Y28)</f>
        <v>0</v>
      </c>
      <c r="W12">
        <f>COUNTIF('remet-kin'!Y27:'remet-kin'!Y28,"&gt;1")/COUNT('remet-kin'!Y27:'remet-kin'!Y28)</f>
        <v>1</v>
      </c>
      <c r="X12">
        <f>COUNTIF('remet-kin'!AS27:'remet-kin'!AS28,"=1")/COUNT('remet-kin'!AS27:'remet-kin'!AS28)</f>
        <v>0</v>
      </c>
      <c r="Y12">
        <f>COUNTIF('remet-kin'!AT27:'remet-kin'!AT28,"=1")/COUNT('remet-kin'!AT27:'remet-kin'!AT28)</f>
        <v>0</v>
      </c>
      <c r="Z12">
        <f t="shared" ref="Z12:Z35" si="2">1-X12-Y12</f>
        <v>1</v>
      </c>
      <c r="AA12">
        <f>COUNTIF('remet-kin'!AW27:'remet-kin'!AW28,"=1")/COUNT('remet-kin'!AW27:'remet-kin'!AW28)</f>
        <v>0</v>
      </c>
      <c r="AB12">
        <f>COUNTIF('remet-kin'!AX27:'remet-kin'!AX28,"=1")/COUNT('remet-kin'!AX27:'remet-kin'!AX28)</f>
        <v>0</v>
      </c>
      <c r="AC12">
        <f>COUNTIF('remet-kin'!AY27:'remet-kin'!AY28,"=1")/COUNT('remet-kin'!AY27:'remet-kin'!AY28)</f>
        <v>1</v>
      </c>
      <c r="AD12">
        <f>COUNTIF('remet-kin'!BF27:'remet-kin'!BF28,"=1")/COUNT('remet-kin'!BF27:'remet-kin'!BF28)</f>
        <v>0</v>
      </c>
      <c r="AE12">
        <f t="shared" si="0"/>
        <v>1</v>
      </c>
      <c r="AF12">
        <f>COUNTIF('remet-kin'!BG27:'remet-kin'!BG28,"=1")/COUNT('remet-kin'!BG27:'remet-kin'!BG28)</f>
        <v>0</v>
      </c>
      <c r="AG12">
        <f t="shared" si="1"/>
        <v>1</v>
      </c>
    </row>
    <row r="13" spans="1:33">
      <c r="A13" t="s">
        <v>61</v>
      </c>
      <c r="B13" t="s">
        <v>39</v>
      </c>
      <c r="C13" t="s">
        <v>9</v>
      </c>
      <c r="D13" t="s">
        <v>9</v>
      </c>
      <c r="F13">
        <f>COUNTIF('remet-kin'!Q30:'remet-kin'!Q31,"&lt;=10")/COUNT('remet-kin'!Q30:'remet-kin'!Q31)</f>
        <v>1</v>
      </c>
      <c r="G13">
        <f>COUNTIFS('remet-kin'!Q30:'remet-kin'!Q31,"&gt;10",'remet-kin'!Q30:'remet-kin'!Q31,"&lt;=25")/COUNT('remet-kin'!Q30:'remet-kin'!Q31)</f>
        <v>0</v>
      </c>
      <c r="H13">
        <f>COUNTIFS('remet-kin'!Q30:'remet-kin'!Q31,"&gt;25",'remet-kin'!Q30:'remet-kin'!Q31,"&lt;=100")/COUNT('remet-kin'!Q30:'remet-kin'!Q31)</f>
        <v>0</v>
      </c>
      <c r="I13">
        <f>COUNTIFS('remet-kin'!Q30:'remet-kin'!Q31,"&gt;100")/COUNT('remet-kin'!Q30:'remet-kin'!Q31)</f>
        <v>0</v>
      </c>
      <c r="J13">
        <f>COUNTIF('remet-kin'!W30:'remet-kin'!W31,"&lt;=100")/COUNT('remet-kin'!W30:'remet-kin'!W31)</f>
        <v>1</v>
      </c>
      <c r="K13">
        <f>COUNTIFS('remet-kin'!W30:'remet-kin'!W31,"&gt;100",'remet-kin'!W30:'remet-kin'!W31,"&lt;=500")/COUNT('remet-kin'!W30:'remet-kin'!W31)</f>
        <v>0</v>
      </c>
      <c r="L13">
        <f>COUNTIFS('remet-kin'!W30:'remet-kin'!W31,"&gt;500",'remet-kin'!W30:'remet-kin'!W31,"&lt;=1000")/COUNT('remet-kin'!W30:'remet-kin'!W31)</f>
        <v>0</v>
      </c>
      <c r="M13">
        <f>COUNTIFS('remet-kin'!W30:'remet-kin'!W31,"&gt;1000")/COUNT('remet-kin'!W30:'remet-kin'!W31)</f>
        <v>0</v>
      </c>
      <c r="N13">
        <f>COUNTIF('remet-kin'!X30:'remet-kin'!X31,"&lt;=100")/COUNT('remet-kin'!X30:'remet-kin'!X31)</f>
        <v>1</v>
      </c>
      <c r="O13">
        <f>COUNTIFS('remet-kin'!X30:'remet-kin'!X31,"&gt;100",'remet-kin'!X30:'remet-kin'!X31,"&lt;=1000")/COUNT('remet-kin'!X30:'remet-kin'!X31)</f>
        <v>0</v>
      </c>
      <c r="P13">
        <f>COUNTIFS('remet-kin'!X30:'remet-kin'!X31,"&gt;1000",'remet-kin'!X30:'remet-kin'!X31,"&lt;=10000")/COUNT('remet-kin'!X30:'remet-kin'!X31)</f>
        <v>0</v>
      </c>
      <c r="Q13">
        <f>COUNTIFS('remet-kin'!X30:'remet-kin'!X31,"&gt;10000")/COUNT('remet-kin'!X30:'remet-kin'!X31)</f>
        <v>0</v>
      </c>
      <c r="R13">
        <f>COUNTIF('remet-kin'!AM30:'remet-kin'!AM31,"=0.11")/COUNT('remet-kin'!AM30:'remet-kin'!AM31)</f>
        <v>0</v>
      </c>
      <c r="S13">
        <f>COUNTIF('remet-kin'!AM30:'remet-kin'!AM31,"=0.13")/COUNT('remet-kin'!AM30:'remet-kin'!AM31)</f>
        <v>0</v>
      </c>
      <c r="T13">
        <f>COUNTIFS('remet-kin'!AM30:'remet-kin'!AM31,"0.16")/COUNT('remet-kin'!AM30:'remet-kin'!AM31)</f>
        <v>0</v>
      </c>
      <c r="U13">
        <f>COUNTIFS('remet-kin'!AM30:'remet-kin'!AM31,"=0.22")/COUNT('remet-kin'!AM30:'remet-kin'!AM31)</f>
        <v>1</v>
      </c>
      <c r="V13">
        <f>COUNTIF('remet-kin'!Y30:'remet-kin'!Y31,"=1")/COUNT('remet-kin'!Y30:'remet-kin'!Y31)</f>
        <v>0.5</v>
      </c>
      <c r="W13">
        <f>COUNTIF('remet-kin'!Y30:'remet-kin'!Y31,"&gt;1")/COUNT('remet-kin'!Y30:'remet-kin'!Y31)</f>
        <v>0.5</v>
      </c>
      <c r="X13">
        <f>COUNTIF('remet-kin'!AS30:'remet-kin'!AS31,"=1")/COUNT('remet-kin'!AS30:'remet-kin'!AS31)</f>
        <v>0</v>
      </c>
      <c r="Y13">
        <f>COUNTIF('remet-kin'!AT30:'remet-kin'!AT31,"=1")/COUNT('remet-kin'!AT30:'remet-kin'!AT31)</f>
        <v>0</v>
      </c>
      <c r="Z13">
        <f t="shared" si="2"/>
        <v>1</v>
      </c>
      <c r="AA13">
        <f>COUNTIF('remet-kin'!AW30:'remet-kin'!AW31,"=1")/COUNT('remet-kin'!AW30:'remet-kin'!AW31)</f>
        <v>0</v>
      </c>
      <c r="AB13">
        <f>COUNTIF('remet-kin'!AX30:'remet-kin'!AX31,"=1")/COUNT('remet-kin'!AX30:'remet-kin'!AX31)</f>
        <v>0</v>
      </c>
      <c r="AC13">
        <f>COUNTIF('remet-kin'!AY30:'remet-kin'!AY31,"=1")/COUNT('remet-kin'!AY30:'remet-kin'!AY31)</f>
        <v>1</v>
      </c>
      <c r="AD13">
        <f>COUNTIF('remet-kin'!BF30:'remet-kin'!BF31,"=1")/COUNT('remet-kin'!BF30:'remet-kin'!BF31)</f>
        <v>0</v>
      </c>
      <c r="AE13">
        <f t="shared" si="0"/>
        <v>1</v>
      </c>
      <c r="AF13">
        <f>COUNTIF('remet-kin'!BG30:'remet-kin'!BG31,"=1")/COUNT('remet-kin'!BG30:'remet-kin'!BG31)</f>
        <v>0</v>
      </c>
      <c r="AG13">
        <f t="shared" si="1"/>
        <v>1</v>
      </c>
    </row>
    <row r="14" spans="1:33">
      <c r="A14" t="s">
        <v>61</v>
      </c>
      <c r="B14" t="s">
        <v>39</v>
      </c>
      <c r="C14" t="s">
        <v>10</v>
      </c>
      <c r="D14" t="s">
        <v>10</v>
      </c>
      <c r="F14">
        <f>COUNTIF('remet-kin'!Q32,"&lt;=10")</f>
        <v>1</v>
      </c>
      <c r="G14">
        <f>COUNTIFS('remet-kin'!Q32,"&gt;10",'remet-kin'!Q32,"&lt;=25")</f>
        <v>0</v>
      </c>
      <c r="H14">
        <f>COUNTIFS('remet-kin'!Q32,"&gt;25",'remet-kin'!Q32,"&lt;=100")</f>
        <v>0</v>
      </c>
      <c r="I14">
        <f>COUNTIFS('remet-kin'!Q32,"&gt;100")</f>
        <v>0</v>
      </c>
      <c r="J14">
        <f>COUNTIF('remet-kin'!W32,"&lt;=100")</f>
        <v>1</v>
      </c>
      <c r="K14">
        <f>COUNTIFS('remet-kin'!W32,"&gt;100",'remet-kin'!W32,"&lt;=500")</f>
        <v>0</v>
      </c>
      <c r="L14">
        <f>COUNTIFS('remet-kin'!W32,"&gt;500",'remet-kin'!W32,"&lt;=1000")</f>
        <v>0</v>
      </c>
      <c r="M14">
        <f>COUNTIFS('remet-kin'!W32,"&gt;1000")</f>
        <v>0</v>
      </c>
      <c r="N14">
        <f>COUNTIF('remet-kin'!X32,"&lt;=100")</f>
        <v>1</v>
      </c>
      <c r="O14">
        <f>COUNTIFS('remet-kin'!X32,"&gt;100",'remet-kin'!X32,"&lt;=1000")</f>
        <v>0</v>
      </c>
      <c r="P14">
        <f>COUNTIFS('remet-kin'!X32,"&gt;1000",'remet-kin'!X32,"&lt;=10000")</f>
        <v>0</v>
      </c>
      <c r="Q14">
        <f>COUNTIFS('remet-kin'!X32,"&gt;10000")</f>
        <v>0</v>
      </c>
      <c r="R14">
        <f>COUNTIF('remet-kin'!AM32,"=0.11")</f>
        <v>0</v>
      </c>
      <c r="S14">
        <f>COUNTIFS('remet-kin'!AM32,"0.13")</f>
        <v>0</v>
      </c>
      <c r="T14">
        <f>COUNTIFS('remet-kin'!AM32,"0.16")</f>
        <v>0</v>
      </c>
      <c r="U14">
        <f>COUNTIFS('remet-kin'!AM32,"=0.22")</f>
        <v>1</v>
      </c>
      <c r="V14">
        <f>COUNTIF('remet-kin'!Y32,"=1")</f>
        <v>0</v>
      </c>
      <c r="W14">
        <f>COUNTIF('remet-kin'!Y32,"&gt;1")</f>
        <v>1</v>
      </c>
      <c r="X14">
        <f>COUNTIF('remet-kin'!AS32,"=1")</f>
        <v>0</v>
      </c>
      <c r="Y14">
        <f>COUNTIF('remet-kin'!AT32,"=1")</f>
        <v>0</v>
      </c>
      <c r="Z14">
        <f t="shared" si="2"/>
        <v>1</v>
      </c>
      <c r="AA14">
        <f>COUNTIF('remet-kin'!AW32,"=1")</f>
        <v>0</v>
      </c>
      <c r="AB14">
        <f>COUNTIF('remet-kin'!AX32,"=1")</f>
        <v>0</v>
      </c>
      <c r="AC14">
        <f>COUNTIF('remet-kin'!AY32,"=1")</f>
        <v>1</v>
      </c>
      <c r="AD14">
        <f>COUNTIF('remet-kin'!BF32,"=1")</f>
        <v>0</v>
      </c>
      <c r="AE14">
        <f t="shared" si="0"/>
        <v>1</v>
      </c>
      <c r="AF14">
        <f>COUNTIF('remet-kin'!BG32,"=1")</f>
        <v>0</v>
      </c>
      <c r="AG14">
        <f t="shared" si="1"/>
        <v>1</v>
      </c>
    </row>
    <row r="15" spans="1:33">
      <c r="A15" t="s">
        <v>61</v>
      </c>
      <c r="B15" t="s">
        <v>39</v>
      </c>
      <c r="C15" t="s">
        <v>11</v>
      </c>
      <c r="D15" t="s">
        <v>11</v>
      </c>
      <c r="F15">
        <f>COUNTIF('remet-kin'!Q33,"&lt;=10")</f>
        <v>1</v>
      </c>
      <c r="G15">
        <f>COUNTIFS('remet-kin'!Q33,"&gt;10",'remet-kin'!Q33,"&lt;=25")</f>
        <v>0</v>
      </c>
      <c r="H15">
        <f>COUNTIFS('remet-kin'!Q33,"&gt;25",'remet-kin'!Q33,"&lt;=100")</f>
        <v>0</v>
      </c>
      <c r="I15">
        <f>COUNTIFS('remet-kin'!Q33,"&gt;100")</f>
        <v>0</v>
      </c>
      <c r="J15">
        <f>COUNTIF('remet-kin'!W33,"&lt;=100")</f>
        <v>1</v>
      </c>
      <c r="K15">
        <f>COUNTIFS('remet-kin'!W33,"&gt;100",'remet-kin'!W33,"&lt;=500")</f>
        <v>0</v>
      </c>
      <c r="L15">
        <f>COUNTIFS('remet-kin'!W33,"&gt;500",'remet-kin'!W33,"&lt;=1000")</f>
        <v>0</v>
      </c>
      <c r="M15">
        <f>COUNTIFS('remet-kin'!W33,"&gt;1000")</f>
        <v>0</v>
      </c>
      <c r="N15">
        <f>COUNTIF('remet-kin'!X33,"&lt;=100")</f>
        <v>1</v>
      </c>
      <c r="O15">
        <f>COUNTIFS('remet-kin'!X33,"&gt;100",'remet-kin'!X33,"&lt;=1000")</f>
        <v>0</v>
      </c>
      <c r="P15">
        <f>COUNTIFS('remet-kin'!X33,"&gt;1000",'remet-kin'!X33,"&lt;=10000")</f>
        <v>0</v>
      </c>
      <c r="Q15">
        <f>COUNTIFS('remet-kin'!X33,"&gt;10000")</f>
        <v>0</v>
      </c>
      <c r="R15">
        <f>COUNTIF('remet-kin'!AM33,"=0.11")</f>
        <v>0</v>
      </c>
      <c r="S15">
        <f>COUNTIFS('remet-kin'!AM33,"0.13")</f>
        <v>0</v>
      </c>
      <c r="T15">
        <f>COUNTIFS('remet-kin'!AM33,"0.16")</f>
        <v>0</v>
      </c>
      <c r="U15">
        <f>COUNTIFS('remet-kin'!AM33,"=0.22")</f>
        <v>1</v>
      </c>
      <c r="V15">
        <f>COUNTIF('remet-kin'!Y33,"=1")</f>
        <v>0</v>
      </c>
      <c r="W15">
        <f>COUNTIF('remet-kin'!Y33,"&gt;1")</f>
        <v>1</v>
      </c>
      <c r="X15">
        <f>COUNTIF('remet-kin'!AS33,"=1")</f>
        <v>0</v>
      </c>
      <c r="Y15">
        <f>COUNTIF('remet-kin'!AT33,"=1")</f>
        <v>0</v>
      </c>
      <c r="Z15">
        <f t="shared" si="2"/>
        <v>1</v>
      </c>
      <c r="AA15">
        <f>COUNTIF('remet-kin'!AW33,"=1")</f>
        <v>0</v>
      </c>
      <c r="AB15">
        <f>COUNTIF('remet-kin'!AX33,"=1")</f>
        <v>0</v>
      </c>
      <c r="AC15">
        <f>COUNTIF('remet-kin'!AY33,"=1")</f>
        <v>1</v>
      </c>
      <c r="AD15">
        <f>COUNTIF('remet-kin'!BF33,"=1")</f>
        <v>0</v>
      </c>
      <c r="AE15">
        <f t="shared" si="0"/>
        <v>1</v>
      </c>
      <c r="AF15">
        <f>COUNTIF('remet-kin'!BG33,"=1")</f>
        <v>0</v>
      </c>
      <c r="AG15">
        <f t="shared" si="1"/>
        <v>1</v>
      </c>
    </row>
    <row r="16" spans="1:33">
      <c r="A16" t="s">
        <v>61</v>
      </c>
      <c r="B16" t="s">
        <v>41</v>
      </c>
      <c r="C16" t="s">
        <v>12</v>
      </c>
      <c r="D16" t="s">
        <v>12</v>
      </c>
      <c r="F16">
        <f>COUNTIF('remet-kin'!Q35,"&lt;=10")</f>
        <v>1</v>
      </c>
      <c r="G16">
        <f>COUNTIFS('remet-kin'!Q35,"&gt;10",'remet-kin'!Q35,"&lt;=25")</f>
        <v>0</v>
      </c>
      <c r="H16">
        <f>COUNTIFS('remet-kin'!Q35,"&gt;25",'remet-kin'!Q35,"&lt;=100")</f>
        <v>0</v>
      </c>
      <c r="I16">
        <f>COUNTIFS('remet-kin'!Q35,"&gt;100")</f>
        <v>0</v>
      </c>
      <c r="J16">
        <f>COUNTIF('remet-kin'!W35,"&lt;=100")</f>
        <v>0</v>
      </c>
      <c r="K16">
        <f>COUNTIFS('remet-kin'!W35,"&gt;100",'remet-kin'!W35,"&lt;=500")</f>
        <v>1</v>
      </c>
      <c r="L16">
        <f>COUNTIFS('remet-kin'!W35,"&gt;500",'remet-kin'!W35,"&lt;=1000")</f>
        <v>0</v>
      </c>
      <c r="M16">
        <f>COUNTIFS('remet-kin'!W35,"&gt;1000")</f>
        <v>0</v>
      </c>
      <c r="N16">
        <f>COUNTIF('remet-kin'!X35,"&lt;=100")</f>
        <v>1</v>
      </c>
      <c r="O16">
        <f>COUNTIFS('remet-kin'!X35,"&gt;100",'remet-kin'!X34,"&lt;=1000")</f>
        <v>0</v>
      </c>
      <c r="P16">
        <f>COUNTIFS('remet-kin'!X35,"&gt;1000",'remet-kin'!X35,"&lt;=10000")</f>
        <v>0</v>
      </c>
      <c r="Q16">
        <f>COUNTIFS('remet-kin'!X35,"&gt;10000")</f>
        <v>0</v>
      </c>
      <c r="R16">
        <f>COUNTIF('remet-kin'!AM35,"=0.11")</f>
        <v>0</v>
      </c>
      <c r="S16">
        <f>COUNTIFS('remet-kin'!AM35,"0.13")</f>
        <v>0</v>
      </c>
      <c r="T16">
        <f>COUNTIFS('remet-kin'!AM35,"0.16")</f>
        <v>0</v>
      </c>
      <c r="U16">
        <f>COUNTIFS('remet-kin'!AM35,"=0.22")</f>
        <v>1</v>
      </c>
      <c r="V16">
        <f>COUNTIF('remet-kin'!Y3,"=1")</f>
        <v>0</v>
      </c>
      <c r="W16">
        <f>COUNTIF('remet-kin'!Y35,"&gt;1")</f>
        <v>1</v>
      </c>
      <c r="X16">
        <f>COUNTIF('remet-kin'!AS35,"=1")</f>
        <v>0</v>
      </c>
      <c r="Y16">
        <f>COUNTIF('remet-kin'!AT35,"=1")</f>
        <v>0</v>
      </c>
      <c r="Z16">
        <f t="shared" si="2"/>
        <v>1</v>
      </c>
      <c r="AA16">
        <f>COUNTIF('remet-kin'!AW35,"=1")</f>
        <v>0</v>
      </c>
      <c r="AB16">
        <f>COUNTIF('remet-kin'!AX35,"=1")</f>
        <v>0</v>
      </c>
      <c r="AC16">
        <f>COUNTIF('remet-kin'!AY35,"=1")</f>
        <v>1</v>
      </c>
      <c r="AD16">
        <f>COUNTIF('remet-kin'!BF3,"=1")</f>
        <v>1</v>
      </c>
      <c r="AE16">
        <f t="shared" si="0"/>
        <v>0</v>
      </c>
      <c r="AF16">
        <f>COUNTIF('remet-kin'!BG3,"=1")</f>
        <v>0</v>
      </c>
      <c r="AG16">
        <f t="shared" si="1"/>
        <v>1</v>
      </c>
    </row>
    <row r="17" spans="1:33">
      <c r="A17" t="s">
        <v>62</v>
      </c>
      <c r="B17" t="s">
        <v>40</v>
      </c>
      <c r="C17" t="s">
        <v>13</v>
      </c>
      <c r="D17" t="s">
        <v>13</v>
      </c>
      <c r="F17">
        <f>COUNTIF('remet-kin'!Q37:'remet-kin'!Q39,"&lt;=10")/COUNT('remet-kin'!Q37:'remet-kin'!Q39)</f>
        <v>0</v>
      </c>
      <c r="G17">
        <f>COUNTIFS('remet-kin'!Q37:'remet-kin'!Q39,"&gt;10",'remet-kin'!Q37:'remet-kin'!Q39,"&lt;=25")/COUNT('remet-kin'!Q37:'remet-kin'!Q39)</f>
        <v>0.33333333333333331</v>
      </c>
      <c r="H17">
        <f>COUNTIFS('remet-kin'!Q37:'remet-kin'!Q39,"&gt;25",'remet-kin'!Q37:'remet-kin'!Q39,"&lt;=100")/COUNT('remet-kin'!Q37:'remet-kin'!Q39)</f>
        <v>0.66666666666666663</v>
      </c>
      <c r="I17">
        <f>COUNTIFS('remet-kin'!Q37:'remet-kin'!Q39,"&gt;100")/COUNT('remet-kin'!Q37:'remet-kin'!Q39)</f>
        <v>0</v>
      </c>
      <c r="J17">
        <f>COUNTIF('remet-kin'!W37:'remet-kin'!W39,"&lt;=100")/COUNT('remet-kin'!W37:'remet-kin'!W39)</f>
        <v>0</v>
      </c>
      <c r="K17">
        <f>COUNTIFS('remet-kin'!W37:'remet-kin'!W39,"&gt;100",'remet-kin'!W37:'remet-kin'!W39,"&lt;=500")/COUNT('remet-kin'!W37:'remet-kin'!W39)</f>
        <v>0.66666666666666663</v>
      </c>
      <c r="L17">
        <f>COUNTIFS('remet-kin'!W37:'remet-kin'!W39,"&gt;500",'remet-kin'!W37:'remet-kin'!W39,"&lt;=1000")/COUNT('remet-kin'!W37:'remet-kin'!W39)</f>
        <v>0.33333333333333331</v>
      </c>
      <c r="M17">
        <f>COUNTIFS('remet-kin'!W37:'remet-kin'!W39,"&gt;1000")/COUNT('remet-kin'!W37:'remet-kin'!W39)</f>
        <v>0</v>
      </c>
      <c r="N17">
        <f>COUNTIF('remet-kin'!X37:'remet-kin'!X39,"&lt;=100")/COUNT('remet-kin'!X37:'remet-kin'!X39)</f>
        <v>0</v>
      </c>
      <c r="O17">
        <f>COUNTIFS('remet-kin'!X37:'remet-kin'!X39,"&gt;100",'remet-kin'!X37:'remet-kin'!X39,"&lt;=1000")/COUNT('remet-kin'!X37:'remet-kin'!X39)</f>
        <v>0.66666666666666663</v>
      </c>
      <c r="P17">
        <f>COUNTIFS('remet-kin'!X37:'remet-kin'!X39,"&gt;1000",'remet-kin'!X37:'remet-kin'!X39,"&lt;=10000")/COUNT('remet-kin'!X37:'remet-kin'!X39)</f>
        <v>0.33333333333333331</v>
      </c>
      <c r="Q17">
        <f>COUNTIFS('remet-kin'!X37:'remet-kin'!X39,"&gt;10000")/COUNT('remet-kin'!X37:'remet-kin'!X39)</f>
        <v>0</v>
      </c>
      <c r="R17">
        <f>COUNTIF('remet-kin'!AM37:'remet-kin'!AM39,"=0.11")/COUNT('remet-kin'!AM37:'remet-kin'!AM39)</f>
        <v>1</v>
      </c>
      <c r="S17">
        <f>COUNTIF('remet-kin'!AM37:'remet-kin'!AM39,"=0.13")/COUNT('remet-kin'!AM37:'remet-kin'!AM39)</f>
        <v>0</v>
      </c>
      <c r="T17">
        <f>COUNTIFS('remet-kin'!AM37:'remet-kin'!AM39,"0.16")/COUNT('remet-kin'!AM37:'remet-kin'!AM39)</f>
        <v>0</v>
      </c>
      <c r="U17">
        <f>COUNTIFS('remet-kin'!AM37:'remet-kin'!AM39,"=0.22")/COUNT('remet-kin'!AM37:'remet-kin'!AM39)</f>
        <v>0</v>
      </c>
      <c r="V17">
        <f>COUNTIF('remet-kin'!Y37:'remet-kin'!Y39,"=1")/COUNT('remet-kin'!Y37:'remet-kin'!Y39)</f>
        <v>1</v>
      </c>
      <c r="W17">
        <f>COUNTIF('remet-kin'!Y37:'remet-kin'!Y39,"&gt;1")/COUNT('remet-kin'!Y37:'remet-kin'!Y39)</f>
        <v>0</v>
      </c>
      <c r="X17">
        <f>COUNTIF('remet-kin'!AS37:'remet-kin'!AS39,"=1")/COUNT('remet-kin'!AS37:'remet-kin'!AS39)</f>
        <v>0</v>
      </c>
      <c r="Y17">
        <f>COUNTIF('remet-kin'!AT37:'remet-kin'!AT39,"=1")/COUNT('remet-kin'!AT37:'remet-kin'!AT39)</f>
        <v>0</v>
      </c>
      <c r="Z17">
        <f t="shared" si="2"/>
        <v>1</v>
      </c>
      <c r="AA17">
        <f>COUNTIF('remet-kin'!AW37:'remet-kin'!AW39,"=1")/COUNT('remet-kin'!AW37:'remet-kin'!AW39)</f>
        <v>0</v>
      </c>
      <c r="AB17">
        <f>COUNTIF('remet-kin'!AX37:'remet-kin'!AX39,"=1")/COUNT('remet-kin'!AX37:'remet-kin'!AX39)</f>
        <v>1</v>
      </c>
      <c r="AC17">
        <f>COUNTIF('remet-kin'!AY37:'remet-kin'!AY39,"=1")/COUNT('remet-kin'!AY37:'remet-kin'!AY39)</f>
        <v>0</v>
      </c>
      <c r="AD17">
        <f>COUNTIF('remet-kin'!BF37:'remet-kin'!BF39,"=1")/COUNT('remet-kin'!BF37:'remet-kin'!BF39)</f>
        <v>0</v>
      </c>
      <c r="AE17">
        <f t="shared" si="0"/>
        <v>1</v>
      </c>
      <c r="AF17">
        <f>COUNTIF('remet-kin'!BG37:'remet-kin'!BG39,"=1")/COUNT('remet-kin'!BG37:'remet-kin'!BG39)</f>
        <v>1</v>
      </c>
      <c r="AG17">
        <f t="shared" si="1"/>
        <v>0</v>
      </c>
    </row>
    <row r="18" spans="1:33">
      <c r="A18" t="s">
        <v>62</v>
      </c>
      <c r="B18" t="s">
        <v>42</v>
      </c>
      <c r="C18" t="s">
        <v>14</v>
      </c>
      <c r="D18" t="s">
        <v>14</v>
      </c>
      <c r="F18">
        <f>COUNTIF('remet-kin'!Q41,"&lt;=10")</f>
        <v>0</v>
      </c>
      <c r="G18">
        <f>COUNTIFS('remet-kin'!Q41,"&gt;10",'remet-kin'!Q41,"&lt;=25")</f>
        <v>1</v>
      </c>
      <c r="H18">
        <f>COUNTIFS('remet-kin'!Q41,"&gt;25",'remet-kin'!Q41,"&lt;=100")</f>
        <v>0</v>
      </c>
      <c r="I18">
        <f>COUNTIFS('remet-kin'!Q41,"&gt;100")</f>
        <v>0</v>
      </c>
      <c r="J18">
        <f>COUNTIF('remet-kin'!W41,"&lt;=100")</f>
        <v>0</v>
      </c>
      <c r="K18">
        <f>COUNTIFS('remet-kin'!W41,"&gt;100",'remet-kin'!W41,"&lt;=500")</f>
        <v>0</v>
      </c>
      <c r="L18">
        <f>COUNTIFS('remet-kin'!W41,"&gt;500",'remet-kin'!W41,"&lt;=1000")</f>
        <v>0</v>
      </c>
      <c r="M18">
        <f>COUNTIFS('remet-kin'!W41,"&gt;1000")</f>
        <v>1</v>
      </c>
      <c r="N18">
        <f>COUNTIF('remet-kin'!X41,"&lt;=100")</f>
        <v>0</v>
      </c>
      <c r="O18">
        <f>COUNTIFS('remet-kin'!X41,"&gt;100",'remet-kin'!X41,"&lt;=1000")</f>
        <v>0</v>
      </c>
      <c r="P18">
        <f>COUNTIFS('remet-kin'!X41,"&gt;1000",'remet-kin'!X41,"&lt;=10000")</f>
        <v>1</v>
      </c>
      <c r="Q18">
        <f>COUNTIFS('remet-kin'!X41,"&gt;10000")</f>
        <v>0</v>
      </c>
      <c r="R18">
        <f>COUNTIF('remet-kin'!AM41,"=0.11")</f>
        <v>1</v>
      </c>
      <c r="S18">
        <f>COUNTIFS('remet-kin'!AM41,"0.13")</f>
        <v>0</v>
      </c>
      <c r="T18">
        <f>COUNTIFS('remet-kin'!AM41,"0.16")</f>
        <v>0</v>
      </c>
      <c r="U18">
        <f>COUNTIFS('remet-kin'!AM41,"=0.22")</f>
        <v>0</v>
      </c>
      <c r="V18">
        <f>COUNTIF('remet-kin'!Y41,"=1")</f>
        <v>1</v>
      </c>
      <c r="W18">
        <f>COUNTIF('remet-kin'!Y41,"&gt;1")</f>
        <v>0</v>
      </c>
      <c r="X18">
        <f>COUNTIF('remet-kin'!AS41,"=1")</f>
        <v>0</v>
      </c>
      <c r="Y18">
        <f>COUNTIF('remet-kin'!AT41,"=1")</f>
        <v>0</v>
      </c>
      <c r="Z18">
        <f t="shared" si="2"/>
        <v>1</v>
      </c>
      <c r="AA18">
        <f>COUNTIF('remet-kin'!AW41,"=1")</f>
        <v>0</v>
      </c>
      <c r="AB18">
        <f>COUNTIF('remet-kin'!AX41,"=1")</f>
        <v>1</v>
      </c>
      <c r="AC18">
        <f>COUNTIF('remet-kin'!AY41,"=1")</f>
        <v>0</v>
      </c>
      <c r="AD18">
        <f>COUNTIF('remet-kin'!BF41,"=1")</f>
        <v>0</v>
      </c>
      <c r="AE18">
        <f t="shared" si="0"/>
        <v>1</v>
      </c>
      <c r="AF18">
        <f>COUNTIF('remet-kin'!BG41,"=1")</f>
        <v>1</v>
      </c>
      <c r="AG18">
        <f t="shared" si="1"/>
        <v>0</v>
      </c>
    </row>
    <row r="19" spans="1:33">
      <c r="A19" t="s">
        <v>62</v>
      </c>
      <c r="B19" t="s">
        <v>42</v>
      </c>
      <c r="C19" t="s">
        <v>15</v>
      </c>
      <c r="D19" t="s">
        <v>15</v>
      </c>
      <c r="E19" s="59" t="s">
        <v>3529</v>
      </c>
      <c r="F19">
        <f>COUNTIF('remet-kin'!Q42,"&lt;=10")</f>
        <v>0</v>
      </c>
      <c r="G19">
        <f>COUNTIFS('remet-kin'!Q42,"&gt;10",'remet-kin'!Q42,"&lt;=25")</f>
        <v>1</v>
      </c>
      <c r="H19">
        <f>COUNTIFS('remet-kin'!Q42,"&gt;25",'remet-kin'!Q42,"&lt;=100")</f>
        <v>0</v>
      </c>
      <c r="I19">
        <f>COUNTIFS('remet-kin'!Q42,"&gt;100")</f>
        <v>0</v>
      </c>
      <c r="J19">
        <f>COUNTIF('remet-kin'!W42,"&lt;=100")</f>
        <v>0</v>
      </c>
      <c r="K19">
        <f>COUNTIFS('remet-kin'!W42,"&gt;100",'remet-kin'!W42,"&lt;=500")</f>
        <v>0</v>
      </c>
      <c r="L19">
        <f>COUNTIFS('remet-kin'!W42,"&gt;500",'remet-kin'!W42,"&lt;=1000")</f>
        <v>0</v>
      </c>
      <c r="M19">
        <f>COUNTIFS('remet-kin'!W42,"&gt;1000")</f>
        <v>1</v>
      </c>
      <c r="N19">
        <f>COUNTIF('remet-kin'!X42,"&lt;=100")</f>
        <v>0</v>
      </c>
      <c r="O19">
        <f>COUNTIFS('remet-kin'!X42,"&gt;100",'remet-kin'!X42,"&lt;=1000")</f>
        <v>0</v>
      </c>
      <c r="P19">
        <f>COUNTIFS('remet-kin'!X42,"&gt;1000",'remet-kin'!X42,"&lt;=10000")</f>
        <v>1</v>
      </c>
      <c r="Q19">
        <f>COUNTIFS('remet-kin'!X42,"&gt;10000")</f>
        <v>0</v>
      </c>
      <c r="R19">
        <f>COUNTIF('remet-kin'!AM42,"=0.11")</f>
        <v>1</v>
      </c>
      <c r="S19">
        <f>COUNTIFS('remet-kin'!AM42,"0.13")</f>
        <v>0</v>
      </c>
      <c r="T19">
        <f>COUNTIFS('remet-kin'!AM42,"0.16")</f>
        <v>0</v>
      </c>
      <c r="U19">
        <f>COUNTIFS('remet-kin'!AM42,"=0.22")</f>
        <v>0</v>
      </c>
      <c r="V19">
        <f>COUNTIF('remet-kin'!Y42,"=1")</f>
        <v>1</v>
      </c>
      <c r="W19">
        <f>COUNTIF('remet-kin'!Y42,"&gt;1")</f>
        <v>0</v>
      </c>
      <c r="X19">
        <f>COUNTIF('remet-kin'!AS42,"=1")</f>
        <v>0</v>
      </c>
      <c r="Y19">
        <f>COUNTIF('remet-kin'!AT42,"=1")</f>
        <v>0</v>
      </c>
      <c r="Z19">
        <f t="shared" si="2"/>
        <v>1</v>
      </c>
      <c r="AA19">
        <f>COUNTIF('remet-kin'!AW42,"=1")</f>
        <v>0</v>
      </c>
      <c r="AB19">
        <f>COUNTIF('remet-kin'!AX42,"=1")</f>
        <v>1</v>
      </c>
      <c r="AC19">
        <f>COUNTIF('remet-kin'!AY42,"=1")</f>
        <v>0</v>
      </c>
      <c r="AD19">
        <f>COUNTIF('remet-kin'!BF42,"=1")</f>
        <v>0</v>
      </c>
      <c r="AE19">
        <f t="shared" si="0"/>
        <v>1</v>
      </c>
      <c r="AF19">
        <f>COUNTIF('remet-kin'!BG42,"=1")</f>
        <v>1</v>
      </c>
      <c r="AG19">
        <f t="shared" si="1"/>
        <v>0</v>
      </c>
    </row>
    <row r="20" spans="1:33">
      <c r="A20" t="s">
        <v>62</v>
      </c>
      <c r="B20" t="s">
        <v>43</v>
      </c>
      <c r="C20" t="s">
        <v>3535</v>
      </c>
      <c r="F20">
        <f>COUNTIF('remet-kin'!Q44:'remet-kin'!Q46,"&lt;=10")/COUNT('remet-kin'!Q44:'remet-kin'!Q46)</f>
        <v>0</v>
      </c>
      <c r="G20">
        <f>COUNTIFS('remet-kin'!Q44:'remet-kin'!Q46,"&gt;10",'remet-kin'!Q44:'remet-kin'!Q46,"&lt;=25")/COUNT('remet-kin'!Q44:'remet-kin'!Q46)</f>
        <v>0</v>
      </c>
      <c r="H20">
        <f>COUNTIFS('remet-kin'!Q44:'remet-kin'!Q46,"&gt;25",'remet-kin'!Q44:'remet-kin'!Q46,"&lt;=100")/COUNT('remet-kin'!Q44:'remet-kin'!Q46)</f>
        <v>0.66666666666666663</v>
      </c>
      <c r="I20">
        <f>COUNTIFS('remet-kin'!Q44:'remet-kin'!Q46,"&gt;100")/COUNT('remet-kin'!Q44:'remet-kin'!Q46)</f>
        <v>0.33333333333333331</v>
      </c>
      <c r="J20">
        <f>COUNTIF('remet-kin'!W44:'remet-kin'!W46,"&lt;=100")/COUNT('remet-kin'!W44:'remet-kin'!W46)</f>
        <v>0</v>
      </c>
      <c r="K20">
        <f>COUNTIFS('remet-kin'!W44:'remet-kin'!W46,"&gt;100",'remet-kin'!W44:'remet-kin'!W46,"&lt;=500")/COUNT('remet-kin'!W44:'remet-kin'!W46)</f>
        <v>0</v>
      </c>
      <c r="L20">
        <f>COUNTIFS('remet-kin'!W44:'remet-kin'!W46,"&gt;500",'remet-kin'!W44:'remet-kin'!W46,"&lt;=1000")/COUNT('remet-kin'!W44:'remet-kin'!W46)</f>
        <v>0.33333333333333331</v>
      </c>
      <c r="M20">
        <f>COUNTIFS('remet-kin'!W44:'remet-kin'!W46,"&gt;1000")/COUNT('remet-kin'!W44:'remet-kin'!W46)</f>
        <v>0.66666666666666663</v>
      </c>
      <c r="N20">
        <f>COUNTIF('remet-kin'!X44:'remet-kin'!X46,"&lt;=100")/COUNT('remet-kin'!X44:'remet-kin'!X46)</f>
        <v>0</v>
      </c>
      <c r="O20">
        <f>COUNTIFS('remet-kin'!X44:'remet-kin'!X46,"&gt;100",'remet-kin'!X44:'remet-kin'!X46,"&lt;=1000")/COUNT('remet-kin'!X44:'remet-kin'!X46)</f>
        <v>0.66666666666666663</v>
      </c>
      <c r="P20">
        <f>COUNTIFS('remet-kin'!X44:'remet-kin'!X46,"&gt;1000",'remet-kin'!X44:'remet-kin'!X46,"&lt;=10000")/COUNT('remet-kin'!X44:'remet-kin'!X46)</f>
        <v>0</v>
      </c>
      <c r="Q20">
        <f>COUNTIFS('remet-kin'!X44:'remet-kin'!X46,"&gt;10000")/COUNT('remet-kin'!X44:'remet-kin'!X46)</f>
        <v>0.33333333333333331</v>
      </c>
      <c r="R20">
        <f>COUNTIF('remet-kin'!AM44:'remet-kin'!AM46,"=0.11")/COUNT('remet-kin'!AM44:'remet-kin'!AM46)</f>
        <v>1</v>
      </c>
      <c r="S20">
        <f>COUNTIF('remet-kin'!AM44:'remet-kin'!AM46,"=0.13")/COUNT('remet-kin'!AM44:'remet-kin'!AM46)</f>
        <v>0</v>
      </c>
      <c r="T20">
        <f>COUNTIFS('remet-kin'!AM44:'remet-kin'!AM46,"0.16")/COUNT('remet-kin'!AM44:'remet-kin'!AM46)</f>
        <v>0</v>
      </c>
      <c r="U20">
        <f>COUNTIFS('remet-kin'!AM44:'remet-kin'!AM46,"=0.22")/COUNT('remet-kin'!AM44:'remet-kin'!AM46)</f>
        <v>0</v>
      </c>
      <c r="V20">
        <f>COUNTIF('remet-kin'!Y44:'remet-kin'!Y46,"=1")/COUNT('remet-kin'!Y44:'remet-kin'!Y46)</f>
        <v>1</v>
      </c>
      <c r="W20">
        <f>COUNTIF('remet-kin'!Y44:'remet-kin'!Y46,"&gt;1")/COUNT('remet-kin'!Y44:'remet-kin'!Y46)</f>
        <v>0</v>
      </c>
      <c r="X20">
        <f>COUNTIF('remet-kin'!AS44:'remet-kin'!AS46,"=1")/COUNT('remet-kin'!AS44:'remet-kin'!AS46)</f>
        <v>0</v>
      </c>
      <c r="Y20">
        <f>COUNTIF('remet-kin'!AT44:'remet-kin'!AT46,"=1")/COUNT('remet-kin'!AT44:'remet-kin'!AT46)</f>
        <v>1</v>
      </c>
      <c r="Z20">
        <f t="shared" si="2"/>
        <v>0</v>
      </c>
      <c r="AA20">
        <f>COUNTIF('remet-kin'!AW44:'remet-kin'!AW46,"=1")/COUNT('remet-kin'!AW44:'remet-kin'!AW46)</f>
        <v>0</v>
      </c>
      <c r="AB20">
        <f>COUNTIF('remet-kin'!AX44:'remet-kin'!AX46,"=1")/COUNT('remet-kin'!AX44:'remet-kin'!AX46)</f>
        <v>1</v>
      </c>
      <c r="AC20">
        <f>COUNTIF('remet-kin'!AY44:'remet-kin'!AY46,"=1")/COUNT('remet-kin'!AY44:'remet-kin'!AY46)</f>
        <v>0</v>
      </c>
      <c r="AD20">
        <f>COUNTIF('remet-kin'!BF44:'remet-kin'!BF46,"=1")/COUNT('remet-kin'!BF44:'remet-kin'!BF46)</f>
        <v>0</v>
      </c>
      <c r="AE20">
        <f t="shared" si="0"/>
        <v>1</v>
      </c>
      <c r="AF20">
        <f>COUNTIF('remet-kin'!BG44:'remet-kin'!BG46,"=1")/COUNT('remet-kin'!BG44:'remet-kin'!BG46)</f>
        <v>1</v>
      </c>
      <c r="AG20">
        <f t="shared" si="1"/>
        <v>0</v>
      </c>
    </row>
    <row r="21" spans="1:33">
      <c r="A21" t="s">
        <v>62</v>
      </c>
      <c r="B21" t="s">
        <v>44</v>
      </c>
      <c r="C21" t="s">
        <v>16</v>
      </c>
      <c r="D21" t="s">
        <v>16</v>
      </c>
      <c r="F21">
        <f>COUNTIF('remet-kin'!Q50,"&lt;=10")</f>
        <v>0</v>
      </c>
      <c r="G21">
        <f>COUNTIFS('remet-kin'!Q50,"&gt;10",'remet-kin'!Q50,"&lt;=25")</f>
        <v>1</v>
      </c>
      <c r="H21">
        <f>COUNTIFS('remet-kin'!Q50,"&gt;25",'remet-kin'!Q50,"&lt;=100")</f>
        <v>0</v>
      </c>
      <c r="I21">
        <f>COUNTIFS('remet-kin'!Q50,"&gt;100")</f>
        <v>0</v>
      </c>
      <c r="J21">
        <f>COUNTIF('remet-kin'!W50,"&lt;=100")</f>
        <v>0</v>
      </c>
      <c r="K21">
        <f>COUNTIFS('remet-kin'!W50,"&gt;100",'remet-kin'!W50,"&lt;=500")</f>
        <v>1</v>
      </c>
      <c r="L21">
        <f>COUNTIFS('remet-kin'!W50,"&gt;500",'remet-kin'!W50,"&lt;=1000")</f>
        <v>0</v>
      </c>
      <c r="M21">
        <f>COUNTIFS('remet-kin'!W50,"&gt;1000")</f>
        <v>0</v>
      </c>
      <c r="N21">
        <f>COUNTIF('remet-kin'!X50,"&lt;=100")</f>
        <v>1</v>
      </c>
      <c r="O21">
        <f>COUNTIFS('remet-kin'!X50,"&gt;100",'remet-kin'!X50,"&lt;=1000")</f>
        <v>0</v>
      </c>
      <c r="P21">
        <f>COUNTIFS('remet-kin'!X50,"&gt;1000",'remet-kin'!X50,"&lt;=10000")</f>
        <v>0</v>
      </c>
      <c r="Q21">
        <f>COUNTIFS('remet-kin'!X50,"&gt;10000")</f>
        <v>0</v>
      </c>
      <c r="R21">
        <f>COUNTIF('remet-kin'!AM50,"=0.11")</f>
        <v>1</v>
      </c>
      <c r="S21">
        <f>COUNTIFS('remet-kin'!AM50,"0.13")</f>
        <v>0</v>
      </c>
      <c r="T21">
        <f>COUNTIFS('remet-kin'!AM50,"0.16")</f>
        <v>0</v>
      </c>
      <c r="U21">
        <f>COUNTIFS('remet-kin'!AM50,"=0.22")</f>
        <v>0</v>
      </c>
      <c r="V21">
        <f>COUNTIF('remet-kin'!Y50,"=1")</f>
        <v>1</v>
      </c>
      <c r="W21">
        <f>COUNTIF('remet-kin'!Y50,"&gt;1")</f>
        <v>0</v>
      </c>
      <c r="X21">
        <f>COUNTIF('remet-kin'!AS50,"=1")</f>
        <v>0</v>
      </c>
      <c r="Y21">
        <f>COUNTIF('remet-kin'!AT50,"=1")</f>
        <v>0</v>
      </c>
      <c r="Z21">
        <f t="shared" si="2"/>
        <v>1</v>
      </c>
      <c r="AA21">
        <f>COUNTIF('remet-kin'!AW50,"=1")</f>
        <v>0</v>
      </c>
      <c r="AB21">
        <f>COUNTIF('remet-kin'!AX50,"=1")</f>
        <v>1</v>
      </c>
      <c r="AC21">
        <f>COUNTIF('remet-kin'!AY50,"=1")</f>
        <v>0</v>
      </c>
      <c r="AD21">
        <f>COUNTIF('remet-kin'!BF50,"=1")</f>
        <v>0</v>
      </c>
      <c r="AE21">
        <f t="shared" si="0"/>
        <v>1</v>
      </c>
      <c r="AF21">
        <f>COUNTIF('remet-kin'!BG50,"=1")</f>
        <v>1</v>
      </c>
      <c r="AG21">
        <f t="shared" si="1"/>
        <v>0</v>
      </c>
    </row>
    <row r="22" spans="1:33">
      <c r="A22" t="s">
        <v>63</v>
      </c>
      <c r="B22" t="s">
        <v>45</v>
      </c>
      <c r="C22" t="s">
        <v>3536</v>
      </c>
      <c r="F22">
        <f>COUNTIF('remet-kin'!Q52:'remet-kin'!Q53,"&lt;=10")/COUNT('remet-kin'!Q52:'remet-kin'!Q53)</f>
        <v>0.5</v>
      </c>
      <c r="G22">
        <f>COUNTIFS('remet-kin'!Q52:'remet-kin'!Q53,"&gt;10",'remet-kin'!Q52:'remet-kin'!Q53,"&lt;=25")/COUNT('remet-kin'!Q52:'remet-kin'!Q53)</f>
        <v>0.5</v>
      </c>
      <c r="H22">
        <f>COUNTIFS('remet-kin'!Q52:'remet-kin'!Q53,"&gt;25",'remet-kin'!Q52:'remet-kin'!Q53,"&lt;=100")/COUNT('remet-kin'!Q52:'remet-kin'!Q53)</f>
        <v>0</v>
      </c>
      <c r="I22">
        <f>COUNTIFS('remet-kin'!Q52:'remet-kin'!Q53,"&gt;100")/COUNT('remet-kin'!Q52:'remet-kin'!Q53)</f>
        <v>0</v>
      </c>
      <c r="J22">
        <f>COUNTIF('remet-kin'!W52:'remet-kin'!W53,"&lt;=100")/COUNT('remet-kin'!W52:'remet-kin'!W53)</f>
        <v>0</v>
      </c>
      <c r="K22">
        <f>COUNTIFS('remet-kin'!W52:'remet-kin'!W53,"&gt;100",'remet-kin'!W52:'remet-kin'!W53,"&lt;=500")/COUNT('remet-kin'!W52:'remet-kin'!W53)</f>
        <v>0.5</v>
      </c>
      <c r="L22">
        <f>COUNTIFS('remet-kin'!W52:'remet-kin'!W53,"&gt;500",'remet-kin'!W52:'remet-kin'!W53,"&lt;=1000")/COUNT('remet-kin'!W52:'remet-kin'!W53)</f>
        <v>0</v>
      </c>
      <c r="M22">
        <f>COUNTIFS('remet-kin'!W52:'remet-kin'!W53,"&gt;1000")/COUNT('remet-kin'!W52:'remet-kin'!W53)</f>
        <v>0.5</v>
      </c>
      <c r="N22">
        <f>COUNTIF('remet-kin'!X52:'remet-kin'!X53,"&lt;=100")/COUNT('remet-kin'!X52:'remet-kin'!X53)</f>
        <v>0.5</v>
      </c>
      <c r="O22">
        <f>COUNTIFS('remet-kin'!X52:'remet-kin'!X53,"&gt;100",'remet-kin'!X52:'remet-kin'!X53,"&lt;=1000")/COUNT('remet-kin'!X52:'remet-kin'!X53)</f>
        <v>0</v>
      </c>
      <c r="P22">
        <f>COUNTIFS('remet-kin'!X52:'remet-kin'!X53,"&gt;1000",'remet-kin'!X52:'remet-kin'!X53,"&lt;=10000")/COUNT('remet-kin'!X52:'remet-kin'!X53)</f>
        <v>0.5</v>
      </c>
      <c r="Q22">
        <f>COUNTIFS('remet-kin'!X52:'remet-kin'!X53,"&gt;10000")/COUNT('remet-kin'!X52:'remet-kin'!X53)</f>
        <v>0</v>
      </c>
      <c r="R22">
        <f>COUNTIF('remet-kin'!AM52:'remet-kin'!AM53,"=0.11")/COUNT('remet-kin'!AM52:'remet-kin'!AM53)</f>
        <v>0</v>
      </c>
      <c r="S22">
        <f>COUNTIF('remet-kin'!AM52:'remet-kin'!AM53,"=0.13")/COUNT('remet-kin'!AM52:'remet-kin'!AM53)</f>
        <v>0</v>
      </c>
      <c r="T22">
        <f>COUNTIFS('remet-kin'!AM52:'remet-kin'!AM53,"0.16")/COUNT('remet-kin'!AM52:'remet-kin'!AM53)</f>
        <v>1</v>
      </c>
      <c r="U22">
        <f>COUNTIFS('remet-kin'!AM52:'remet-kin'!AM53,"=0.22")/COUNT('remet-kin'!AM52:'remet-kin'!AM53)</f>
        <v>0</v>
      </c>
      <c r="V22">
        <f>COUNTIF('remet-kin'!Y52:'remet-kin'!Y53,"=1")/COUNT('remet-kin'!Y52:'remet-kin'!Y53)</f>
        <v>1</v>
      </c>
      <c r="W22">
        <f>COUNTIF('remet-kin'!Y52:'remet-kin'!Y53,"&gt;1")/COUNT('remet-kin'!Y52:'remet-kin'!Y53)</f>
        <v>0</v>
      </c>
      <c r="X22">
        <f>COUNTIF('remet-kin'!AS52:'remet-kin'!AS53,"=1")/COUNT('remet-kin'!AS52:'remet-kin'!AS53)</f>
        <v>1</v>
      </c>
      <c r="Y22">
        <f>COUNTIF('remet-kin'!AT52:'remet-kin'!AT53,"=1")/COUNT('remet-kin'!AT52:'remet-kin'!AT53)</f>
        <v>0</v>
      </c>
      <c r="Z22">
        <f t="shared" si="2"/>
        <v>0</v>
      </c>
      <c r="AA22">
        <f>COUNTIF('remet-kin'!AW52:'remet-kin'!AW53,"=1")/COUNT('remet-kin'!AW52:'remet-kin'!AW53)</f>
        <v>0</v>
      </c>
      <c r="AB22">
        <f>COUNTIF('remet-kin'!AX52:'remet-kin'!AX53,"=1")/COUNT('remet-kin'!AX52:'remet-kin'!AX53)</f>
        <v>0</v>
      </c>
      <c r="AC22">
        <f>COUNTIF('remet-kin'!AY52:'remet-kin'!AY53,"=1")/COUNT('remet-kin'!AY52:'remet-kin'!AY53)</f>
        <v>1</v>
      </c>
      <c r="AD22">
        <f>COUNTIF('remet-kin'!BF52:'remet-kin'!BF53,"=1")/COUNT('remet-kin'!BF52:'remet-kin'!BF53)</f>
        <v>0</v>
      </c>
      <c r="AE22">
        <f t="shared" si="0"/>
        <v>1</v>
      </c>
      <c r="AF22">
        <f>COUNTIF('remet-kin'!BG52:'remet-kin'!BG53,"=1")/COUNT('remet-kin'!BG52:'remet-kin'!BG53)</f>
        <v>0</v>
      </c>
      <c r="AG22">
        <f t="shared" si="1"/>
        <v>1</v>
      </c>
    </row>
    <row r="23" spans="1:33">
      <c r="A23" t="s">
        <v>63</v>
      </c>
      <c r="B23" t="s">
        <v>46</v>
      </c>
      <c r="C23" t="s">
        <v>3537</v>
      </c>
      <c r="F23">
        <f>COUNTIF('remet-kin'!Q55,"&lt;=10")</f>
        <v>1</v>
      </c>
      <c r="G23">
        <f>COUNTIFS('remet-kin'!Q55,"&gt;10",'remet-kin'!Q55,"&lt;=25")</f>
        <v>0</v>
      </c>
      <c r="H23">
        <f>COUNTIFS('remet-kin'!Q55,"&gt;25",'remet-kin'!Q55,"&lt;=100")</f>
        <v>0</v>
      </c>
      <c r="I23">
        <f>COUNTIFS('remet-kin'!Q55,"&gt;100")</f>
        <v>0</v>
      </c>
      <c r="J23">
        <f>COUNTIF('remet-kin'!W55,"&lt;=100")</f>
        <v>1</v>
      </c>
      <c r="K23">
        <f>COUNTIFS('remet-kin'!W55,"&gt;100",'remet-kin'!W55,"&lt;=500")</f>
        <v>0</v>
      </c>
      <c r="L23">
        <f>COUNTIFS('remet-kin'!W55,"&gt;500",'remet-kin'!W55,"&lt;=1000")</f>
        <v>0</v>
      </c>
      <c r="M23">
        <f>COUNTIFS('remet-kin'!W55,"&gt;1000")</f>
        <v>0</v>
      </c>
      <c r="N23">
        <f>COUNTIF('remet-kin'!X55,"&lt;=100")</f>
        <v>1</v>
      </c>
      <c r="O23">
        <f>COUNTIFS('remet-kin'!X55,"&gt;100",'remet-kin'!X55,"&lt;=1000")</f>
        <v>0</v>
      </c>
      <c r="P23">
        <f>COUNTIFS('remet-kin'!X55,"&gt;1000",'remet-kin'!X55,"&lt;=10000")</f>
        <v>0</v>
      </c>
      <c r="Q23">
        <f>COUNTIFS('remet-kin'!X55,"&gt;10000")</f>
        <v>0</v>
      </c>
      <c r="R23">
        <f>COUNTIF('remet-kin'!AM55,"=0.11")</f>
        <v>0</v>
      </c>
      <c r="S23">
        <f>COUNTIFS('remet-kin'!AM55,"0.13")</f>
        <v>0</v>
      </c>
      <c r="T23">
        <f>COUNTIFS('remet-kin'!AM55,"0.16")</f>
        <v>1</v>
      </c>
      <c r="U23">
        <f>COUNTIFS('remet-kin'!AM55,"=0.22")</f>
        <v>0</v>
      </c>
      <c r="V23">
        <f>COUNTIF('remet-kin'!Y55,"=1")</f>
        <v>1</v>
      </c>
      <c r="W23">
        <f>COUNTIF('remet-kin'!Y55,"&gt;1")</f>
        <v>0</v>
      </c>
      <c r="X23">
        <f>COUNTIF('remet-kin'!AS55,"=1")</f>
        <v>0</v>
      </c>
      <c r="Y23">
        <f>COUNTIF('remet-kin'!AT55,"=1")</f>
        <v>0</v>
      </c>
      <c r="Z23">
        <f t="shared" si="2"/>
        <v>1</v>
      </c>
      <c r="AA23">
        <f>COUNTIF('remet-kin'!AW55,"=1")</f>
        <v>0</v>
      </c>
      <c r="AB23">
        <f>COUNTIF('remet-kin'!AX55,"=1")</f>
        <v>0</v>
      </c>
      <c r="AC23">
        <f>COUNTIF('remet-kin'!AY55,"=1")</f>
        <v>1</v>
      </c>
      <c r="AD23">
        <f>COUNTIF('remet-kin'!BF55,"=1")</f>
        <v>0</v>
      </c>
      <c r="AE23">
        <f t="shared" si="0"/>
        <v>1</v>
      </c>
      <c r="AF23">
        <f>COUNTIF('remet-kin'!BG55,"=1")</f>
        <v>0</v>
      </c>
      <c r="AG23">
        <f t="shared" si="1"/>
        <v>1</v>
      </c>
    </row>
    <row r="24" spans="1:33">
      <c r="A24" t="s">
        <v>63</v>
      </c>
      <c r="B24" t="s">
        <v>47</v>
      </c>
      <c r="C24" t="s">
        <v>3538</v>
      </c>
      <c r="E24" s="59" t="s">
        <v>3508</v>
      </c>
      <c r="F24">
        <f>COUNTIF('remet-kin'!Q58:'remet-kin'!Q60,"&lt;=10")/COUNT('remet-kin'!Q58:'remet-kin'!Q60)</f>
        <v>0.33333333333333331</v>
      </c>
      <c r="G24">
        <f>COUNTIFS('remet-kin'!Q58:'remet-kin'!Q60,"&gt;10",'remet-kin'!Q58:'remet-kin'!Q60,"&lt;=25")/COUNT('remet-kin'!Q58:'remet-kin'!Q60)</f>
        <v>0.33333333333333331</v>
      </c>
      <c r="H24">
        <f>COUNTIFS('remet-kin'!Q58:'remet-kin'!Q60,"&gt;25",'remet-kin'!Q58:'remet-kin'!Q60,"&lt;=100")/COUNT('remet-kin'!Q58:'remet-kin'!Q60)</f>
        <v>0.33333333333333331</v>
      </c>
      <c r="I24">
        <f>COUNTIFS('remet-kin'!Q58:'remet-kin'!Q60,"&gt;100")/COUNT('remet-kin'!Q58:'remet-kin'!Q60)</f>
        <v>0</v>
      </c>
      <c r="J24">
        <f>COUNTIF('remet-kin'!W58:'remet-kin'!W60,"&lt;=100")/COUNT('remet-kin'!W58:'remet-kin'!W60)</f>
        <v>0</v>
      </c>
      <c r="K24">
        <f>COUNTIFS('remet-kin'!W58:'remet-kin'!W60,"&gt;100",'remet-kin'!W58:'remet-kin'!W60,"&lt;=500")/COUNT('remet-kin'!W58:'remet-kin'!W60)</f>
        <v>0.33333333333333331</v>
      </c>
      <c r="L24">
        <f>COUNTIFS('remet-kin'!W58:'remet-kin'!W60,"&gt;500",'remet-kin'!W58:'remet-kin'!W60,"&lt;=1000")/COUNT('remet-kin'!W58:'remet-kin'!W60)</f>
        <v>0</v>
      </c>
      <c r="M24">
        <f>COUNTIFS('remet-kin'!W58:'remet-kin'!W60,"&gt;1000")/COUNT('remet-kin'!W58:'remet-kin'!W60)</f>
        <v>0.66666666666666663</v>
      </c>
      <c r="N24">
        <f>COUNTIF('remet-kin'!X58:'remet-kin'!X60,"&lt;=100")/COUNT('remet-kin'!X58:'remet-kin'!X60)</f>
        <v>0</v>
      </c>
      <c r="O24">
        <f>COUNTIFS('remet-kin'!X58:'remet-kin'!X60,"&gt;100",'remet-kin'!X58:'remet-kin'!X60,"&lt;=1000")/COUNT('remet-kin'!X58:'remet-kin'!X60)</f>
        <v>0.33333333333333331</v>
      </c>
      <c r="P24">
        <f>COUNTIFS('remet-kin'!X58:'remet-kin'!X60,"&gt;1000",'remet-kin'!X58:'remet-kin'!X60,"&lt;=10000")/COUNT('remet-kin'!X58:'remet-kin'!X60)</f>
        <v>0.33333333333333331</v>
      </c>
      <c r="Q24">
        <f>COUNTIFS('remet-kin'!X58:'remet-kin'!X60,"&gt;10000")/COUNT('remet-kin'!X58:'remet-kin'!X60)</f>
        <v>0.33333333333333331</v>
      </c>
      <c r="R24">
        <f>COUNTIF('remet-kin'!AM58:'remet-kin'!AM60,"=0.11")/COUNT('remet-kin'!AM58:'remet-kin'!AM60)</f>
        <v>0</v>
      </c>
      <c r="S24">
        <f>COUNTIF('remet-kin'!AM58:'remet-kin'!AM60,"=0.13")/COUNT('remet-kin'!AM58:'remet-kin'!AM60)</f>
        <v>0</v>
      </c>
      <c r="T24">
        <f>COUNTIFS('remet-kin'!AM58:'remet-kin'!AM60,"0.16")/COUNT('remet-kin'!AM58:'remet-kin'!AM60)</f>
        <v>1</v>
      </c>
      <c r="U24">
        <f>COUNTIFS('remet-kin'!AM58:'remet-kin'!AM60,"=0.22")/COUNT('remet-kin'!AM58:'remet-kin'!AM60)</f>
        <v>0</v>
      </c>
      <c r="V24">
        <f>COUNTIF('remet-kin'!Y58:'remet-kin'!Y60,"=1")/COUNT('remet-kin'!Y58:'remet-kin'!Y60)</f>
        <v>1</v>
      </c>
      <c r="W24">
        <f>COUNTIF('remet-kin'!Y58:'remet-kin'!Y60,"&gt;1")/COUNT('remet-kin'!Y58:'remet-kin'!Y60)</f>
        <v>0</v>
      </c>
      <c r="X24">
        <f>COUNTIF('remet-kin'!AS58:'remet-kin'!AS60,"=1")/COUNT('remet-kin'!AS58:'remet-kin'!AS60)</f>
        <v>0</v>
      </c>
      <c r="Y24">
        <f>COUNTIF('remet-kin'!AT58:'remet-kin'!AT60,"=1")/COUNT('remet-kin'!AT58:'remet-kin'!AT60)</f>
        <v>0</v>
      </c>
      <c r="Z24">
        <f t="shared" si="2"/>
        <v>1</v>
      </c>
      <c r="AA24">
        <f>COUNTIF('remet-kin'!AW58:'remet-kin'!AW60,"=1")/COUNT('remet-kin'!AW58:'remet-kin'!AW60)</f>
        <v>0</v>
      </c>
      <c r="AB24">
        <f>COUNTIF('remet-kin'!AX58:'remet-kin'!AX60,"=1")/COUNT('remet-kin'!AX58:'remet-kin'!AX60)</f>
        <v>0</v>
      </c>
      <c r="AC24">
        <f>COUNTIF('remet-kin'!AY58:'remet-kin'!AY60,"=1")/COUNT('remet-kin'!AY58:'remet-kin'!AY60)</f>
        <v>1</v>
      </c>
      <c r="AD24">
        <f>COUNTIF('remet-kin'!BF58:'remet-kin'!BF60,"=1")/COUNT('remet-kin'!BF58:'remet-kin'!BF60)</f>
        <v>0</v>
      </c>
      <c r="AE24">
        <f t="shared" si="0"/>
        <v>1</v>
      </c>
      <c r="AF24">
        <f>COUNTIF('remet-kin'!BG58:'remet-kin'!BG60,"=1")/COUNT('remet-kin'!BG58:'remet-kin'!BG60)</f>
        <v>0</v>
      </c>
      <c r="AG24">
        <f t="shared" si="1"/>
        <v>1</v>
      </c>
    </row>
    <row r="25" spans="1:33">
      <c r="A25" t="s">
        <v>63</v>
      </c>
      <c r="B25" t="s">
        <v>48</v>
      </c>
      <c r="C25" t="s">
        <v>17</v>
      </c>
      <c r="D25" t="s">
        <v>17</v>
      </c>
      <c r="F25">
        <f>COUNTIF('remet-kin'!Q63,"&lt;=10")</f>
        <v>0</v>
      </c>
      <c r="G25">
        <f>COUNTIFS('remet-kin'!Q63,"&gt;10",'remet-kin'!Q63,"&lt;=25")</f>
        <v>0</v>
      </c>
      <c r="H25">
        <f>COUNTIFS('remet-kin'!Q63,"&gt;25",'remet-kin'!Q63,"&lt;=100")</f>
        <v>0</v>
      </c>
      <c r="I25">
        <f>COUNTIFS('remet-kin'!Q63,"&gt;100")</f>
        <v>1</v>
      </c>
      <c r="J25">
        <f>COUNTIF('remet-kin'!W63,"&lt;=100")</f>
        <v>0</v>
      </c>
      <c r="K25">
        <f>COUNTIFS('remet-kin'!W63,"&gt;100",'remet-kin'!W63,"&lt;=500")</f>
        <v>0</v>
      </c>
      <c r="L25">
        <f>COUNTIFS('remet-kin'!W63,"&gt;500",'remet-kin'!W63,"&lt;=1000")</f>
        <v>0</v>
      </c>
      <c r="M25">
        <f>COUNTIFS('remet-kin'!W63,"&gt;1000")</f>
        <v>1</v>
      </c>
      <c r="N25">
        <f>COUNTIF('remet-kin'!X63,"&lt;=100")</f>
        <v>0</v>
      </c>
      <c r="O25">
        <f>COUNTIFS('remet-kin'!X63,"&gt;100",'remet-kin'!X63,"&lt;=1000")</f>
        <v>0</v>
      </c>
      <c r="P25">
        <f>COUNTIFS('remet-kin'!X63,"&gt;1000",'remet-kin'!X63,"&lt;=10000")</f>
        <v>1</v>
      </c>
      <c r="Q25">
        <f>COUNTIFS('remet-kin'!X63,"&gt;10000")</f>
        <v>0</v>
      </c>
      <c r="R25">
        <f>COUNTIF('remet-kin'!AM63,"=0.11")</f>
        <v>1</v>
      </c>
      <c r="S25">
        <f>COUNTIFS('remet-kin'!AM63,"0.13")</f>
        <v>0</v>
      </c>
      <c r="T25">
        <f>COUNTIFS('remet-kin'!AM63,"0.16")</f>
        <v>0</v>
      </c>
      <c r="U25">
        <f>COUNTIFS('remet-kin'!AM63,"=0.22")</f>
        <v>0</v>
      </c>
      <c r="V25">
        <f>COUNTIF('remet-kin'!Y63,"=1")</f>
        <v>1</v>
      </c>
      <c r="W25">
        <f>COUNTIF('remet-kin'!Y63,"&gt;1")</f>
        <v>0</v>
      </c>
      <c r="X25">
        <f>COUNTIF('remet-kin'!AS63,"=1")</f>
        <v>0</v>
      </c>
      <c r="Y25">
        <f>COUNTIF('remet-kin'!AT63,"=1")</f>
        <v>0</v>
      </c>
      <c r="Z25">
        <f t="shared" si="2"/>
        <v>1</v>
      </c>
      <c r="AA25">
        <f>COUNTIF('remet-kin'!AW63,"=1")</f>
        <v>0</v>
      </c>
      <c r="AB25">
        <f>COUNTIF('remet-kin'!AX63,"=1")</f>
        <v>0</v>
      </c>
      <c r="AC25">
        <f>COUNTIF('remet-kin'!AY63,"=1")</f>
        <v>1</v>
      </c>
      <c r="AD25">
        <f>COUNTIF('remet-kin'!BF63,"=1")</f>
        <v>0</v>
      </c>
      <c r="AE25">
        <f t="shared" si="0"/>
        <v>1</v>
      </c>
      <c r="AF25">
        <f>COUNTIF('remet-kin'!BG63,"=1")</f>
        <v>0</v>
      </c>
      <c r="AG25">
        <f t="shared" si="1"/>
        <v>1</v>
      </c>
    </row>
    <row r="26" spans="1:33">
      <c r="A26" t="s">
        <v>63</v>
      </c>
      <c r="B26" t="s">
        <v>48</v>
      </c>
      <c r="C26" t="s">
        <v>18</v>
      </c>
      <c r="D26" t="s">
        <v>18</v>
      </c>
      <c r="F26">
        <f>COUNTIF('remet-kin'!Q65:'remet-kin'!Q67,"&lt;=10")/COUNT('remet-kin'!Q65:'remet-kin'!Q67)</f>
        <v>0</v>
      </c>
      <c r="G26">
        <f>COUNTIFS('remet-kin'!Q65:'remet-kin'!Q67,"&gt;10",'remet-kin'!Q65:'remet-kin'!Q67,"&lt;=25")/COUNT('remet-kin'!Q65:'remet-kin'!Q67)</f>
        <v>0</v>
      </c>
      <c r="H26">
        <f>COUNTIFS('remet-kin'!Q65:'remet-kin'!Q67,"&gt;25",'remet-kin'!Q65:'remet-kin'!Q67,"&lt;=100")/COUNT('remet-kin'!Q65:'remet-kin'!Q67)</f>
        <v>0.33333333333333331</v>
      </c>
      <c r="I26">
        <f>COUNTIFS('remet-kin'!Q65:'remet-kin'!Q67,"&gt;100")/COUNT('remet-kin'!Q65:'remet-kin'!Q67)</f>
        <v>0.66666666666666663</v>
      </c>
      <c r="J26">
        <f>COUNTIF('remet-kin'!W65:'remet-kin'!W67,"&lt;=100")/COUNT('remet-kin'!W65:'remet-kin'!W67)</f>
        <v>0</v>
      </c>
      <c r="K26">
        <f>COUNTIFS('remet-kin'!W65:'remet-kin'!W67,"&gt;100",'remet-kin'!W65:'remet-kin'!W67,"&lt;=500")/COUNT('remet-kin'!W65:'remet-kin'!W67)</f>
        <v>0</v>
      </c>
      <c r="L26">
        <f>COUNTIFS('remet-kin'!W65:'remet-kin'!W67,"&gt;500",'remet-kin'!W65:'remet-kin'!W67,"&lt;=1000")/COUNT('remet-kin'!W65:'remet-kin'!W67)</f>
        <v>0</v>
      </c>
      <c r="M26">
        <f>COUNTIFS('remet-kin'!W65:'remet-kin'!W67,"&gt;1000")/COUNT('remet-kin'!W65:'remet-kin'!W67)</f>
        <v>1</v>
      </c>
      <c r="N26">
        <f>COUNTIF('remet-kin'!X65:'remet-kin'!X67,"&lt;=100")/COUNT('remet-kin'!X65:'remet-kin'!X67)</f>
        <v>0</v>
      </c>
      <c r="O26">
        <f>COUNTIFS('remet-kin'!X65:'remet-kin'!X67,"&gt;100",'remet-kin'!X65:'remet-kin'!X67,"&lt;=1000")/COUNT('remet-kin'!X65:'remet-kin'!X67)</f>
        <v>0.66666666666666663</v>
      </c>
      <c r="P26">
        <f>COUNTIFS('remet-kin'!X65:'remet-kin'!X67,"&gt;1000",'remet-kin'!X65:'remet-kin'!X67,"&lt;=10000")/COUNT('remet-kin'!X65:'remet-kin'!X67)</f>
        <v>0.33333333333333331</v>
      </c>
      <c r="Q26">
        <f>COUNTIFS('remet-kin'!X65:'remet-kin'!X67,"&gt;10000")/COUNT('remet-kin'!X65:'remet-kin'!X67)</f>
        <v>0</v>
      </c>
      <c r="R26">
        <f>COUNTIF('remet-kin'!AM65:'remet-kin'!AM67,"=0.11")/COUNT('remet-kin'!AM65:'remet-kin'!AM67)</f>
        <v>1</v>
      </c>
      <c r="S26">
        <f>COUNTIF('remet-kin'!AM65:'remet-kin'!AM67,"=0.13")/COUNT('remet-kin'!AM65:'remet-kin'!AM67)</f>
        <v>0</v>
      </c>
      <c r="T26">
        <f>COUNTIFS('remet-kin'!AM65:'remet-kin'!AM67,"0.16")/COUNT('remet-kin'!AM65:'remet-kin'!AM67)</f>
        <v>0</v>
      </c>
      <c r="U26">
        <f>COUNTIFS('remet-kin'!AM65:'remet-kin'!AM67,"=0.22")/COUNT('remet-kin'!AM65:'remet-kin'!AM67)</f>
        <v>0</v>
      </c>
      <c r="V26">
        <f>COUNTIF('remet-kin'!Y65:'remet-kin'!Y67,"=1")/COUNT('remet-kin'!Y65:'remet-kin'!Y67)</f>
        <v>1</v>
      </c>
      <c r="W26">
        <f>COUNTIF('remet-kin'!Y65:'remet-kin'!Y67,"&gt;1")/COUNT('remet-kin'!Y65:'remet-kin'!Y67)</f>
        <v>0</v>
      </c>
      <c r="X26">
        <f>COUNTIF('remet-kin'!AS65:'remet-kin'!AS67,"=1")/COUNT('remet-kin'!AS65:'remet-kin'!AS67)</f>
        <v>0</v>
      </c>
      <c r="Y26">
        <f>COUNTIF('remet-kin'!AT65:'remet-kin'!AT67,"=1")/COUNT('remet-kin'!AT65:'remet-kin'!AT67)</f>
        <v>0</v>
      </c>
      <c r="Z26">
        <f t="shared" si="2"/>
        <v>1</v>
      </c>
      <c r="AA26">
        <f>COUNTIF('remet-kin'!AW65:'remet-kin'!AW67,"=1")/COUNT('remet-kin'!AW65:'remet-kin'!AW67)</f>
        <v>0</v>
      </c>
      <c r="AB26">
        <f>COUNTIF('remet-kin'!AX65:'remet-kin'!AX67,"=1")/COUNT('remet-kin'!AX65:'remet-kin'!AX67)</f>
        <v>0</v>
      </c>
      <c r="AC26">
        <f>COUNTIF('remet-kin'!AY65:'remet-kin'!AY67,"=1")/COUNT('remet-kin'!AY65:'remet-kin'!AY67)</f>
        <v>1</v>
      </c>
      <c r="AD26">
        <f>COUNTIF('remet-kin'!BF65:'remet-kin'!BF67,"=1")/COUNT('remet-kin'!BF65:'remet-kin'!BF67)</f>
        <v>0</v>
      </c>
      <c r="AE26">
        <f t="shared" si="0"/>
        <v>1</v>
      </c>
      <c r="AF26">
        <f>COUNTIF('remet-kin'!BG65:'remet-kin'!BG67,"=1")/COUNT('remet-kin'!BG65:'remet-kin'!BG67)</f>
        <v>0</v>
      </c>
      <c r="AG26">
        <f t="shared" si="1"/>
        <v>1</v>
      </c>
    </row>
    <row r="27" spans="1:33">
      <c r="A27" t="s">
        <v>63</v>
      </c>
      <c r="B27" t="s">
        <v>48</v>
      </c>
      <c r="C27" t="s">
        <v>19</v>
      </c>
      <c r="D27" t="s">
        <v>19</v>
      </c>
      <c r="F27">
        <f>COUNTIF('remet-kin'!Q68:'remet-kin'!Q69,"&lt;=10")/COUNT('remet-kin'!Q68:'remet-kin'!Q69)</f>
        <v>0</v>
      </c>
      <c r="G27">
        <f>COUNTIFS('remet-kin'!Q68:'remet-kin'!Q69,"&gt;10",'remet-kin'!Q68:'remet-kin'!Q69,"&lt;=25")/COUNT('remet-kin'!Q68:'remet-kin'!Q69)</f>
        <v>0.5</v>
      </c>
      <c r="H27">
        <f>COUNTIFS('remet-kin'!Q68:'remet-kin'!Q69,"&gt;25",'remet-kin'!Q68:'remet-kin'!Q69,"&lt;=100")/COUNT('remet-kin'!Q68:'remet-kin'!Q69)</f>
        <v>0</v>
      </c>
      <c r="I27">
        <f>COUNTIFS('remet-kin'!Q68:'remet-kin'!Q69,"&gt;100")/COUNT('remet-kin'!Q68:'remet-kin'!Q69)</f>
        <v>0.5</v>
      </c>
      <c r="J27">
        <f>COUNTIF('remet-kin'!W68:'remet-kin'!W69,"&lt;=100")/COUNT('remet-kin'!W68:'remet-kin'!W69)</f>
        <v>0</v>
      </c>
      <c r="K27">
        <f>COUNTIFS('remet-kin'!W68:'remet-kin'!W69,"&gt;100",'remet-kin'!W68:'remet-kin'!W69,"&lt;=500")/COUNT('remet-kin'!W68:'remet-kin'!W69)</f>
        <v>0.5</v>
      </c>
      <c r="L27">
        <f>COUNTIFS('remet-kin'!W68:'remet-kin'!W69,"&gt;500",'remet-kin'!W68:'remet-kin'!W69,"&lt;=1000")/COUNT('remet-kin'!W68:'remet-kin'!W69)</f>
        <v>0</v>
      </c>
      <c r="M27">
        <f>COUNTIFS('remet-kin'!W68:'remet-kin'!W69,"&gt;1000")/COUNT('remet-kin'!W68:'remet-kin'!W69)</f>
        <v>0.5</v>
      </c>
      <c r="N27">
        <f>COUNTIF('remet-kin'!X68:'remet-kin'!X69,"&lt;=100")/COUNT('remet-kin'!X68:'remet-kin'!X69)</f>
        <v>0</v>
      </c>
      <c r="O27">
        <f>COUNTIFS('remet-kin'!X68:'remet-kin'!X69,"&gt;100",'remet-kin'!X68:'remet-kin'!X69,"&lt;=1000")/COUNT('remet-kin'!X68:'remet-kin'!X69)</f>
        <v>0.5</v>
      </c>
      <c r="P27">
        <f>COUNTIFS('remet-kin'!X68:'remet-kin'!X69,"&gt;1000",'remet-kin'!X68:'remet-kin'!X69,"&lt;=10000")/COUNT('remet-kin'!X68:'remet-kin'!X69)</f>
        <v>0</v>
      </c>
      <c r="Q27">
        <f>COUNTIFS('remet-kin'!X68:'remet-kin'!X69,"&gt;10000")/COUNT('remet-kin'!X68:'remet-kin'!X69)</f>
        <v>0.5</v>
      </c>
      <c r="R27">
        <f>COUNTIF('remet-kin'!AM68:'remet-kin'!AM69,"=0.11")/COUNT('remet-kin'!AM68:'remet-kin'!AM69)</f>
        <v>1</v>
      </c>
      <c r="S27">
        <f>COUNTIF('remet-kin'!AM68:'remet-kin'!AM69,"=0.13")/COUNT('remet-kin'!AM68:'remet-kin'!AM69)</f>
        <v>0</v>
      </c>
      <c r="T27">
        <f>COUNTIFS('remet-kin'!AM68:'remet-kin'!AM69,"0.16")/COUNT('remet-kin'!AM68:'remet-kin'!AM69)</f>
        <v>0</v>
      </c>
      <c r="U27">
        <f>COUNTIFS('remet-kin'!AM68:'remet-kin'!AM69,"=0.22")/COUNT('remet-kin'!AM68:'remet-kin'!AM69)</f>
        <v>0</v>
      </c>
      <c r="V27">
        <f>COUNTIF('remet-kin'!Y68:'remet-kin'!Y69,"=1")/COUNT('remet-kin'!Y68:'remet-kin'!Y69)</f>
        <v>1</v>
      </c>
      <c r="W27">
        <f>COUNTIF('remet-kin'!Y68:'remet-kin'!Y69,"&gt;1")/COUNT('remet-kin'!Y68:'remet-kin'!Y69)</f>
        <v>0</v>
      </c>
      <c r="X27">
        <f>COUNTIF('remet-kin'!AS68:'remet-kin'!AS69,"=1")/COUNT('remet-kin'!AS68:'remet-kin'!AS69)</f>
        <v>0</v>
      </c>
      <c r="Y27">
        <f>COUNTIF('remet-kin'!AT68:'remet-kin'!AT69,"=1")/COUNT('remet-kin'!AT68:'remet-kin'!AT69)</f>
        <v>0</v>
      </c>
      <c r="Z27">
        <f t="shared" si="2"/>
        <v>1</v>
      </c>
      <c r="AA27">
        <f>COUNTIF('remet-kin'!AW68:'remet-kin'!AW69,"=1")/COUNT('remet-kin'!AW68:'remet-kin'!AW69)</f>
        <v>0</v>
      </c>
      <c r="AB27">
        <f>COUNTIF('remet-kin'!AX68:'remet-kin'!AX69,"=1")/COUNT('remet-kin'!AX68:'remet-kin'!AX69)</f>
        <v>0</v>
      </c>
      <c r="AC27">
        <f>COUNTIF('remet-kin'!AY68:'remet-kin'!AY69,"=1")/COUNT('remet-kin'!AY68:'remet-kin'!AY69)</f>
        <v>1</v>
      </c>
      <c r="AD27">
        <f>COUNTIF('remet-kin'!BF68:'remet-kin'!BF69,"=1")/COUNT('remet-kin'!BF68:'remet-kin'!BF69)</f>
        <v>0</v>
      </c>
      <c r="AE27">
        <f t="shared" si="0"/>
        <v>1</v>
      </c>
      <c r="AF27">
        <f>COUNTIF('remet-kin'!BG68:'remet-kin'!BG69,"=1")/COUNT('remet-kin'!BG68:'remet-kin'!BG69)</f>
        <v>0</v>
      </c>
      <c r="AG27">
        <f t="shared" si="1"/>
        <v>1</v>
      </c>
    </row>
    <row r="28" spans="1:33">
      <c r="A28" t="s">
        <v>63</v>
      </c>
      <c r="B28" t="s">
        <v>49</v>
      </c>
      <c r="C28" t="s">
        <v>20</v>
      </c>
      <c r="D28" t="s">
        <v>20</v>
      </c>
      <c r="F28">
        <f>COUNTIF('remet-kin'!Q73,"&lt;=10")</f>
        <v>0</v>
      </c>
      <c r="G28">
        <f>COUNTIFS('remet-kin'!Q73,"&gt;10",'remet-kin'!Q73,"&lt;=25")</f>
        <v>1</v>
      </c>
      <c r="H28">
        <f>COUNTIFS('remet-kin'!Q73,"&gt;25",'remet-kin'!Q73,"&lt;=73")</f>
        <v>0</v>
      </c>
      <c r="I28">
        <f>COUNTIFS('remet-kin'!Q73,"&gt;100")</f>
        <v>0</v>
      </c>
      <c r="J28">
        <f>COUNTIF('remet-kin'!W73,"&lt;=100")</f>
        <v>0</v>
      </c>
      <c r="K28">
        <f>COUNTIFS('remet-kin'!W73,"&gt;100",'remet-kin'!W73,"&lt;=500")</f>
        <v>0</v>
      </c>
      <c r="L28">
        <f>COUNTIFS('remet-kin'!W73,"&gt;500",'remet-kin'!W73,"&lt;=1000")</f>
        <v>0</v>
      </c>
      <c r="M28">
        <f>COUNTIFS('remet-kin'!W73,"&gt;1000")</f>
        <v>1</v>
      </c>
      <c r="N28">
        <f>COUNTIF('remet-kin'!X73,"&lt;=100")</f>
        <v>0</v>
      </c>
      <c r="O28">
        <f>COUNTIFS('remet-kin'!X73,"&gt;100",'remet-kin'!X73,"&lt;=1000")</f>
        <v>0</v>
      </c>
      <c r="P28">
        <f>COUNTIFS('remet-kin'!X73,"&gt;1000",'remet-kin'!X73,"&lt;=10000")</f>
        <v>1</v>
      </c>
      <c r="Q28">
        <f>COUNTIFS('remet-kin'!X73,"&gt;10000")</f>
        <v>0</v>
      </c>
      <c r="R28">
        <f>COUNTIF('remet-kin'!AM73,"=0.11")</f>
        <v>0</v>
      </c>
      <c r="S28">
        <f>COUNTIFS('remet-kin'!AM73,"0.13")</f>
        <v>0</v>
      </c>
      <c r="T28">
        <f>COUNTIFS('remet-kin'!AM73,"0.16")</f>
        <v>1</v>
      </c>
      <c r="U28">
        <f>COUNTIFS('remet-kin'!AM73,"=0.22")</f>
        <v>0</v>
      </c>
      <c r="V28">
        <f>COUNTIF('remet-kin'!Y73,"=1")</f>
        <v>0</v>
      </c>
      <c r="W28">
        <f>COUNTIF('remet-kin'!Y73,"&gt;1")</f>
        <v>1</v>
      </c>
      <c r="X28">
        <f>COUNTIF('remet-kin'!AS73,"=1")</f>
        <v>0</v>
      </c>
      <c r="Y28">
        <f>COUNTIF('remet-kin'!AT73,"=1")</f>
        <v>0</v>
      </c>
      <c r="Z28">
        <f t="shared" si="2"/>
        <v>1</v>
      </c>
      <c r="AA28">
        <f>COUNTIF('remet-kin'!AW73,"=1")</f>
        <v>0</v>
      </c>
      <c r="AB28">
        <f>COUNTIF('remet-kin'!AX73,"=1")</f>
        <v>0</v>
      </c>
      <c r="AC28">
        <f>COUNTIF('remet-kin'!AY73,"=1")</f>
        <v>1</v>
      </c>
      <c r="AD28">
        <f>COUNTIF('remet-kin'!BF73,"=1")</f>
        <v>0</v>
      </c>
      <c r="AE28">
        <f t="shared" si="0"/>
        <v>1</v>
      </c>
      <c r="AF28">
        <f>COUNTIF('remet-kin'!BG73,"=1")</f>
        <v>0</v>
      </c>
      <c r="AG28">
        <f t="shared" si="1"/>
        <v>1</v>
      </c>
    </row>
    <row r="29" spans="1:33">
      <c r="A29" t="s">
        <v>63</v>
      </c>
      <c r="B29" t="s">
        <v>49</v>
      </c>
      <c r="C29" t="s">
        <v>21</v>
      </c>
      <c r="D29" t="s">
        <v>21</v>
      </c>
      <c r="F29">
        <f>COUNTIF('remet-kin'!Q71:'remet-kin'!Q72,"&lt;=10")/COUNT('remet-kin'!Q71:'remet-kin'!Q72)</f>
        <v>1</v>
      </c>
      <c r="G29">
        <f>COUNTIFS('remet-kin'!Q71:'remet-kin'!Q72,"&gt;10",'remet-kin'!Q71:'remet-kin'!Q72,"&lt;=25")/COUNT('remet-kin'!Q71:'remet-kin'!Q72)</f>
        <v>0</v>
      </c>
      <c r="H29">
        <f>COUNTIFS('remet-kin'!Q71:'remet-kin'!Q72,"&gt;25",'remet-kin'!Q71:'remet-kin'!Q72,"&lt;=100")/COUNT('remet-kin'!Q71:'remet-kin'!Q72)</f>
        <v>0</v>
      </c>
      <c r="I29">
        <f>COUNTIFS('remet-kin'!Q71:'remet-kin'!Q72,"&gt;100")/COUNT('remet-kin'!Q71:'remet-kin'!Q72)</f>
        <v>0</v>
      </c>
      <c r="J29">
        <f>COUNTIF('remet-kin'!W71:'remet-kin'!W72,"&lt;=100")/COUNT('remet-kin'!W71:'remet-kin'!W72)</f>
        <v>0.5</v>
      </c>
      <c r="K29">
        <f>COUNTIFS('remet-kin'!W71:'remet-kin'!W72,"&gt;100",'remet-kin'!W71:'remet-kin'!W72,"&lt;=500")/COUNT('remet-kin'!W71:'remet-kin'!W72)</f>
        <v>0.5</v>
      </c>
      <c r="L29">
        <f>COUNTIFS('remet-kin'!W71:'remet-kin'!W72,"&gt;500",'remet-kin'!W71:'remet-kin'!W72,"&lt;=1000")/COUNT('remet-kin'!W71:'remet-kin'!W72)</f>
        <v>0</v>
      </c>
      <c r="M29">
        <f>COUNTIFS('remet-kin'!W71:'remet-kin'!W72,"&gt;1000")/COUNT('remet-kin'!W71:'remet-kin'!W72)</f>
        <v>0</v>
      </c>
      <c r="N29">
        <f>COUNTIF('remet-kin'!X71:'remet-kin'!X72,"&lt;=100")/COUNT('remet-kin'!X71:'remet-kin'!X72)</f>
        <v>0.5</v>
      </c>
      <c r="O29">
        <f>COUNTIFS('remet-kin'!X71:'remet-kin'!X72,"&gt;100",'remet-kin'!X71:'remet-kin'!X72,"&lt;=1000")/COUNT('remet-kin'!X71:'remet-kin'!X72)</f>
        <v>0.5</v>
      </c>
      <c r="P29">
        <f>COUNTIFS('remet-kin'!X71:'remet-kin'!X72,"&gt;1000",'remet-kin'!X71:'remet-kin'!X72,"&lt;=10000")/COUNT('remet-kin'!X71:'remet-kin'!X72)</f>
        <v>0</v>
      </c>
      <c r="Q29">
        <f>COUNTIFS('remet-kin'!X71:'remet-kin'!X72,"&gt;10000")/COUNT('remet-kin'!X71:'remet-kin'!X72)</f>
        <v>0</v>
      </c>
      <c r="R29">
        <f>COUNTIF('remet-kin'!AM71:'remet-kin'!AM72,"=0.11")/COUNT('remet-kin'!AM71:'remet-kin'!AM72)</f>
        <v>0</v>
      </c>
      <c r="S29">
        <f>COUNTIF('remet-kin'!AM71:'remet-kin'!AM72,"=0.13")/COUNT('remet-kin'!AM71:'remet-kin'!AM72)</f>
        <v>0</v>
      </c>
      <c r="T29">
        <f>COUNTIFS('remet-kin'!AM71:'remet-kin'!AM72,"0.16")/COUNT('remet-kin'!AM71:'remet-kin'!AM72)</f>
        <v>1</v>
      </c>
      <c r="U29">
        <f>COUNTIFS('remet-kin'!AM71:'remet-kin'!AM72,"=0.22")/COUNT('remet-kin'!AM71:'remet-kin'!AM72)</f>
        <v>0</v>
      </c>
      <c r="V29">
        <f>COUNTIF('remet-kin'!Y71:'remet-kin'!Y72,"=1")/COUNT('remet-kin'!Y71:'remet-kin'!Y72)</f>
        <v>0</v>
      </c>
      <c r="W29">
        <f>COUNTIF('remet-kin'!Y71:'remet-kin'!Y72,"&gt;1")/COUNT('remet-kin'!Y71:'remet-kin'!Y72)</f>
        <v>1</v>
      </c>
      <c r="X29">
        <f>COUNTIF('remet-kin'!AS71:'remet-kin'!AS72,"=1")/COUNT('remet-kin'!AS71:'remet-kin'!AS72)</f>
        <v>0</v>
      </c>
      <c r="Y29">
        <f>COUNTIF('remet-kin'!AT71:'remet-kin'!AT72,"=1")/COUNT('remet-kin'!AT71:'remet-kin'!AT72)</f>
        <v>0</v>
      </c>
      <c r="Z29">
        <f t="shared" si="2"/>
        <v>1</v>
      </c>
      <c r="AA29">
        <f>COUNTIF('remet-kin'!AW71:'remet-kin'!AW72,"=1")/COUNT('remet-kin'!AW71:'remet-kin'!AW72)</f>
        <v>0</v>
      </c>
      <c r="AB29">
        <f>COUNTIF('remet-kin'!AX71:'remet-kin'!AX72,"=1")/COUNT('remet-kin'!AX71:'remet-kin'!AX72)</f>
        <v>0</v>
      </c>
      <c r="AC29">
        <f>COUNTIF('remet-kin'!AY71:'remet-kin'!AY72,"=1")/COUNT('remet-kin'!AY71:'remet-kin'!AY72)</f>
        <v>1</v>
      </c>
      <c r="AD29">
        <f>COUNTIF('remet-kin'!BF71:'remet-kin'!BF72,"=1")/COUNT('remet-kin'!BF71:'remet-kin'!BF72)</f>
        <v>0</v>
      </c>
      <c r="AE29">
        <f t="shared" si="0"/>
        <v>1</v>
      </c>
      <c r="AF29">
        <f>COUNTIF('remet-kin'!BG71:'remet-kin'!BG72,"=1")/COUNT('remet-kin'!BG71:'remet-kin'!BG72)</f>
        <v>0</v>
      </c>
      <c r="AG29">
        <f t="shared" si="1"/>
        <v>1</v>
      </c>
    </row>
    <row r="30" spans="1:33">
      <c r="A30" t="s">
        <v>63</v>
      </c>
      <c r="B30" t="s">
        <v>50</v>
      </c>
      <c r="C30" t="s">
        <v>3557</v>
      </c>
      <c r="F30">
        <f>COUNTIF('remet-kin'!Q75:'remet-kin'!Q78,"&lt;=10")/COUNT('remet-kin'!Q75:'remet-kin'!Q78)</f>
        <v>0</v>
      </c>
      <c r="G30">
        <f>COUNTIFS('remet-kin'!Q75:'remet-kin'!Q78,"&gt;10",'remet-kin'!Q75:'remet-kin'!Q78,"&lt;=25")/COUNT('remet-kin'!Q75:'remet-kin'!Q78)</f>
        <v>0.5</v>
      </c>
      <c r="H30">
        <f>COUNTIFS('remet-kin'!Q75:'remet-kin'!Q78,"&gt;25",'remet-kin'!Q75:'remet-kin'!Q78,"&lt;=100")/COUNT('remet-kin'!Q75:'remet-kin'!Q78)</f>
        <v>0.5</v>
      </c>
      <c r="I30">
        <f>COUNTIFS('remet-kin'!Q75:'remet-kin'!Q78,"&gt;100")/COUNT('remet-kin'!Q75:'remet-kin'!Q78)</f>
        <v>0</v>
      </c>
      <c r="J30">
        <f>COUNTIF('remet-kin'!W75:'remet-kin'!W78,"&lt;=100")/COUNT('remet-kin'!W75:'remet-kin'!W78)</f>
        <v>0</v>
      </c>
      <c r="K30">
        <f>COUNTIFS('remet-kin'!W75:'remet-kin'!W78,"&gt;100",'remet-kin'!W75:'remet-kin'!W78,"&lt;=500")/COUNT('remet-kin'!W75:'remet-kin'!W78)</f>
        <v>0.25</v>
      </c>
      <c r="L30">
        <f>COUNTIFS('remet-kin'!W75:'remet-kin'!W78,"&gt;500",'remet-kin'!W75:'remet-kin'!W78,"&lt;=1000")/COUNT('remet-kin'!W75:'remet-kin'!W78)</f>
        <v>0</v>
      </c>
      <c r="M30">
        <f>COUNTIFS('remet-kin'!W75:'remet-kin'!W78,"&gt;1000")/COUNT('remet-kin'!W75:'remet-kin'!W78)</f>
        <v>0.75</v>
      </c>
      <c r="N30">
        <f>COUNTIF('remet-kin'!X75:'remet-kin'!X78,"&lt;=100")/COUNT('remet-kin'!X75:'remet-kin'!X78)</f>
        <v>0</v>
      </c>
      <c r="O30">
        <f>COUNTIFS('remet-kin'!X75:'remet-kin'!X78,"&gt;100",'remet-kin'!X75:'remet-kin'!X78,"&lt;=1000")/COUNT('remet-kin'!X75:'remet-kin'!X78)</f>
        <v>0.25</v>
      </c>
      <c r="P30">
        <f>COUNTIFS('remet-kin'!X75:'remet-kin'!X78,"&gt;1000",'remet-kin'!X75:'remet-kin'!X78,"&lt;=10000")/COUNT('remet-kin'!X75:'remet-kin'!X78)</f>
        <v>0.5</v>
      </c>
      <c r="Q30">
        <f>COUNTIFS('remet-kin'!X75:'remet-kin'!X78,"&gt;10000")/COUNT('remet-kin'!X75:'remet-kin'!X78)</f>
        <v>0.25</v>
      </c>
      <c r="R30">
        <f>COUNTIF('remet-kin'!AM75:'remet-kin'!AM78,"=0.11")/COUNT('remet-kin'!AM75:'remet-kin'!AM78)</f>
        <v>1</v>
      </c>
      <c r="S30">
        <f>COUNTIF('remet-kin'!AM75:'remet-kin'!AM78,"=0.13")/COUNT('remet-kin'!AM75:'remet-kin'!AM78)</f>
        <v>0</v>
      </c>
      <c r="T30">
        <f>COUNTIFS('remet-kin'!AM75:'remet-kin'!AM78,"0.16")/COUNT('remet-kin'!AM75:'remet-kin'!AM78)</f>
        <v>0</v>
      </c>
      <c r="U30">
        <f>COUNTIFS('remet-kin'!AM75:'remet-kin'!AM78,"=0.22")/COUNT('remet-kin'!AM75:'remet-kin'!AM78)</f>
        <v>0</v>
      </c>
      <c r="V30">
        <f>COUNTIF('remet-kin'!Y75:'remet-kin'!Y78,"=1")/COUNT('remet-kin'!Y75:'remet-kin'!Y78)</f>
        <v>0.25</v>
      </c>
      <c r="W30">
        <f>COUNTIF('remet-kin'!Y75:'remet-kin'!Y78,"&gt;1")/COUNT('remet-kin'!Y75:'remet-kin'!Y78)</f>
        <v>0.75</v>
      </c>
      <c r="X30">
        <f>COUNTIF('remet-kin'!AS75:'remet-kin'!AS78,"=1")/COUNT('remet-kin'!AS75:'remet-kin'!AS78)</f>
        <v>0</v>
      </c>
      <c r="Y30">
        <f>COUNTIF('remet-kin'!AT75:'remet-kin'!AT78,"=1")/COUNT('remet-kin'!AT75:'remet-kin'!AT78)</f>
        <v>0</v>
      </c>
      <c r="Z30">
        <f t="shared" si="2"/>
        <v>1</v>
      </c>
      <c r="AA30">
        <f>COUNTIF('remet-kin'!AW75:'remet-kin'!AW78,"=1")/COUNT('remet-kin'!AW75:'remet-kin'!AW78)</f>
        <v>0</v>
      </c>
      <c r="AB30">
        <f>COUNTIF('remet-kin'!AX75:'remet-kin'!AX78,"=1")/COUNT('remet-kin'!AX75:'remet-kin'!AX78)</f>
        <v>0</v>
      </c>
      <c r="AC30">
        <f>COUNTIF('remet-kin'!AY75:'remet-kin'!AY78,"=1")/COUNT('remet-kin'!AY75:'remet-kin'!AY78)</f>
        <v>1</v>
      </c>
      <c r="AD30">
        <f>COUNTIF('remet-kin'!BF75:'remet-kin'!BF78,"=1")/COUNT('remet-kin'!BF75:'remet-kin'!BF78)</f>
        <v>0</v>
      </c>
      <c r="AE30">
        <f t="shared" si="0"/>
        <v>1</v>
      </c>
      <c r="AF30">
        <f>COUNTIF('remet-kin'!BG75:'remet-kin'!BG78,"=1")/COUNT('remet-kin'!BG75:'remet-kin'!BG78)</f>
        <v>0</v>
      </c>
      <c r="AG30">
        <f t="shared" si="1"/>
        <v>1</v>
      </c>
    </row>
    <row r="31" spans="1:33">
      <c r="A31" t="s">
        <v>63</v>
      </c>
      <c r="B31" t="s">
        <v>51</v>
      </c>
      <c r="C31" t="s">
        <v>3539</v>
      </c>
      <c r="F31">
        <f>COUNTIF('remet-kin'!Q80:'remet-kin'!Q81,"&lt;=10")/COUNT('remet-kin'!Q80:'remet-kin'!Q81)</f>
        <v>0.5</v>
      </c>
      <c r="G31">
        <f>COUNTIFS('remet-kin'!Q80:'remet-kin'!Q81,"&gt;10",'remet-kin'!Q80:'remet-kin'!Q81,"&lt;=25")/COUNT('remet-kin'!Q80:'remet-kin'!Q81)</f>
        <v>0.5</v>
      </c>
      <c r="H31">
        <f>COUNTIFS('remet-kin'!Q80:'remet-kin'!Q81,"&gt;25",'remet-kin'!Q80:'remet-kin'!Q81,"&lt;=100")/COUNT('remet-kin'!Q80:'remet-kin'!Q81)</f>
        <v>0</v>
      </c>
      <c r="I31">
        <f>COUNTIFS('remet-kin'!Q80:'remet-kin'!Q81,"&gt;100")/COUNT('remet-kin'!Q80:'remet-kin'!Q81)</f>
        <v>0</v>
      </c>
      <c r="J31">
        <f>COUNTIF('remet-kin'!W80:'remet-kin'!W81,"&lt;=100")/COUNT('remet-kin'!W80:'remet-kin'!W81)</f>
        <v>0</v>
      </c>
      <c r="K31">
        <f>COUNTIFS('remet-kin'!W80:'remet-kin'!W81,"&gt;100",'remet-kin'!W80:'remet-kin'!W81,"&lt;=500")/COUNT('remet-kin'!W80:'remet-kin'!W81)</f>
        <v>0.5</v>
      </c>
      <c r="L31">
        <f>COUNTIFS('remet-kin'!W80:'remet-kin'!W81,"&gt;500",'remet-kin'!W80:'remet-kin'!W81,"&lt;=1000")/COUNT('remet-kin'!W80:'remet-kin'!W81)</f>
        <v>0</v>
      </c>
      <c r="M31">
        <f>COUNTIFS('remet-kin'!W80:'remet-kin'!W81,"&gt;1000")/COUNT('remet-kin'!W80:'remet-kin'!W81)</f>
        <v>0.5</v>
      </c>
      <c r="N31">
        <f>COUNTIF('remet-kin'!X80:'remet-kin'!X81,"&lt;=100")/COUNT('remet-kin'!X80:'remet-kin'!X81)</f>
        <v>0.5</v>
      </c>
      <c r="O31">
        <f>COUNTIFS('remet-kin'!X80:'remet-kin'!X81,"&gt;100",'remet-kin'!X80:'remet-kin'!X81,"&lt;=1000")/COUNT('remet-kin'!X80:'remet-kin'!X81)</f>
        <v>0</v>
      </c>
      <c r="P31">
        <f>COUNTIFS('remet-kin'!X80:'remet-kin'!X81,"&gt;1000",'remet-kin'!X80:'remet-kin'!X81,"&lt;=10000")/COUNT('remet-kin'!X80:'remet-kin'!X81)</f>
        <v>0.5</v>
      </c>
      <c r="Q31">
        <f>COUNTIFS('remet-kin'!X80:'remet-kin'!X81,"&gt;10000")/COUNT('remet-kin'!X80:'remet-kin'!X81)</f>
        <v>0</v>
      </c>
      <c r="R31">
        <f>COUNTIF('remet-kin'!AM80:'remet-kin'!AM81,"=0.11")/COUNT('remet-kin'!AM80:'remet-kin'!AM81)</f>
        <v>0</v>
      </c>
      <c r="S31">
        <f>COUNTIF('remet-kin'!AM80:'remet-kin'!AM81,"=0.13")/COUNT('remet-kin'!AM80:'remet-kin'!AM81)</f>
        <v>0</v>
      </c>
      <c r="T31">
        <f>COUNTIFS('remet-kin'!AM80:'remet-kin'!AM81,"0.16")/COUNT('remet-kin'!AM80:'remet-kin'!AM81)</f>
        <v>1</v>
      </c>
      <c r="U31">
        <f>COUNTIFS('remet-kin'!AM80:'remet-kin'!AM81,"=0.22")/COUNT('remet-kin'!AM80:'remet-kin'!AM81)</f>
        <v>0</v>
      </c>
      <c r="V31">
        <f>COUNTIF('remet-kin'!Y80:'remet-kin'!Y81,"=1")/COUNT('remet-kin'!Y80:'remet-kin'!Y81)</f>
        <v>0.5</v>
      </c>
      <c r="W31">
        <f>COUNTIF('remet-kin'!Y80:'remet-kin'!Y81,"&gt;1")/COUNT('remet-kin'!Y80:'remet-kin'!Y81)</f>
        <v>0.5</v>
      </c>
      <c r="X31">
        <f>COUNTIF('remet-kin'!AS80:'remet-kin'!AS81,"=1")/COUNT('remet-kin'!AS80:'remet-kin'!AS81)</f>
        <v>0</v>
      </c>
      <c r="Y31">
        <f>COUNTIF('remet-kin'!AT80:'remet-kin'!AT81,"=1")/COUNT('remet-kin'!AT80:'remet-kin'!AT81)</f>
        <v>0</v>
      </c>
      <c r="Z31">
        <f t="shared" si="2"/>
        <v>1</v>
      </c>
      <c r="AA31">
        <f>COUNTIF('remet-kin'!AW80:'remet-kin'!AW81,"=1")/COUNT('remet-kin'!AW80:'remet-kin'!AW81)</f>
        <v>0</v>
      </c>
      <c r="AB31">
        <f>COUNTIF('remet-kin'!AX80:'remet-kin'!AX81,"=1")/COUNT('remet-kin'!AX80:'remet-kin'!AX81)</f>
        <v>0</v>
      </c>
      <c r="AC31">
        <f>COUNTIF('remet-kin'!AY80:'remet-kin'!AY81,"=1")/COUNT('remet-kin'!AY80:'remet-kin'!AY81)</f>
        <v>1</v>
      </c>
      <c r="AD31">
        <f>COUNTIF('remet-kin'!BF80:'remet-kin'!BF81,"=1")/COUNT('remet-kin'!BF80:'remet-kin'!BF81)</f>
        <v>0</v>
      </c>
      <c r="AE31">
        <f t="shared" si="0"/>
        <v>1</v>
      </c>
      <c r="AF31">
        <f>COUNTIF('remet-kin'!BG80:'remet-kin'!BG81,"=1")/COUNT('remet-kin'!BG80:'remet-kin'!BG81)</f>
        <v>0</v>
      </c>
      <c r="AG31">
        <f t="shared" si="1"/>
        <v>1</v>
      </c>
    </row>
    <row r="32" spans="1:33">
      <c r="A32" t="s">
        <v>63</v>
      </c>
      <c r="B32" t="s">
        <v>52</v>
      </c>
      <c r="C32" t="s">
        <v>22</v>
      </c>
      <c r="D32" t="s">
        <v>22</v>
      </c>
      <c r="F32">
        <f>COUNTIF('remet-kin'!Q86,"&lt;=10")</f>
        <v>0</v>
      </c>
      <c r="G32">
        <f>COUNTIFS('remet-kin'!Q86,"&gt;10",'remet-kin'!Q86,"&lt;=25")</f>
        <v>1</v>
      </c>
      <c r="H32">
        <f>COUNTIFS('remet-kin'!Q86,"&gt;25",'remet-kin'!Q86,"&lt;=100")</f>
        <v>0</v>
      </c>
      <c r="I32">
        <f>COUNTIFS('remet-kin'!Q86,"&gt;100")</f>
        <v>0</v>
      </c>
      <c r="J32">
        <f>COUNTIF('remet-kin'!W86,"&lt;=100")</f>
        <v>0</v>
      </c>
      <c r="K32">
        <f>COUNTIFS('remet-kin'!W86,"&gt;100",'remet-kin'!W86,"&lt;=500")</f>
        <v>0</v>
      </c>
      <c r="L32">
        <f>COUNTIFS('remet-kin'!W86,"&gt;500",'remet-kin'!W86,"&lt;=1000")</f>
        <v>0</v>
      </c>
      <c r="M32">
        <f>COUNTIFS('remet-kin'!W86,"&gt;1000")</f>
        <v>1</v>
      </c>
      <c r="N32">
        <f>COUNTIF('remet-kin'!X86,"&lt;=100")</f>
        <v>0</v>
      </c>
      <c r="O32">
        <f>COUNTIFS('remet-kin'!X86,"&gt;100",'remet-kin'!X86,"&lt;=1000")</f>
        <v>1</v>
      </c>
      <c r="P32">
        <f>COUNTIFS('remet-kin'!X86,"&gt;1000",'remet-kin'!X86,"&lt;=10000")</f>
        <v>0</v>
      </c>
      <c r="Q32">
        <f>COUNTIFS('remet-kin'!X86,"&gt;10000")</f>
        <v>0</v>
      </c>
      <c r="R32">
        <f>COUNTIF('remet-kin'!AM86,"=0.11")</f>
        <v>0</v>
      </c>
      <c r="S32">
        <f>COUNTIFS('remet-kin'!AM86,"0.13")</f>
        <v>0</v>
      </c>
      <c r="T32">
        <f>COUNTIFS('remet-kin'!AM86,"0.16")</f>
        <v>1</v>
      </c>
      <c r="U32">
        <f>COUNTIFS('remet-kin'!AM86,"=0.22")</f>
        <v>0</v>
      </c>
      <c r="V32">
        <f>COUNTIF('remet-kin'!Y86,"=1")</f>
        <v>0</v>
      </c>
      <c r="W32">
        <f>COUNTIF('remet-kin'!Y86,"&gt;1")</f>
        <v>1</v>
      </c>
      <c r="X32">
        <f>COUNTIF('remet-kin'!AS86,"=1")</f>
        <v>0</v>
      </c>
      <c r="Y32">
        <f>COUNTIF('remet-kin'!AT86,"=1")</f>
        <v>0</v>
      </c>
      <c r="Z32">
        <f t="shared" si="2"/>
        <v>1</v>
      </c>
      <c r="AA32">
        <f>COUNTIF('remet-kin'!AW86,"=1")</f>
        <v>0</v>
      </c>
      <c r="AB32">
        <f>COUNTIF('remet-kin'!AX86,"=1")</f>
        <v>0</v>
      </c>
      <c r="AC32">
        <f>COUNTIF('remet-kin'!AY86,"=1")</f>
        <v>1</v>
      </c>
      <c r="AD32">
        <f>COUNTIF('remet-kin'!BF86,"=1")</f>
        <v>0</v>
      </c>
      <c r="AE32">
        <f t="shared" si="0"/>
        <v>1</v>
      </c>
      <c r="AF32">
        <f>COUNTIF('remet-kin'!BG86,"=1")</f>
        <v>0</v>
      </c>
      <c r="AG32">
        <f t="shared" si="1"/>
        <v>1</v>
      </c>
    </row>
    <row r="33" spans="1:33">
      <c r="A33" t="s">
        <v>63</v>
      </c>
      <c r="B33" t="s">
        <v>52</v>
      </c>
      <c r="C33" t="s">
        <v>23</v>
      </c>
      <c r="D33" t="s">
        <v>23</v>
      </c>
      <c r="F33">
        <f>COUNTIF('remet-kin'!Q87,"&lt;=10")</f>
        <v>0</v>
      </c>
      <c r="G33">
        <f>COUNTIFS('remet-kin'!Q87,"&gt;10",'remet-kin'!Q87,"&lt;=25")</f>
        <v>1</v>
      </c>
      <c r="H33">
        <f>COUNTIFS('remet-kin'!Q87,"&gt;25",'remet-kin'!Q87,"&lt;=100")</f>
        <v>0</v>
      </c>
      <c r="I33">
        <f>COUNTIFS('remet-kin'!Q87,"&gt;100")</f>
        <v>0</v>
      </c>
      <c r="J33">
        <f>COUNTIF('remet-kin'!W87,"&lt;=100")</f>
        <v>0</v>
      </c>
      <c r="K33">
        <f>COUNTIFS('remet-kin'!W87,"&gt;100",'remet-kin'!W87,"&lt;=500")</f>
        <v>0</v>
      </c>
      <c r="L33">
        <f>COUNTIFS('remet-kin'!W87,"&gt;500",'remet-kin'!W87,"&lt;=1000")</f>
        <v>0</v>
      </c>
      <c r="M33">
        <f>COUNTIFS('remet-kin'!W87,"&gt;1000")</f>
        <v>1</v>
      </c>
      <c r="N33">
        <f>COUNTIF('remet-kin'!X87,"&lt;=100")</f>
        <v>0</v>
      </c>
      <c r="O33">
        <f>COUNTIFS('remet-kin'!X87,"&gt;100",'remet-kin'!X87,"&lt;=1000")</f>
        <v>1</v>
      </c>
      <c r="P33">
        <f>COUNTIFS('remet-kin'!X87,"&gt;1000",'remet-kin'!X87,"&lt;=10000")</f>
        <v>0</v>
      </c>
      <c r="Q33">
        <f>COUNTIFS('remet-kin'!X87,"&gt;10000")</f>
        <v>0</v>
      </c>
      <c r="R33">
        <f>COUNTIF('remet-kin'!AM87,"=0.11")</f>
        <v>0</v>
      </c>
      <c r="S33">
        <f>COUNTIFS('remet-kin'!AM87,"0.13")</f>
        <v>0</v>
      </c>
      <c r="T33">
        <f>COUNTIFS('remet-kin'!AM87,"0.16")</f>
        <v>1</v>
      </c>
      <c r="U33">
        <f>COUNTIFS('remet-kin'!AM87,"=0.22")</f>
        <v>0</v>
      </c>
      <c r="V33">
        <f>COUNTIF('remet-kin'!Y87,"=1")</f>
        <v>0</v>
      </c>
      <c r="W33">
        <f>COUNTIF('remet-kin'!Y87,"&gt;1")</f>
        <v>1</v>
      </c>
      <c r="X33">
        <f>COUNTIF('remet-kin'!AS87,"=1")</f>
        <v>0</v>
      </c>
      <c r="Y33">
        <f>COUNTIF('remet-kin'!AT87,"=1")</f>
        <v>0</v>
      </c>
      <c r="Z33">
        <f t="shared" si="2"/>
        <v>1</v>
      </c>
      <c r="AA33">
        <f>COUNTIF('remet-kin'!AW87,"=1")</f>
        <v>0</v>
      </c>
      <c r="AB33">
        <f>COUNTIF('remet-kin'!AX87,"=1")</f>
        <v>0</v>
      </c>
      <c r="AC33">
        <f>COUNTIF('remet-kin'!AY87,"=1")</f>
        <v>1</v>
      </c>
      <c r="AD33">
        <f>COUNTIF('remet-kin'!BF87,"=1")</f>
        <v>0</v>
      </c>
      <c r="AE33">
        <f t="shared" si="0"/>
        <v>1</v>
      </c>
      <c r="AF33">
        <f>COUNTIF('remet-kin'!BG87,"=1")</f>
        <v>0</v>
      </c>
      <c r="AG33">
        <f t="shared" si="1"/>
        <v>1</v>
      </c>
    </row>
    <row r="34" spans="1:33">
      <c r="A34" t="s">
        <v>63</v>
      </c>
      <c r="B34" t="s">
        <v>52</v>
      </c>
      <c r="C34" t="s">
        <v>24</v>
      </c>
      <c r="D34" t="s">
        <v>24</v>
      </c>
      <c r="F34">
        <f>COUNTIF('remet-kin'!Q88,"&lt;=10")</f>
        <v>0</v>
      </c>
      <c r="G34">
        <f>COUNTIFS('remet-kin'!Q88,"&gt;10",'remet-kin'!Q88,"&lt;=25")</f>
        <v>1</v>
      </c>
      <c r="H34">
        <f>COUNTIFS('remet-kin'!Q88,"&gt;25",'remet-kin'!Q88,"&lt;=100")</f>
        <v>0</v>
      </c>
      <c r="I34">
        <f>COUNTIFS('remet-kin'!Q88,"&gt;100")</f>
        <v>0</v>
      </c>
      <c r="J34">
        <f>COUNTIF('remet-kin'!W88,"&lt;=100")</f>
        <v>0</v>
      </c>
      <c r="K34">
        <f>COUNTIFS('remet-kin'!W88,"&gt;100",'remet-kin'!W88,"&lt;=500")</f>
        <v>0</v>
      </c>
      <c r="L34">
        <f>COUNTIFS('remet-kin'!W88,"&gt;500",'remet-kin'!W88,"&lt;=1000")</f>
        <v>0</v>
      </c>
      <c r="M34">
        <f>COUNTIFS('remet-kin'!W88,"&gt;1000")</f>
        <v>1</v>
      </c>
      <c r="N34">
        <f>COUNTIF('remet-kin'!X88,"&lt;=100")</f>
        <v>0</v>
      </c>
      <c r="O34">
        <f>COUNTIFS('remet-kin'!X88,"&gt;100",'remet-kin'!X88,"&lt;=1000")</f>
        <v>1</v>
      </c>
      <c r="P34">
        <f>COUNTIFS('remet-kin'!X88,"&gt;1000",'remet-kin'!X88,"&lt;=10000")</f>
        <v>0</v>
      </c>
      <c r="Q34">
        <f>COUNTIFS('remet-kin'!X88,"&gt;10000")</f>
        <v>0</v>
      </c>
      <c r="R34">
        <f>COUNTIF('remet-kin'!AM88,"=0.11")</f>
        <v>0</v>
      </c>
      <c r="S34">
        <f>COUNTIFS('remet-kin'!AM88,"0.13")</f>
        <v>0</v>
      </c>
      <c r="T34">
        <f>COUNTIFS('remet-kin'!AM88,"0.16")</f>
        <v>1</v>
      </c>
      <c r="U34">
        <f>COUNTIFS('remet-kin'!AM88,"=0.22")</f>
        <v>0</v>
      </c>
      <c r="V34">
        <f>COUNTIF('remet-kin'!Y88,"=1")</f>
        <v>0</v>
      </c>
      <c r="W34">
        <f>COUNTIF('remet-kin'!Y88,"&gt;1")</f>
        <v>1</v>
      </c>
      <c r="X34">
        <f>COUNTIF('remet-kin'!AS88,"=1")</f>
        <v>0</v>
      </c>
      <c r="Y34">
        <f>COUNTIF('remet-kin'!AT88,"=1")</f>
        <v>0</v>
      </c>
      <c r="Z34">
        <f t="shared" si="2"/>
        <v>1</v>
      </c>
      <c r="AA34">
        <f>COUNTIF('remet-kin'!AW88,"=1")</f>
        <v>0</v>
      </c>
      <c r="AB34">
        <f>COUNTIF('remet-kin'!AX88,"=1")</f>
        <v>0</v>
      </c>
      <c r="AC34">
        <f>COUNTIF('remet-kin'!AY88,"=1")</f>
        <v>1</v>
      </c>
      <c r="AD34">
        <f>COUNTIF('remet-kin'!BF88,"=1")</f>
        <v>0</v>
      </c>
      <c r="AE34">
        <f t="shared" si="0"/>
        <v>1</v>
      </c>
      <c r="AF34">
        <f>COUNTIF('remet-kin'!BG88,"=1")</f>
        <v>0</v>
      </c>
      <c r="AG34">
        <f t="shared" si="1"/>
        <v>1</v>
      </c>
    </row>
    <row r="35" spans="1:33">
      <c r="A35" t="s">
        <v>63</v>
      </c>
      <c r="B35" t="s">
        <v>53</v>
      </c>
      <c r="C35" t="s">
        <v>3540</v>
      </c>
      <c r="D35" t="s">
        <v>3540</v>
      </c>
      <c r="F35">
        <f>COUNTIF('remet-kin'!Q90:'remet-kin'!Q104,"&lt;=10")/COUNT('remet-kin'!Q90:'remet-kin'!Q104)</f>
        <v>0.13333333333333333</v>
      </c>
      <c r="G35">
        <f>COUNTIFS('remet-kin'!Q90:'remet-kin'!Q104,"&gt;10",'remet-kin'!Q90:'remet-kin'!Q104,"&lt;=25")/COUNT('remet-kin'!Q90:'remet-kin'!Q104)</f>
        <v>0.8666666666666667</v>
      </c>
      <c r="H35">
        <f>COUNTIFS('remet-kin'!Q90:'remet-kin'!Q104,"&gt;25",'remet-kin'!Q90:'remet-kin'!Q104,"&lt;=100")/COUNT('remet-kin'!Q90:'remet-kin'!Q104)</f>
        <v>0</v>
      </c>
      <c r="I35">
        <f>COUNTIFS('remet-kin'!Q90:'remet-kin'!Q104,"&gt;100")/COUNT('remet-kin'!Q90:'remet-kin'!Q104)</f>
        <v>0</v>
      </c>
      <c r="J35">
        <f>COUNTIF('remet-kin'!W90:'remet-kin'!W104,"&lt;=100")/COUNT('remet-kin'!W90:'remet-kin'!W104)</f>
        <v>0</v>
      </c>
      <c r="K35">
        <f>COUNTIFS('remet-kin'!W90:'remet-kin'!W104,"&gt;100",'remet-kin'!W90:'remet-kin'!W104,"&lt;=500")/COUNT('remet-kin'!W90:'remet-kin'!W104)</f>
        <v>0.13333333333333333</v>
      </c>
      <c r="L35">
        <f>COUNTIFS('remet-kin'!W90:'remet-kin'!W104,"&gt;500",'remet-kin'!W90:'remet-kin'!W104,"&lt;=1000")/COUNT('remet-kin'!W90:'remet-kin'!W104)</f>
        <v>0.73333333333333328</v>
      </c>
      <c r="M35">
        <f>COUNTIFS('remet-kin'!W90:'remet-kin'!W104,"&gt;1000")/COUNT('remet-kin'!W90:'remet-kin'!W104)</f>
        <v>0.13333333333333333</v>
      </c>
      <c r="N35">
        <f>COUNTIF('remet-kin'!X90:'remet-kin'!X104,"&lt;=100")/COUNT('remet-kin'!X90:'remet-kin'!X104)</f>
        <v>6.6666666666666666E-2</v>
      </c>
      <c r="O35">
        <f>COUNTIFS('remet-kin'!X90:'remet-kin'!X104,"&gt;100",'remet-kin'!X90:'remet-kin'!X104,"&lt;=1000")/COUNT('remet-kin'!X90:'remet-kin'!X104)</f>
        <v>0.93333333333333335</v>
      </c>
      <c r="P35">
        <f>COUNTIFS('remet-kin'!X90:'remet-kin'!X104,"&gt;1000",'remet-kin'!X90:'remet-kin'!X104,"&lt;=10000")/COUNT('remet-kin'!X90:'remet-kin'!X104)</f>
        <v>0</v>
      </c>
      <c r="Q35">
        <f>COUNTIFS('remet-kin'!X90:'remet-kin'!X104,"&gt;10000")/COUNT('remet-kin'!X90:'remet-kin'!X104)</f>
        <v>0</v>
      </c>
      <c r="R35">
        <f>COUNTIF('remet-kin'!AM90:'remet-kin'!AM104,"=0.11")/COUNT('remet-kin'!AM90:'remet-kin'!AM104)</f>
        <v>0</v>
      </c>
      <c r="S35">
        <f>COUNTIF('remet-kin'!AM90:'remet-kin'!AM104,"=0.13")/COUNT('remet-kin'!AM90:'remet-kin'!AM104)</f>
        <v>0</v>
      </c>
      <c r="T35">
        <f>COUNTIFS('remet-kin'!AM90:'remet-kin'!AM104,"0.16")/COUNT('remet-kin'!AM90:'remet-kin'!AM104)</f>
        <v>1</v>
      </c>
      <c r="U35">
        <f>COUNTIFS('remet-kin'!AM90:'remet-kin'!AM104,"=0.22")/COUNT('remet-kin'!AM90:'remet-kin'!AM104)</f>
        <v>0</v>
      </c>
      <c r="V35">
        <f>COUNTIF('remet-kin'!Y90:'remet-kin'!Y104,"=1")/COUNT('remet-kin'!Y90:'remet-kin'!Y104)</f>
        <v>0.13333333333333333</v>
      </c>
      <c r="W35">
        <f>COUNTIF('remet-kin'!Y90:'remet-kin'!Y104,"&gt;1")/COUNT('remet-kin'!Y90:'remet-kin'!Y104)</f>
        <v>0.8666666666666667</v>
      </c>
      <c r="X35">
        <f>COUNTIF('remet-kin'!AS90:'remet-kin'!AS104,"=1")/COUNT('remet-kin'!AS90:'remet-kin'!AS104)</f>
        <v>0</v>
      </c>
      <c r="Y35">
        <f>COUNTIF('remet-kin'!AT90:'remet-kin'!AT104,"=1")/COUNT('remet-kin'!AT90:'remet-kin'!AT104)</f>
        <v>0</v>
      </c>
      <c r="Z35">
        <f t="shared" si="2"/>
        <v>1</v>
      </c>
      <c r="AA35">
        <f>COUNTIF('remet-kin'!AW90:'remet-kin'!AW104,"=1")/COUNT('remet-kin'!AW90:'remet-kin'!AW104)</f>
        <v>0</v>
      </c>
      <c r="AB35">
        <f>COUNTIF('remet-kin'!AX90:'remet-kin'!AX104,"=1")/COUNT('remet-kin'!AX90:'remet-kin'!AX104)</f>
        <v>0</v>
      </c>
      <c r="AC35">
        <f>COUNTIF('remet-kin'!AY90:'remet-kin'!AY104,"=1")/COUNT('remet-kin'!AY90:'remet-kin'!AY104)</f>
        <v>1</v>
      </c>
      <c r="AD35">
        <f>COUNTIF('remet-kin'!BF90:'remet-kin'!BF104,"=1")/COUNT('remet-kin'!BF90:'remet-kin'!BF104)</f>
        <v>0</v>
      </c>
      <c r="AE35">
        <f t="shared" si="0"/>
        <v>1</v>
      </c>
      <c r="AF35">
        <f>COUNTIF('remet-kin'!BG90:'remet-kin'!BG104,"=1")/COUNT('remet-kin'!BG90:'remet-kin'!BG104)</f>
        <v>0</v>
      </c>
      <c r="AG35">
        <f t="shared" si="1"/>
        <v>1</v>
      </c>
    </row>
    <row r="36" spans="1:33">
      <c r="A36" t="s">
        <v>63</v>
      </c>
      <c r="B36" t="s">
        <v>54</v>
      </c>
      <c r="C36" t="s">
        <v>25</v>
      </c>
      <c r="D36" t="s">
        <v>25</v>
      </c>
      <c r="F36">
        <f>COUNTIF('remet-kin'!Q115:'remet-kin'!Q117,"&lt;=10")/COUNT('remet-kin'!Q115:'remet-kin'!Q117)</f>
        <v>0.33333333333333331</v>
      </c>
      <c r="G36">
        <f>COUNTIFS('remet-kin'!Q115:'remet-kin'!Q117,"&gt;10",'remet-kin'!Q115:'remet-kin'!Q117,"&lt;=25")/COUNT('remet-kin'!Q115:'remet-kin'!Q117)</f>
        <v>0.66666666666666663</v>
      </c>
      <c r="H36">
        <f>COUNTIFS('remet-kin'!Q115:'remet-kin'!Q117,"&gt;25",'remet-kin'!Q115:'remet-kin'!Q117,"&lt;=100")/COUNT('remet-kin'!Q115:'remet-kin'!Q117)</f>
        <v>0</v>
      </c>
      <c r="I36">
        <f>COUNTIFS('remet-kin'!Q115:'remet-kin'!Q117,"&gt;100")/COUNT('remet-kin'!Q115:'remet-kin'!Q117)</f>
        <v>0</v>
      </c>
      <c r="J36">
        <f>COUNTIF('remet-kin'!W115:'remet-kin'!W117,"&lt;=100")/COUNT('remet-kin'!W115:'remet-kin'!W117)</f>
        <v>0</v>
      </c>
      <c r="K36">
        <f>COUNTIFS('remet-kin'!W115:'remet-kin'!W117,"&gt;100",'remet-kin'!W115:'remet-kin'!W117,"&lt;=500")/COUNT('remet-kin'!W115:'remet-kin'!W117)</f>
        <v>0</v>
      </c>
      <c r="L36">
        <f>COUNTIFS('remet-kin'!W115:'remet-kin'!W117,"&gt;500",'remet-kin'!W115:'remet-kin'!W117,"&lt;=1000")/COUNT('remet-kin'!W115:'remet-kin'!W117)</f>
        <v>0.33333333333333331</v>
      </c>
      <c r="M36">
        <f>COUNTIFS('remet-kin'!W115:'remet-kin'!W117,"&gt;1000")/COUNT('remet-kin'!W115:'remet-kin'!W117)</f>
        <v>0.66666666666666663</v>
      </c>
      <c r="N36">
        <f>COUNTIF('remet-kin'!X115:'remet-kin'!X117,"&lt;=100")/COUNT('remet-kin'!X115:'remet-kin'!X117)</f>
        <v>0.33333333333333331</v>
      </c>
      <c r="O36">
        <f>COUNTIFS('remet-kin'!X115:'remet-kin'!X117,"&gt;100",'remet-kin'!X115:'remet-kin'!X117,"&lt;=1000")/COUNT('remet-kin'!X115:'remet-kin'!X1117)</f>
        <v>0</v>
      </c>
      <c r="P36">
        <f>COUNTIFS('remet-kin'!X115:'remet-kin'!X117,"&gt;1000",'remet-kin'!X115:'remet-kin'!X117,"&lt;=10000")/COUNT('remet-kin'!X115:'remet-kin'!X117)</f>
        <v>0.66666666666666663</v>
      </c>
      <c r="Q36">
        <f>COUNTIFS('remet-kin'!X115:'remet-kin'!X117,"&gt;10000")/COUNT('remet-kin'!X115:'remet-kin'!X117)</f>
        <v>0</v>
      </c>
      <c r="R36">
        <f>COUNTIF('remet-kin'!AM115:'remet-kin'!AM117,"=0.11")/COUNT('remet-kin'!AM115:'remet-kin'!AM117)</f>
        <v>0</v>
      </c>
      <c r="S36">
        <f>COUNTIF('remet-kin'!AM115:'remet-kin'!AM117,"=0.13")/COUNT('remet-kin'!AM115:'remet-kin'!AM117)</f>
        <v>0</v>
      </c>
      <c r="T36">
        <f>COUNTIFS('remet-kin'!AM115:'remet-kin'!AM117,"0.16")/COUNT('remet-kin'!AM115:'remet-kin'!AM117)</f>
        <v>1</v>
      </c>
      <c r="U36">
        <f>COUNTIFS('remet-kin'!AM115:'remet-kin'!AM117,"=0.22")/COUNT('remet-kin'!AM115:'remet-kin'!AM117)</f>
        <v>0</v>
      </c>
      <c r="V36">
        <f>COUNTIF('remet-kin'!Y115:'remet-kin'!Y117,"=1")/COUNT('remet-kin'!Y115:'remet-kin'!Y117)</f>
        <v>1</v>
      </c>
      <c r="W36">
        <f>COUNTIF('remet-kin'!Y115:'remet-kin'!Y117,"&gt;1")/COUNT('remet-kin'!Y115:'remet-kin'!Y117)</f>
        <v>0</v>
      </c>
      <c r="X36">
        <f>COUNTIF('remet-kin'!AS115:'remet-kin'!AS117,"=1")/COUNT('remet-kin'!AS115:'remet-kin'!AS117)</f>
        <v>0</v>
      </c>
      <c r="Y36">
        <f>COUNTIF('remet-kin'!AT115:'remet-kin'!AT117,"=1")/COUNT('remet-kin'!AT115:'remet-kin'!AT117)</f>
        <v>0</v>
      </c>
      <c r="Z36">
        <f t="shared" ref="Z36:Z42" si="3">1-X36-Y36</f>
        <v>1</v>
      </c>
      <c r="AA36">
        <f>COUNTIF('remet-kin'!AW115:'remet-kin'!AW117,"=1")/COUNT('remet-kin'!AW115:'remet-kin'!AW117)</f>
        <v>0</v>
      </c>
      <c r="AB36">
        <f>COUNTIF('remet-kin'!AX115:'remet-kin'!AX117,"=1")/COUNT('remet-kin'!AX115:'remet-kin'!AX117)</f>
        <v>0</v>
      </c>
      <c r="AC36">
        <f>COUNTIF('remet-kin'!AY115:'remet-kin'!AY117,"=1")/COUNT('remet-kin'!AY115:'remet-kin'!AY117)</f>
        <v>1</v>
      </c>
      <c r="AD36">
        <f>COUNTIF('remet-kin'!BF115:'remet-kin'!BF117,"=1")/COUNT('remet-kin'!BF115:'remet-kin'!BF117)</f>
        <v>0</v>
      </c>
      <c r="AE36">
        <f t="shared" si="0"/>
        <v>1</v>
      </c>
      <c r="AF36">
        <f>COUNTIF('remet-kin'!BG115:'remet-kin'!BG117,"=1")/COUNT('remet-kin'!BG115:'remet-kin'!BG117)</f>
        <v>0</v>
      </c>
      <c r="AG36">
        <f t="shared" si="1"/>
        <v>1</v>
      </c>
    </row>
    <row r="37" spans="1:33">
      <c r="A37" t="s">
        <v>63</v>
      </c>
      <c r="B37" t="s">
        <v>54</v>
      </c>
      <c r="C37" t="s">
        <v>26</v>
      </c>
      <c r="D37" t="s">
        <v>26</v>
      </c>
      <c r="F37">
        <f>COUNTIF('remet-kin'!Q118,"&lt;=10")</f>
        <v>1</v>
      </c>
      <c r="G37">
        <f>COUNTIFS('remet-kin'!Q118,"&gt;10",'remet-kin'!Q118,"&lt;=25")</f>
        <v>0</v>
      </c>
      <c r="H37">
        <f>COUNTIFS('remet-kin'!Q118,"&gt;25",'remet-kin'!Q118,"&lt;=100")</f>
        <v>0</v>
      </c>
      <c r="I37">
        <f>COUNTIFS('remet-kin'!Q118,"&gt;100")</f>
        <v>0</v>
      </c>
      <c r="J37">
        <f>COUNTIF('remet-kin'!W118,"&lt;=100")</f>
        <v>0</v>
      </c>
      <c r="K37">
        <f>COUNTIFS('remet-kin'!W118,"&gt;100",'remet-kin'!W118,"&lt;=500")</f>
        <v>0</v>
      </c>
      <c r="L37">
        <f>COUNTIFS('remet-kin'!W118,"&gt;500",'remet-kin'!W118,"&lt;=1000")</f>
        <v>0</v>
      </c>
      <c r="M37">
        <f>COUNTIFS('remet-kin'!W118,"&gt;1000")</f>
        <v>1</v>
      </c>
      <c r="N37">
        <f>COUNTIF('remet-kin'!X118,"&lt;=100")</f>
        <v>0</v>
      </c>
      <c r="O37">
        <f>COUNTIFS('remet-kin'!X118,"&gt;100",'remet-kin'!X118,"&lt;=1000")</f>
        <v>1</v>
      </c>
      <c r="P37">
        <f>COUNTIFS('remet-kin'!X118,"&gt;1000",'remet-kin'!X118,"&lt;=10000")</f>
        <v>0</v>
      </c>
      <c r="Q37">
        <f>COUNTIFS('remet-kin'!X118,"&gt;10000")</f>
        <v>0</v>
      </c>
      <c r="R37">
        <f>COUNTIF('remet-kin'!AM118,"=0.11")</f>
        <v>0</v>
      </c>
      <c r="S37">
        <f>COUNTIFS('remet-kin'!AM118,"0.13")</f>
        <v>0</v>
      </c>
      <c r="T37">
        <f>COUNTIFS('remet-kin'!AM118,"0.16")</f>
        <v>1</v>
      </c>
      <c r="U37">
        <f>COUNTIFS('remet-kin'!AM118,"=0.22")</f>
        <v>0</v>
      </c>
      <c r="V37">
        <f>COUNTIF('remet-kin'!Y118,"=1")</f>
        <v>1</v>
      </c>
      <c r="W37">
        <f>COUNTIF('remet-kin'!Y118,"&gt;1")</f>
        <v>0</v>
      </c>
      <c r="X37">
        <f>COUNTIF('remet-kin'!AS118,"=1")</f>
        <v>0</v>
      </c>
      <c r="Y37">
        <f>COUNTIF('remet-kin'!AT118,"=1")</f>
        <v>0</v>
      </c>
      <c r="Z37">
        <f t="shared" si="3"/>
        <v>1</v>
      </c>
      <c r="AA37">
        <f>COUNTIF('remet-kin'!AW118,"=1")</f>
        <v>0</v>
      </c>
      <c r="AB37">
        <f>COUNTIF('remet-kin'!AX118,"=1")</f>
        <v>0</v>
      </c>
      <c r="AC37">
        <f>COUNTIF('remet-kin'!AY118,"=1")</f>
        <v>1</v>
      </c>
      <c r="AD37">
        <f>COUNTIF('remet-kin'!BF118,"=1")</f>
        <v>0</v>
      </c>
      <c r="AE37">
        <f t="shared" si="0"/>
        <v>1</v>
      </c>
      <c r="AF37">
        <f>COUNTIF('remet-kin'!BG118,"=1")</f>
        <v>0</v>
      </c>
      <c r="AG37">
        <f t="shared" si="1"/>
        <v>1</v>
      </c>
    </row>
    <row r="38" spans="1:33">
      <c r="A38" t="s">
        <v>63</v>
      </c>
      <c r="B38" t="s">
        <v>54</v>
      </c>
      <c r="C38" t="s">
        <v>27</v>
      </c>
      <c r="D38" t="s">
        <v>27</v>
      </c>
      <c r="F38">
        <f>COUNTIF('remet-kin'!Q119,"&lt;=10")</f>
        <v>0</v>
      </c>
      <c r="G38">
        <f>COUNTIFS('remet-kin'!Q119,"&gt;10",'remet-kin'!Q119,"&lt;=25")</f>
        <v>1</v>
      </c>
      <c r="H38">
        <f>COUNTIFS('remet-kin'!Q119,"&gt;25",'remet-kin'!Q119,"&lt;=100")</f>
        <v>0</v>
      </c>
      <c r="I38">
        <f>COUNTIFS('remet-kin'!Q119,"&gt;100")</f>
        <v>0</v>
      </c>
      <c r="J38">
        <f>COUNTIF('remet-kin'!W119,"&lt;=100")</f>
        <v>0</v>
      </c>
      <c r="K38">
        <f>COUNTIFS('remet-kin'!W119,"&gt;100",'remet-kin'!W119,"&lt;=500")</f>
        <v>0</v>
      </c>
      <c r="L38">
        <f>COUNTIFS('remet-kin'!W119,"&gt;500",'remet-kin'!W119,"&lt;=1000")</f>
        <v>0</v>
      </c>
      <c r="M38">
        <f>COUNTIFS('remet-kin'!W119,"&gt;1000")</f>
        <v>1</v>
      </c>
      <c r="N38">
        <f>COUNTIF('remet-kin'!X119,"&lt;=100")</f>
        <v>0</v>
      </c>
      <c r="O38">
        <f>COUNTIFS('remet-kin'!X119,"&gt;100",'remet-kin'!X119,"&lt;=1000")</f>
        <v>1</v>
      </c>
      <c r="P38">
        <f>COUNTIFS('remet-kin'!X119,"&gt;1000",'remet-kin'!X119,"&lt;=10000")</f>
        <v>0</v>
      </c>
      <c r="Q38">
        <f>COUNTIFS('remet-kin'!X119,"&gt;10000")</f>
        <v>0</v>
      </c>
      <c r="R38">
        <f>COUNTIF('remet-kin'!AM119,"=0.11")</f>
        <v>0</v>
      </c>
      <c r="S38">
        <f>COUNTIFS('remet-kin'!AM119,"0.13")</f>
        <v>0</v>
      </c>
      <c r="T38">
        <f>COUNTIFS('remet-kin'!AM119,"0.16")</f>
        <v>1</v>
      </c>
      <c r="U38">
        <f>COUNTIFS('remet-kin'!AM119,"=0.22")</f>
        <v>0</v>
      </c>
      <c r="V38">
        <f>COUNTIF('remet-kin'!Y119,"=1")</f>
        <v>1</v>
      </c>
      <c r="W38">
        <f>COUNTIF('remet-kin'!Y119,"&gt;1")</f>
        <v>0</v>
      </c>
      <c r="X38">
        <f>COUNTIF('remet-kin'!AS119,"=1")</f>
        <v>0</v>
      </c>
      <c r="Y38">
        <f>COUNTIF('remet-kin'!AT119,"=1")</f>
        <v>0</v>
      </c>
      <c r="Z38">
        <f t="shared" si="3"/>
        <v>1</v>
      </c>
      <c r="AA38">
        <f>COUNTIF('remet-kin'!AW119,"=1")</f>
        <v>0</v>
      </c>
      <c r="AB38">
        <f>COUNTIF('remet-kin'!AX119,"=1")</f>
        <v>0</v>
      </c>
      <c r="AC38">
        <f>COUNTIF('remet-kin'!AY119,"=1")</f>
        <v>1</v>
      </c>
      <c r="AD38">
        <f>COUNTIF('remet-kin'!BF119,"=1")</f>
        <v>0</v>
      </c>
      <c r="AE38">
        <f t="shared" si="0"/>
        <v>1</v>
      </c>
      <c r="AF38">
        <f>COUNTIF('remet-kin'!BG119,"=1")</f>
        <v>0</v>
      </c>
      <c r="AG38">
        <f t="shared" si="1"/>
        <v>1</v>
      </c>
    </row>
    <row r="39" spans="1:33">
      <c r="A39" t="s">
        <v>63</v>
      </c>
      <c r="B39" t="s">
        <v>54</v>
      </c>
      <c r="C39" t="s">
        <v>28</v>
      </c>
      <c r="D39" t="s">
        <v>28</v>
      </c>
      <c r="F39">
        <f>COUNTIF('remet-kin'!Q120,"&lt;=10")</f>
        <v>1</v>
      </c>
      <c r="G39">
        <f>COUNTIFS('remet-kin'!Q120,"&gt;10",'remet-kin'!Q120,"&lt;=25")</f>
        <v>0</v>
      </c>
      <c r="H39">
        <f>COUNTIFS('remet-kin'!Q120,"&gt;25",'remet-kin'!Q120,"&lt;=100")</f>
        <v>0</v>
      </c>
      <c r="I39">
        <f>COUNTIFS('remet-kin'!Q120,"&gt;100")</f>
        <v>0</v>
      </c>
      <c r="J39">
        <f>COUNTIF('remet-kin'!W120,"&lt;=100")</f>
        <v>0</v>
      </c>
      <c r="K39">
        <f>COUNTIFS('remet-kin'!W120,"&gt;100",'remet-kin'!W120,"&lt;=500")</f>
        <v>0</v>
      </c>
      <c r="L39">
        <f>COUNTIFS('remet-kin'!W120,"&gt;500",'remet-kin'!W120,"&lt;=1000")</f>
        <v>1</v>
      </c>
      <c r="M39">
        <f>COUNTIFS('remet-kin'!W120,"&gt;1000")</f>
        <v>0</v>
      </c>
      <c r="N39">
        <f>COUNTIF('remet-kin'!X120,"&lt;=100")</f>
        <v>0</v>
      </c>
      <c r="O39">
        <f>COUNTIFS('remet-kin'!X120,"&gt;100",'remet-kin'!X120,"&lt;=1000")</f>
        <v>1</v>
      </c>
      <c r="P39">
        <f>COUNTIFS('remet-kin'!X120,"&gt;1000",'remet-kin'!X120,"&lt;=10000")</f>
        <v>0</v>
      </c>
      <c r="Q39">
        <f>COUNTIFS('remet-kin'!X120,"&gt;10000")</f>
        <v>0</v>
      </c>
      <c r="R39">
        <f>COUNTIF('remet-kin'!AM120,"=0.11")</f>
        <v>0</v>
      </c>
      <c r="S39">
        <f>COUNTIFS('remet-kin'!AM120,"0.13")</f>
        <v>0</v>
      </c>
      <c r="T39">
        <f>COUNTIFS('remet-kin'!AM120,"0.16")</f>
        <v>1</v>
      </c>
      <c r="U39">
        <f>COUNTIFS('remet-kin'!AM120,"=0.22")</f>
        <v>0</v>
      </c>
      <c r="V39">
        <f>COUNTIF('remet-kin'!Y120,"=1")</f>
        <v>1</v>
      </c>
      <c r="W39">
        <f>COUNTIF('remet-kin'!Y120,"&gt;1")</f>
        <v>0</v>
      </c>
      <c r="X39">
        <f>COUNTIF('remet-kin'!AS120,"=1")</f>
        <v>0</v>
      </c>
      <c r="Y39">
        <f>COUNTIF('remet-kin'!AT120,"=1")</f>
        <v>0</v>
      </c>
      <c r="Z39">
        <f t="shared" si="3"/>
        <v>1</v>
      </c>
      <c r="AA39">
        <f>COUNTIF('remet-kin'!AW120,"=1")</f>
        <v>0</v>
      </c>
      <c r="AB39">
        <f>COUNTIF('remet-kin'!AX120,"=1")</f>
        <v>0</v>
      </c>
      <c r="AC39">
        <f>COUNTIF('remet-kin'!AY120,"=1")</f>
        <v>1</v>
      </c>
      <c r="AD39">
        <f>COUNTIF('remet-kin'!BF120,"=1")</f>
        <v>0</v>
      </c>
      <c r="AE39">
        <f t="shared" si="0"/>
        <v>1</v>
      </c>
      <c r="AF39">
        <f>COUNTIF('remet-kin'!BG120,"=1")</f>
        <v>0</v>
      </c>
      <c r="AG39">
        <f t="shared" si="1"/>
        <v>1</v>
      </c>
    </row>
    <row r="40" spans="1:33">
      <c r="A40" t="s">
        <v>63</v>
      </c>
      <c r="B40" t="s">
        <v>55</v>
      </c>
      <c r="C40" t="s">
        <v>3541</v>
      </c>
      <c r="F40">
        <f>COUNTIF('remet-kin'!Q122:'remet-kin'!Q125,"&lt;=10")/COUNT('remet-kin'!Q122:'remet-kin'!Q125)</f>
        <v>1</v>
      </c>
      <c r="G40">
        <f>COUNTIFS('remet-kin'!Q122:'remet-kin'!Q125,"&gt;10",'remet-kin'!Q122:'remet-kin'!Q125,"&lt;=25")/COUNT('remet-kin'!Q122:'remet-kin'!Q125)</f>
        <v>0</v>
      </c>
      <c r="H40">
        <f>COUNTIFS('remet-kin'!Q122:'remet-kin'!Q125,"&gt;25",'remet-kin'!Q122:'remet-kin'!Q125,"&lt;=100")/COUNT('remet-kin'!Q122:'remet-kin'!Q125)</f>
        <v>0</v>
      </c>
      <c r="I40">
        <f>COUNTIFS('remet-kin'!Q122:'remet-kin'!Q125,"&gt;100")/COUNT('remet-kin'!Q122:'remet-kin'!Q125)</f>
        <v>0</v>
      </c>
      <c r="J40">
        <f>COUNTIF('remet-kin'!W122:'remet-kin'!W125,"&lt;=100")/COUNT('remet-kin'!W122:'remet-kin'!W125)</f>
        <v>0.5</v>
      </c>
      <c r="K40">
        <f>COUNTIFS('remet-kin'!W122:'remet-kin'!W125,"&gt;100",'remet-kin'!W122:'remet-kin'!W125,"&lt;=500")/COUNT('remet-kin'!W122:'remet-kin'!W125)</f>
        <v>0.5</v>
      </c>
      <c r="L40">
        <f>COUNTIFS('remet-kin'!W122:'remet-kin'!W125,"&gt;500",'remet-kin'!W122:'remet-kin'!W125,"&lt;=1000")/COUNT('remet-kin'!W122:'remet-kin'!W125)</f>
        <v>0</v>
      </c>
      <c r="M40">
        <f>COUNTIFS('remet-kin'!W122:'remet-kin'!W125,"&gt;1000")/COUNT('remet-kin'!W122:'remet-kin'!W125)</f>
        <v>0</v>
      </c>
      <c r="N40">
        <f>COUNTIF('remet-kin'!X122:'remet-kin'!X125,"&lt;=100")/COUNT('remet-kin'!X122:'remet-kin'!X125)</f>
        <v>0.75</v>
      </c>
      <c r="O40">
        <f>COUNTIFS('remet-kin'!X122:'remet-kin'!X125,"&gt;100",'remet-kin'!X122:'remet-kin'!X125,"&lt;=1000")/COUNT('remet-kin'!X122:'remet-kin'!X125)</f>
        <v>0.25</v>
      </c>
      <c r="P40">
        <f>COUNTIFS('remet-kin'!X122:'remet-kin'!X125,"&gt;1000",'remet-kin'!X122:'remet-kin'!X125,"&lt;=10000")/COUNT('remet-kin'!X122:'remet-kin'!X125)</f>
        <v>0</v>
      </c>
      <c r="Q40">
        <f>COUNTIFS('remet-kin'!X122:'remet-kin'!X125,"&gt;10000")/COUNT('remet-kin'!X122:'remet-kin'!X125)</f>
        <v>0</v>
      </c>
      <c r="R40">
        <f>COUNTIF('remet-kin'!AM122:'remet-kin'!AM125,"=0.11")/COUNT('remet-kin'!AM122:'remet-kin'!AM125)</f>
        <v>0</v>
      </c>
      <c r="S40">
        <f>COUNTIF('remet-kin'!AM122:'remet-kin'!AM125,"=0.13")/COUNT('remet-kin'!AM122:'remet-kin'!AM125)</f>
        <v>0</v>
      </c>
      <c r="T40">
        <f>COUNTIFS('remet-kin'!AM122:'remet-kin'!AM125,"0.16")/COUNT('remet-kin'!AM122:'remet-kin'!AM125)</f>
        <v>1</v>
      </c>
      <c r="U40">
        <f>COUNTIFS('remet-kin'!AM122:'remet-kin'!AM125,"=0.22")/COUNT('remet-kin'!AM122:'remet-kin'!AM125)</f>
        <v>0</v>
      </c>
      <c r="V40">
        <f>COUNTIF('remet-kin'!Y122:'remet-kin'!Y125,"=1")/COUNT('remet-kin'!Y122:'remet-kin'!Y125)</f>
        <v>0</v>
      </c>
      <c r="W40">
        <f>COUNTIF('remet-kin'!Y122:'remet-kin'!Y125,"&gt;1")/COUNT('remet-kin'!Y122:'remet-kin'!Y125)</f>
        <v>1</v>
      </c>
      <c r="X40">
        <f>COUNTIF('remet-kin'!AS122:'remet-kin'!AS125,"=1")/COUNT('remet-kin'!AS122:'remet-kin'!AS125)</f>
        <v>0</v>
      </c>
      <c r="Y40">
        <f>COUNTIF('remet-kin'!AT122:'remet-kin'!AT125,"=1")/COUNT('remet-kin'!AT122:'remet-kin'!AT125)</f>
        <v>0</v>
      </c>
      <c r="Z40">
        <f t="shared" si="3"/>
        <v>1</v>
      </c>
      <c r="AA40">
        <f>COUNTIF('remet-kin'!AW122:'remet-kin'!AW125,"=1")/COUNT('remet-kin'!AW122:'remet-kin'!AW125)</f>
        <v>0</v>
      </c>
      <c r="AB40">
        <f>COUNTIF('remet-kin'!AX122:'remet-kin'!AX125,"=1")/COUNT('remet-kin'!AX122:'remet-kin'!AX125)</f>
        <v>0</v>
      </c>
      <c r="AC40">
        <f>COUNTIF('remet-kin'!AY122:'remet-kin'!AY125,"=1")/COUNT('remet-kin'!AY122:'remet-kin'!AY125)</f>
        <v>1</v>
      </c>
      <c r="AD40">
        <f>COUNTIF('remet-kin'!BF122:'remet-kin'!BF125,"=1")/COUNT('remet-kin'!BF122:'remet-kin'!BF125)</f>
        <v>0</v>
      </c>
      <c r="AE40">
        <f t="shared" si="0"/>
        <v>1</v>
      </c>
      <c r="AF40">
        <f>COUNTIF('remet-kin'!BG122:'remet-kin'!BG125,"=1")/COUNT('remet-kin'!BG122:'remet-kin'!BG125)</f>
        <v>0</v>
      </c>
      <c r="AG40">
        <f t="shared" si="1"/>
        <v>1</v>
      </c>
    </row>
    <row r="41" spans="1:33">
      <c r="A41" t="s">
        <v>3567</v>
      </c>
      <c r="B41" t="s">
        <v>56</v>
      </c>
      <c r="C41" t="s">
        <v>29</v>
      </c>
      <c r="D41" t="s">
        <v>29</v>
      </c>
      <c r="F41">
        <f>COUNTIF('remet-kin'!Q128,"&lt;=10")</f>
        <v>0</v>
      </c>
      <c r="G41">
        <f>COUNTIFS('remet-kin'!Q128,"&gt;10",'remet-kin'!Q128,"&lt;=25")</f>
        <v>0</v>
      </c>
      <c r="H41">
        <f>COUNTIFS('remet-kin'!Q128,"&gt;25",'remet-kin'!Q128,"&lt;=100")</f>
        <v>1</v>
      </c>
      <c r="I41">
        <f>COUNTIFS('remet-kin'!Q128,"&gt;100")</f>
        <v>0</v>
      </c>
      <c r="J41">
        <f>COUNTIF('remet-kin'!W128,"&lt;=100")</f>
        <v>0</v>
      </c>
      <c r="K41">
        <f>COUNTIFS('remet-kin'!W128,"&gt;100",'remet-kin'!W128,"&lt;=500")</f>
        <v>0</v>
      </c>
      <c r="L41">
        <f>COUNTIFS('remet-kin'!W128,"&gt;500",'remet-kin'!W128,"&lt;=1000")</f>
        <v>0</v>
      </c>
      <c r="M41">
        <f>COUNTIFS('remet-kin'!W128,"&gt;1000")</f>
        <v>1</v>
      </c>
      <c r="N41">
        <f>COUNTIF('remet-kin'!X128,"&lt;=100")</f>
        <v>0</v>
      </c>
      <c r="O41">
        <f>COUNTIFS('remet-kin'!X128,"&gt;100",'remet-kin'!X128,"&lt;=1000")</f>
        <v>0</v>
      </c>
      <c r="P41">
        <f>COUNTIFS('remet-kin'!X128,"&gt;1000",'remet-kin'!X128,"&lt;=10000")</f>
        <v>0</v>
      </c>
      <c r="Q41">
        <f>COUNTIFS('remet-kin'!X128,"&gt;10000")</f>
        <v>1</v>
      </c>
      <c r="R41">
        <f>COUNTIF('remet-kin'!AM128,"=0.11")</f>
        <v>0</v>
      </c>
      <c r="S41">
        <f>COUNTIFS('remet-kin'!AM128,"0.13")</f>
        <v>1</v>
      </c>
      <c r="T41">
        <f>COUNTIFS('remet-kin'!AM128,"0.16")</f>
        <v>0</v>
      </c>
      <c r="U41">
        <f>COUNTIFS('remet-kin'!AM128,"=0.22")</f>
        <v>0</v>
      </c>
      <c r="V41">
        <f>COUNTIF('remet-kin'!Y128,"=1")</f>
        <v>1</v>
      </c>
      <c r="W41">
        <f>COUNTIF('remet-kin'!Y128,"&gt;1")</f>
        <v>0</v>
      </c>
      <c r="X41">
        <f>COUNTIF('remet-kin'!AS128,"=1")</f>
        <v>1</v>
      </c>
      <c r="Y41">
        <f>COUNTIF('remet-kin'!AT128,"=1")</f>
        <v>0</v>
      </c>
      <c r="Z41">
        <f t="shared" si="3"/>
        <v>0</v>
      </c>
      <c r="AA41">
        <f>COUNTIF('remet-kin'!AW128,"=1")</f>
        <v>0</v>
      </c>
      <c r="AB41">
        <f>COUNTIF('remet-kin'!AX128,"=1")</f>
        <v>1</v>
      </c>
      <c r="AC41">
        <f>COUNTIF('remet-kin'!AY128,"=1")</f>
        <v>0</v>
      </c>
      <c r="AD41">
        <f>COUNTIF('remet-kin'!BF128,"=1")</f>
        <v>0</v>
      </c>
      <c r="AE41">
        <f t="shared" si="0"/>
        <v>1</v>
      </c>
      <c r="AF41">
        <f>COUNTIF('remet-kin'!BG128,"=1")</f>
        <v>0</v>
      </c>
      <c r="AG41">
        <f t="shared" si="1"/>
        <v>1</v>
      </c>
    </row>
    <row r="42" spans="1:33">
      <c r="A42" t="s">
        <v>64</v>
      </c>
      <c r="B42" t="s">
        <v>57</v>
      </c>
      <c r="C42" t="s">
        <v>30</v>
      </c>
      <c r="F42">
        <f>COUNTIF('remet-kin'!Q130,"&lt;=10")</f>
        <v>0</v>
      </c>
      <c r="G42">
        <f>COUNTIFS('remet-kin'!Q130,"&gt;10",'remet-kin'!Q130,"&lt;=25")</f>
        <v>0</v>
      </c>
      <c r="H42">
        <f>COUNTIFS('remet-kin'!Q130,"&gt;25",'remet-kin'!Q130,"&lt;=100")</f>
        <v>1</v>
      </c>
      <c r="I42">
        <f>COUNTIFS('remet-kin'!Q130,"&gt;100")</f>
        <v>0</v>
      </c>
      <c r="J42">
        <f>COUNTIF('remet-kin'!W130,"&lt;=100")</f>
        <v>0</v>
      </c>
      <c r="K42">
        <f>COUNTIFS('remet-kin'!W130,"&gt;100",'remet-kin'!W130,"&lt;=500")</f>
        <v>0</v>
      </c>
      <c r="L42">
        <f>COUNTIFS('remet-kin'!W130,"&gt;500",'remet-kin'!W130,"&lt;=1000")</f>
        <v>0</v>
      </c>
      <c r="M42">
        <f>COUNTIFS('remet-kin'!W130,"&gt;1000")</f>
        <v>1</v>
      </c>
      <c r="N42">
        <f>COUNTIF('remet-kin'!X130,"&lt;=100")</f>
        <v>0</v>
      </c>
      <c r="O42">
        <f>COUNTIFS('remet-kin'!X130,"&gt;100",'remet-kin'!X130,"&lt;=1000")</f>
        <v>0</v>
      </c>
      <c r="P42">
        <f>COUNTIFS('remet-kin'!X130,"&gt;1000",'remet-kin'!X130,"&lt;=10000")</f>
        <v>1</v>
      </c>
      <c r="Q42">
        <f>COUNTIFS('remet-kin'!X130,"&gt;10000")</f>
        <v>0</v>
      </c>
      <c r="R42">
        <f>COUNTIF('remet-kin'!AM130,"=0.11")</f>
        <v>1</v>
      </c>
      <c r="S42">
        <f>COUNTIFS('remet-kin'!AM130,"0.13")</f>
        <v>0</v>
      </c>
      <c r="T42">
        <f>COUNTIFS('remet-kin'!AM130,"0.16")</f>
        <v>0</v>
      </c>
      <c r="U42">
        <f>COUNTIFS('remet-kin'!AM130,"=0.22")</f>
        <v>0</v>
      </c>
      <c r="V42">
        <f>COUNTIF('remet-kin'!Y130,"=1")</f>
        <v>1</v>
      </c>
      <c r="W42">
        <f>COUNTIF('remet-kin'!Y130,"&gt;1")</f>
        <v>0</v>
      </c>
      <c r="X42">
        <f>COUNTIF('remet-kin'!AS130,"=1")</f>
        <v>1</v>
      </c>
      <c r="Y42">
        <f>COUNTIF('remet-kin'!AT130,"=1")</f>
        <v>0</v>
      </c>
      <c r="Z42">
        <f t="shared" si="3"/>
        <v>0</v>
      </c>
      <c r="AA42">
        <f>COUNTIF('remet-kin'!AW130,"=1")</f>
        <v>0</v>
      </c>
      <c r="AB42">
        <f>COUNTIF('remet-kin'!AX130,"=1")</f>
        <v>1</v>
      </c>
      <c r="AC42">
        <f>COUNTIF('remet-kin'!AY130,"=1")</f>
        <v>0</v>
      </c>
      <c r="AD42">
        <f>COUNTIF('remet-kin'!BF130,"=1")</f>
        <v>0</v>
      </c>
      <c r="AE42">
        <f t="shared" si="0"/>
        <v>1</v>
      </c>
      <c r="AF42">
        <f>COUNTIF('remet-kin'!BG130,"=1")</f>
        <v>0</v>
      </c>
      <c r="AG42">
        <f t="shared" si="1"/>
        <v>1</v>
      </c>
    </row>
    <row r="43" spans="1:33">
      <c r="A43" t="s">
        <v>64</v>
      </c>
      <c r="B43" t="s">
        <v>58</v>
      </c>
      <c r="C43" t="s">
        <v>31</v>
      </c>
      <c r="F43">
        <f>COUNTIF('remet-kin'!Q134:'remet-kin'!Q137,"&lt;=10")/COUNT('remet-kin'!Q134:'remet-kin'!Q137)</f>
        <v>0.5</v>
      </c>
      <c r="G43">
        <f>COUNTIFS('remet-kin'!Q134:'remet-kin'!Q137,"&gt;10",'remet-kin'!Q134:'remet-kin'!Q137,"&lt;=25")/COUNT('remet-kin'!Q134:'remet-kin'!Q137)</f>
        <v>0.5</v>
      </c>
      <c r="H43">
        <f>COUNTIFS('remet-kin'!Q134:'remet-kin'!Q137,"&gt;25",'remet-kin'!Q134:'remet-kin'!Q137,"&lt;=100")/COUNT('remet-kin'!Q134:'remet-kin'!Q137)</f>
        <v>0</v>
      </c>
      <c r="I43">
        <f>COUNTIFS('remet-kin'!Q134:'remet-kin'!Q137,"&gt;100")/COUNT('remet-kin'!Q134:'remet-kin'!Q137)</f>
        <v>0</v>
      </c>
      <c r="J43">
        <f>COUNTIF('remet-kin'!W134:'remet-kin'!W137,"&lt;=100")/COUNT('remet-kin'!W134:'remet-kin'!W137)</f>
        <v>0</v>
      </c>
      <c r="K43">
        <f>COUNTIFS('remet-kin'!W134:'remet-kin'!W137,"&gt;100",'remet-kin'!W134:'remet-kin'!W137,"&lt;=500")/COUNT('remet-kin'!W134:'remet-kin'!W137)</f>
        <v>0.5</v>
      </c>
      <c r="L43">
        <f>COUNTIFS('remet-kin'!W134:'remet-kin'!W137,"&gt;500",'remet-kin'!W134:'remet-kin'!W137,"&lt;=1000")/COUNT('remet-kin'!W134:'remet-kin'!W137)</f>
        <v>0</v>
      </c>
      <c r="M43">
        <f>COUNTIFS('remet-kin'!W134:'remet-kin'!W137,"&gt;1000")/COUNT('remet-kin'!W134:'remet-kin'!W137)</f>
        <v>0.5</v>
      </c>
      <c r="N43">
        <f>COUNTIF('remet-kin'!X134:'remet-kin'!X137,"&lt;=100")/COUNT('remet-kin'!X134:'remet-kin'!X137)</f>
        <v>0.5</v>
      </c>
      <c r="O43">
        <f>COUNTIFS('remet-kin'!X134:'remet-kin'!X137,"&gt;100",'remet-kin'!X134:'remet-kin'!X137,"&lt;=1000")/COUNT('remet-kin'!X134:'remet-kin'!X137)</f>
        <v>0.5</v>
      </c>
      <c r="P43">
        <f>COUNTIFS('remet-kin'!X134:'remet-kin'!X137,"&gt;1000",'remet-kin'!X134:'remet-kin'!X137,"&lt;=10000")/COUNT('remet-kin'!X134:'remet-kin'!X137)</f>
        <v>0</v>
      </c>
      <c r="Q43">
        <f>COUNTIFS('remet-kin'!X134:'remet-kin'!X137,"&gt;10000")/COUNT('remet-kin'!X134:'remet-kin'!X137)</f>
        <v>0</v>
      </c>
      <c r="R43">
        <f>COUNTIF('remet-kin'!AM134:'remet-kin'!AM137,"=0.11")/COUNT('remet-kin'!AM134:'remet-kin'!AM137)</f>
        <v>1</v>
      </c>
      <c r="S43">
        <f>COUNTIF('remet-kin'!AM134:'remet-kin'!AM137,"=0.13")/COUNT('remet-kin'!AM134:'remet-kin'!AM137)</f>
        <v>0</v>
      </c>
      <c r="T43">
        <f>COUNTIFS('remet-kin'!AM134:'remet-kin'!AM137,"0.16")/COUNT('remet-kin'!AM134:'remet-kin'!AM137)</f>
        <v>0</v>
      </c>
      <c r="U43">
        <f>COUNTIFS('remet-kin'!AM134:'remet-kin'!AM137,"=0.22")/COUNT('remet-kin'!AM134:'remet-kin'!AM137)</f>
        <v>0</v>
      </c>
      <c r="V43">
        <f>COUNTIF('remet-kin'!Y134:'remet-kin'!Y137,"=1")/COUNT('remet-kin'!Y134:'remet-kin'!Y137)</f>
        <v>1</v>
      </c>
      <c r="W43">
        <f>COUNTIF('remet-kin'!Y134:'remet-kin'!Y137,"&gt;1")/COUNT('remet-kin'!Y134:'remet-kin'!Y137)</f>
        <v>0</v>
      </c>
      <c r="X43">
        <f>COUNTIF('remet-kin'!AS134:'remet-kin'!AS137,"=1")/COUNT('remet-kin'!AS134:'remet-kin'!AS137)</f>
        <v>1</v>
      </c>
      <c r="Y43">
        <f>COUNTIF('remet-kin'!AT134:'remet-kin'!AT137,"=1")/COUNT('remet-kin'!AT134:'remet-kin'!AT137)</f>
        <v>0</v>
      </c>
      <c r="Z43">
        <f>1-X43-Y43</f>
        <v>0</v>
      </c>
      <c r="AA43">
        <f>COUNTIF('remet-kin'!AW134:'remet-kin'!AW137,"=1")/COUNT('remet-kin'!AW134:'remet-kin'!AW137)</f>
        <v>0</v>
      </c>
      <c r="AB43">
        <f>COUNTIF('remet-kin'!AX134:'remet-kin'!AX137,"=1")/COUNT('remet-kin'!AX134:'remet-kin'!AX137)</f>
        <v>1</v>
      </c>
      <c r="AC43">
        <f>COUNTIF('remet-kin'!AY134:'remet-kin'!AY137,"=1")/COUNT('remet-kin'!AY134:'remet-kin'!AY137)</f>
        <v>0</v>
      </c>
      <c r="AD43">
        <f>COUNTIF('remet-kin'!BF134:'remet-kin'!BF137,"=1")/COUNT('remet-kin'!BF134:'remet-kin'!BF137)</f>
        <v>0</v>
      </c>
      <c r="AE43">
        <f t="shared" si="0"/>
        <v>1</v>
      </c>
      <c r="AF43">
        <f>COUNTIF('remet-kin'!BG134:'remet-kin'!BG137,"=1")/COUNT('remet-kin'!BG134:'remet-kin'!BG137)</f>
        <v>0</v>
      </c>
      <c r="AG43">
        <f t="shared" si="1"/>
        <v>1</v>
      </c>
    </row>
  </sheetData>
  <mergeCells count="9">
    <mergeCell ref="AF1:AG1"/>
    <mergeCell ref="AA1:AC1"/>
    <mergeCell ref="R1:U1"/>
    <mergeCell ref="X1:Z1"/>
    <mergeCell ref="F1:I1"/>
    <mergeCell ref="J1:M1"/>
    <mergeCell ref="N1:Q1"/>
    <mergeCell ref="V1:W1"/>
    <mergeCell ref="AD1:AE1"/>
  </mergeCells>
  <phoneticPr fontId="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C5C8A-4B58-DB43-B0E8-3B7190A37B2A}">
  <dimension ref="A1:BH138"/>
  <sheetViews>
    <sheetView topLeftCell="A60" zoomScale="78" workbookViewId="0">
      <selection activeCell="A7" sqref="A7:XFD7"/>
    </sheetView>
  </sheetViews>
  <sheetFormatPr baseColWidth="10" defaultRowHeight="16"/>
  <cols>
    <col min="1" max="1" width="19.5" customWidth="1"/>
  </cols>
  <sheetData>
    <row r="1" spans="1:60"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c r="BF1" s="20" t="s">
        <v>3572</v>
      </c>
      <c r="BG1" s="60" t="s">
        <v>3575</v>
      </c>
      <c r="BH1" s="20" t="s">
        <v>3723</v>
      </c>
    </row>
    <row r="2" spans="1:60" s="22" customFormat="1" ht="13">
      <c r="A2" s="21" t="s">
        <v>1498</v>
      </c>
      <c r="B2" s="22" t="s">
        <v>663</v>
      </c>
      <c r="C2" s="23" t="s">
        <v>822</v>
      </c>
      <c r="D2" s="23" t="s">
        <v>965</v>
      </c>
      <c r="E2" s="22" t="s">
        <v>62</v>
      </c>
      <c r="F2" s="23" t="s">
        <v>1499</v>
      </c>
      <c r="G2" s="23" t="s">
        <v>1500</v>
      </c>
      <c r="H2" s="23" t="s">
        <v>1501</v>
      </c>
      <c r="I2" s="22" t="s">
        <v>1502</v>
      </c>
      <c r="J2" s="22" t="s">
        <v>1503</v>
      </c>
      <c r="N2" s="22" t="s">
        <v>1504</v>
      </c>
      <c r="O2" s="22" t="s">
        <v>1430</v>
      </c>
      <c r="P2" s="21">
        <v>70710</v>
      </c>
      <c r="Q2" s="21">
        <v>65</v>
      </c>
      <c r="R2" s="21">
        <v>2</v>
      </c>
      <c r="S2" s="21">
        <v>2</v>
      </c>
      <c r="T2" s="22" t="s">
        <v>330</v>
      </c>
      <c r="U2" s="21">
        <v>1</v>
      </c>
      <c r="V2" s="22">
        <v>1</v>
      </c>
      <c r="W2" s="25">
        <f>(Q2*R2*2+Q2*S2*2+R2*S2*2)/V2</f>
        <v>528</v>
      </c>
      <c r="X2" s="25">
        <f>Q2*R2*S2*U2</f>
        <v>260</v>
      </c>
      <c r="Y2" s="22">
        <v>1</v>
      </c>
      <c r="Z2" s="24">
        <f>Y2*W2</f>
        <v>528</v>
      </c>
      <c r="AA2" s="24">
        <f>Y2*X2</f>
        <v>260</v>
      </c>
      <c r="AB2" s="21"/>
      <c r="AC2" s="21"/>
      <c r="AD2" s="21"/>
      <c r="AF2" s="21" t="s">
        <v>247</v>
      </c>
      <c r="AH2" s="25"/>
      <c r="AI2" s="25"/>
      <c r="AJ2" s="21">
        <v>260</v>
      </c>
      <c r="AK2" s="21">
        <v>130</v>
      </c>
      <c r="AL2" s="22" t="s">
        <v>161</v>
      </c>
      <c r="AM2" s="22">
        <v>0.11</v>
      </c>
      <c r="AN2" s="22" t="s">
        <v>1505</v>
      </c>
      <c r="AO2" s="22" t="s">
        <v>1505</v>
      </c>
      <c r="AP2" s="22" t="s">
        <v>1432</v>
      </c>
      <c r="AQ2" s="22" t="str">
        <f>IF(AND($AK2&lt;20,AJ2&lt;10000),"Nanophytoplankton","Microphytoplankton")</f>
        <v>Microphytoplankton</v>
      </c>
      <c r="AR2" s="22">
        <v>0</v>
      </c>
      <c r="AS2" s="22">
        <v>0</v>
      </c>
      <c r="AT2" s="22">
        <v>0</v>
      </c>
      <c r="AU2" s="22">
        <v>1</v>
      </c>
      <c r="AV2" s="22">
        <v>0</v>
      </c>
      <c r="AW2" s="22">
        <v>0</v>
      </c>
      <c r="AX2" s="22">
        <v>1</v>
      </c>
      <c r="AY2" s="22">
        <v>0</v>
      </c>
      <c r="BF2" s="22">
        <v>0</v>
      </c>
      <c r="BG2" s="22">
        <v>1</v>
      </c>
      <c r="BH2" s="22">
        <f>X2/W2</f>
        <v>0.49242424242424243</v>
      </c>
    </row>
    <row r="3" spans="1:60" s="22" customFormat="1" ht="13">
      <c r="A3" s="22" t="s">
        <v>1506</v>
      </c>
      <c r="B3" s="22" t="s">
        <v>663</v>
      </c>
      <c r="C3" s="23" t="s">
        <v>822</v>
      </c>
      <c r="D3" s="23" t="s">
        <v>965</v>
      </c>
      <c r="E3" s="22" t="s">
        <v>62</v>
      </c>
      <c r="F3" s="22" t="s">
        <v>1424</v>
      </c>
      <c r="G3" s="23" t="s">
        <v>1507</v>
      </c>
      <c r="H3" s="23" t="s">
        <v>1508</v>
      </c>
      <c r="I3" s="22" t="s">
        <v>40</v>
      </c>
      <c r="J3" s="22" t="s">
        <v>1509</v>
      </c>
      <c r="L3" s="22" t="s">
        <v>513</v>
      </c>
      <c r="N3" s="22" t="s">
        <v>1510</v>
      </c>
      <c r="O3" s="22" t="s">
        <v>1430</v>
      </c>
      <c r="P3" s="21">
        <v>70111</v>
      </c>
      <c r="Q3" s="22">
        <v>10.5</v>
      </c>
      <c r="R3" s="22">
        <v>9</v>
      </c>
      <c r="S3" s="22">
        <v>9</v>
      </c>
      <c r="T3" s="21" t="s">
        <v>160</v>
      </c>
      <c r="U3" s="21">
        <v>1</v>
      </c>
      <c r="V3" s="22">
        <v>1</v>
      </c>
      <c r="W3" s="24">
        <f t="shared" ref="W3:W9" si="0">3.14*R3*Q3+2*3.14*(S3/2)^2/V3</f>
        <v>423.90000000000003</v>
      </c>
      <c r="X3" s="25">
        <f t="shared" ref="X3:X9" si="1">(3.14/4*R3^2*Q3)*U3</f>
        <v>667.64250000000004</v>
      </c>
      <c r="Y3" s="22">
        <v>1</v>
      </c>
      <c r="Z3" s="24">
        <f>Y3*W3</f>
        <v>423.90000000000003</v>
      </c>
      <c r="AA3" s="24">
        <f>Y3*X3</f>
        <v>667.64250000000004</v>
      </c>
      <c r="AF3" s="21" t="s">
        <v>247</v>
      </c>
      <c r="AH3" s="25"/>
      <c r="AI3" s="25"/>
      <c r="AJ3" s="21">
        <v>779</v>
      </c>
      <c r="AK3" s="21">
        <v>100</v>
      </c>
      <c r="AL3" s="22" t="s">
        <v>161</v>
      </c>
      <c r="AM3" s="22">
        <v>0.11</v>
      </c>
      <c r="AN3" s="22" t="s">
        <v>1505</v>
      </c>
      <c r="AO3" s="22" t="s">
        <v>1505</v>
      </c>
      <c r="AP3" s="22" t="s">
        <v>1432</v>
      </c>
      <c r="AQ3" s="22" t="str">
        <f>IF(AND($AK3&lt;20,AJ3&lt;10000),"Nanophytoplankton","Microphytoplankton")</f>
        <v>Microphytoplankton</v>
      </c>
      <c r="AR3" s="22">
        <v>0</v>
      </c>
      <c r="AS3" s="22">
        <v>0</v>
      </c>
      <c r="AT3" s="22">
        <v>0</v>
      </c>
      <c r="AU3" s="22">
        <v>1</v>
      </c>
      <c r="AV3" s="22">
        <v>1</v>
      </c>
      <c r="AW3" s="22">
        <v>0</v>
      </c>
      <c r="AX3" s="22">
        <v>1</v>
      </c>
      <c r="AY3" s="22">
        <v>0</v>
      </c>
      <c r="BH3" s="22">
        <f t="shared" ref="BH3:BH66" si="2">X3/W3</f>
        <v>1.575</v>
      </c>
    </row>
    <row r="4" spans="1:60" s="22" customFormat="1" ht="13">
      <c r="A4" s="21" t="s">
        <v>1514</v>
      </c>
      <c r="B4" s="22" t="s">
        <v>663</v>
      </c>
      <c r="C4" s="23" t="s">
        <v>822</v>
      </c>
      <c r="D4" s="23" t="s">
        <v>965</v>
      </c>
      <c r="E4" s="22" t="s">
        <v>62</v>
      </c>
      <c r="F4" s="22" t="s">
        <v>1424</v>
      </c>
      <c r="G4" s="23" t="s">
        <v>1507</v>
      </c>
      <c r="H4" s="23" t="s">
        <v>1508</v>
      </c>
      <c r="I4" s="22" t="s">
        <v>40</v>
      </c>
      <c r="J4" s="22" t="s">
        <v>1515</v>
      </c>
      <c r="N4" s="22" t="s">
        <v>1516</v>
      </c>
      <c r="O4" s="22" t="s">
        <v>1430</v>
      </c>
      <c r="P4" s="21">
        <v>70115</v>
      </c>
      <c r="Q4" s="21">
        <v>30</v>
      </c>
      <c r="R4" s="21">
        <v>8</v>
      </c>
      <c r="S4" s="21">
        <v>8</v>
      </c>
      <c r="T4" s="21" t="s">
        <v>160</v>
      </c>
      <c r="U4" s="21">
        <v>1</v>
      </c>
      <c r="V4" s="22">
        <v>1</v>
      </c>
      <c r="W4" s="24">
        <f t="shared" si="0"/>
        <v>854.08</v>
      </c>
      <c r="X4" s="25">
        <f t="shared" si="1"/>
        <v>1507.2</v>
      </c>
      <c r="Y4" s="22">
        <v>1</v>
      </c>
      <c r="Z4" s="24">
        <f>Y4*W4</f>
        <v>854.08</v>
      </c>
      <c r="AA4" s="24">
        <f>Y4*X4</f>
        <v>1507.2</v>
      </c>
      <c r="AB4" s="21"/>
      <c r="AC4" s="21"/>
      <c r="AD4" s="21"/>
      <c r="AF4" s="21" t="s">
        <v>247</v>
      </c>
      <c r="AH4" s="25"/>
      <c r="AI4" s="25"/>
      <c r="AJ4" s="21">
        <v>1920</v>
      </c>
      <c r="AK4" s="21">
        <v>100</v>
      </c>
      <c r="AL4" s="22" t="s">
        <v>161</v>
      </c>
      <c r="AM4" s="22">
        <v>0.11</v>
      </c>
      <c r="AN4" s="22" t="s">
        <v>1517</v>
      </c>
      <c r="AO4" s="22" t="s">
        <v>1517</v>
      </c>
      <c r="AP4" s="22" t="s">
        <v>1432</v>
      </c>
      <c r="AQ4" s="22" t="str">
        <f>IF(AND($AK4&lt;20,AJ4&lt;10000),"Nanophytoplankton","Microphytoplankton")</f>
        <v>Microphytoplankton</v>
      </c>
      <c r="AR4" s="22">
        <v>0</v>
      </c>
      <c r="AS4" s="22">
        <v>0</v>
      </c>
      <c r="AT4" s="22">
        <v>0</v>
      </c>
      <c r="AU4" s="22">
        <v>1</v>
      </c>
      <c r="AV4" s="22">
        <v>1</v>
      </c>
      <c r="AW4" s="22">
        <v>0</v>
      </c>
      <c r="AX4" s="22">
        <v>1</v>
      </c>
      <c r="AY4" s="22">
        <v>0</v>
      </c>
      <c r="AZ4" s="22">
        <v>0</v>
      </c>
      <c r="BA4" s="22">
        <v>0</v>
      </c>
      <c r="BB4" s="22">
        <v>0</v>
      </c>
      <c r="BC4" s="22">
        <v>4</v>
      </c>
      <c r="BD4" s="22">
        <v>3</v>
      </c>
      <c r="BE4" s="22">
        <v>3</v>
      </c>
      <c r="BF4" s="22">
        <v>0</v>
      </c>
      <c r="BG4" s="22">
        <v>1</v>
      </c>
      <c r="BH4" s="22">
        <f t="shared" si="2"/>
        <v>1.7647058823529411</v>
      </c>
    </row>
    <row r="5" spans="1:60" s="22" customFormat="1" ht="13">
      <c r="A5" s="21" t="s">
        <v>1518</v>
      </c>
      <c r="B5" s="22" t="s">
        <v>663</v>
      </c>
      <c r="C5" s="23" t="s">
        <v>822</v>
      </c>
      <c r="D5" s="23" t="s">
        <v>965</v>
      </c>
      <c r="E5" s="22" t="s">
        <v>62</v>
      </c>
      <c r="F5" s="22" t="s">
        <v>1424</v>
      </c>
      <c r="G5" s="23" t="s">
        <v>1507</v>
      </c>
      <c r="H5" s="23" t="s">
        <v>1508</v>
      </c>
      <c r="I5" s="22" t="s">
        <v>40</v>
      </c>
      <c r="J5" s="22" t="s">
        <v>1515</v>
      </c>
      <c r="K5" s="22" t="s">
        <v>175</v>
      </c>
      <c r="L5" s="22" t="s">
        <v>1519</v>
      </c>
      <c r="N5" s="22" t="s">
        <v>1520</v>
      </c>
      <c r="O5" s="22" t="s">
        <v>1430</v>
      </c>
      <c r="P5" s="21">
        <v>70110</v>
      </c>
      <c r="Q5" s="21">
        <v>36</v>
      </c>
      <c r="R5" s="21">
        <v>4</v>
      </c>
      <c r="S5" s="21">
        <v>4</v>
      </c>
      <c r="T5" s="21" t="s">
        <v>160</v>
      </c>
      <c r="U5" s="21">
        <v>1</v>
      </c>
      <c r="V5" s="22">
        <v>1</v>
      </c>
      <c r="W5" s="24">
        <f t="shared" si="0"/>
        <v>477.28000000000003</v>
      </c>
      <c r="X5" s="25">
        <f t="shared" si="1"/>
        <v>452.16</v>
      </c>
      <c r="Y5" s="22">
        <v>1</v>
      </c>
      <c r="Z5" s="24">
        <f>Y5*W5</f>
        <v>477.28000000000003</v>
      </c>
      <c r="AA5" s="24">
        <f>Y5*X5</f>
        <v>452.16</v>
      </c>
      <c r="AB5" s="21"/>
      <c r="AC5" s="21"/>
      <c r="AD5" s="21"/>
      <c r="AF5" s="21" t="s">
        <v>247</v>
      </c>
      <c r="AH5" s="25"/>
      <c r="AI5" s="25"/>
      <c r="AJ5" s="21">
        <v>452.4</v>
      </c>
      <c r="AK5" s="21">
        <v>100</v>
      </c>
      <c r="AL5" s="22" t="s">
        <v>161</v>
      </c>
      <c r="AM5" s="22">
        <v>0.11</v>
      </c>
      <c r="AN5" s="22" t="s">
        <v>1517</v>
      </c>
      <c r="AO5" s="22" t="s">
        <v>1517</v>
      </c>
      <c r="AP5" s="22" t="s">
        <v>1432</v>
      </c>
      <c r="AQ5" s="22" t="str">
        <f>IF(AND($AK5&lt;20,AJ5&lt;10000),"Nanophytoplankton","Microphytoplankton")</f>
        <v>Microphytoplankton</v>
      </c>
      <c r="AR5" s="22">
        <v>0</v>
      </c>
      <c r="AS5" s="22">
        <v>0</v>
      </c>
      <c r="AT5" s="22">
        <v>0</v>
      </c>
      <c r="AU5" s="22">
        <v>1</v>
      </c>
      <c r="AV5" s="22">
        <v>1</v>
      </c>
      <c r="AW5" s="22">
        <v>0</v>
      </c>
      <c r="AX5" s="22">
        <v>1</v>
      </c>
      <c r="AY5" s="22">
        <v>0</v>
      </c>
      <c r="AZ5" s="22">
        <v>0</v>
      </c>
      <c r="BA5" s="22">
        <v>0</v>
      </c>
      <c r="BB5" s="22">
        <v>0</v>
      </c>
      <c r="BC5" s="22">
        <v>2</v>
      </c>
      <c r="BD5" s="22">
        <v>4</v>
      </c>
      <c r="BE5" s="22">
        <v>4</v>
      </c>
      <c r="BF5" s="22">
        <v>0</v>
      </c>
      <c r="BG5" s="22">
        <v>1</v>
      </c>
      <c r="BH5" s="22">
        <f t="shared" si="2"/>
        <v>0.94736842105263153</v>
      </c>
    </row>
    <row r="6" spans="1:60" s="22" customFormat="1" ht="13">
      <c r="A6" s="22" t="s">
        <v>1521</v>
      </c>
      <c r="B6" s="22" t="s">
        <v>663</v>
      </c>
      <c r="C6" s="23" t="s">
        <v>822</v>
      </c>
      <c r="D6" s="23" t="s">
        <v>965</v>
      </c>
      <c r="E6" s="22" t="s">
        <v>62</v>
      </c>
      <c r="F6" s="22" t="s">
        <v>1424</v>
      </c>
      <c r="G6" s="23" t="s">
        <v>1507</v>
      </c>
      <c r="H6" s="23" t="s">
        <v>1508</v>
      </c>
      <c r="I6" s="22" t="s">
        <v>40</v>
      </c>
      <c r="J6" s="22" t="s">
        <v>1515</v>
      </c>
      <c r="K6" s="22" t="s">
        <v>175</v>
      </c>
      <c r="L6" s="22" t="s">
        <v>1522</v>
      </c>
      <c r="N6" s="22" t="s">
        <v>1523</v>
      </c>
      <c r="O6" s="22" t="s">
        <v>1430</v>
      </c>
      <c r="P6" s="21">
        <v>70113</v>
      </c>
      <c r="Q6" s="22">
        <v>17</v>
      </c>
      <c r="R6" s="22">
        <v>4</v>
      </c>
      <c r="S6" s="22">
        <v>4</v>
      </c>
      <c r="T6" s="21" t="s">
        <v>160</v>
      </c>
      <c r="U6" s="21">
        <v>1</v>
      </c>
      <c r="V6" s="22">
        <v>1</v>
      </c>
      <c r="W6" s="24">
        <f t="shared" si="0"/>
        <v>238.64000000000001</v>
      </c>
      <c r="X6" s="25">
        <f t="shared" si="1"/>
        <v>213.52</v>
      </c>
      <c r="Y6" s="22">
        <v>1</v>
      </c>
      <c r="Z6" s="24">
        <f>Y6*W6</f>
        <v>238.64000000000001</v>
      </c>
      <c r="AA6" s="24">
        <f>Y6*X6</f>
        <v>213.52</v>
      </c>
      <c r="AF6" s="21" t="s">
        <v>247</v>
      </c>
      <c r="AH6" s="25"/>
      <c r="AI6" s="25"/>
      <c r="AJ6" s="21">
        <v>908</v>
      </c>
      <c r="AK6" s="21">
        <v>100</v>
      </c>
      <c r="AL6" s="22" t="s">
        <v>161</v>
      </c>
      <c r="AM6" s="22">
        <v>0.11</v>
      </c>
      <c r="AN6" s="22" t="s">
        <v>1517</v>
      </c>
      <c r="AO6" s="22" t="s">
        <v>1517</v>
      </c>
      <c r="AP6" s="22" t="s">
        <v>1432</v>
      </c>
      <c r="AQ6" s="22" t="str">
        <f>IF(AND($AK6&lt;20,AJ6&lt;10000),"Nanophytoplankton","Microphytoplankton")</f>
        <v>Microphytoplankton</v>
      </c>
      <c r="AR6" s="22">
        <v>0</v>
      </c>
      <c r="AS6" s="22">
        <v>0</v>
      </c>
      <c r="AT6" s="22">
        <v>0</v>
      </c>
      <c r="AU6" s="22">
        <v>1</v>
      </c>
      <c r="AV6" s="22">
        <v>1</v>
      </c>
      <c r="AW6" s="22">
        <v>0</v>
      </c>
      <c r="AX6" s="22">
        <v>1</v>
      </c>
      <c r="AY6" s="22">
        <v>0</v>
      </c>
      <c r="BF6" s="22">
        <v>0</v>
      </c>
      <c r="BG6" s="22">
        <v>1</v>
      </c>
      <c r="BH6" s="22">
        <f t="shared" si="2"/>
        <v>0.89473684210526316</v>
      </c>
    </row>
    <row r="7" spans="1:60" s="22" customFormat="1" ht="13">
      <c r="A7" s="21" t="s">
        <v>1524</v>
      </c>
      <c r="B7" s="22" t="s">
        <v>663</v>
      </c>
      <c r="C7" s="23" t="s">
        <v>822</v>
      </c>
      <c r="D7" s="23" t="s">
        <v>965</v>
      </c>
      <c r="E7" s="22" t="s">
        <v>62</v>
      </c>
      <c r="F7" s="22" t="s">
        <v>1424</v>
      </c>
      <c r="G7" s="23" t="s">
        <v>1507</v>
      </c>
      <c r="H7" s="23" t="s">
        <v>1508</v>
      </c>
      <c r="I7" s="22" t="s">
        <v>40</v>
      </c>
      <c r="J7" s="22" t="s">
        <v>1525</v>
      </c>
      <c r="K7" s="22" t="s">
        <v>1526</v>
      </c>
      <c r="L7" s="22" t="s">
        <v>1527</v>
      </c>
      <c r="N7" s="22" t="s">
        <v>1528</v>
      </c>
      <c r="O7" s="22" t="s">
        <v>1430</v>
      </c>
      <c r="P7" s="21">
        <v>70120</v>
      </c>
      <c r="Q7" s="21">
        <v>30</v>
      </c>
      <c r="R7" s="21">
        <v>12</v>
      </c>
      <c r="S7" s="21">
        <v>12</v>
      </c>
      <c r="T7" s="21" t="s">
        <v>160</v>
      </c>
      <c r="U7" s="21">
        <v>1</v>
      </c>
      <c r="V7" s="22">
        <v>1</v>
      </c>
      <c r="W7" s="24">
        <f t="shared" si="0"/>
        <v>1356.48</v>
      </c>
      <c r="X7" s="25">
        <f t="shared" si="1"/>
        <v>3391.2000000000003</v>
      </c>
      <c r="Y7" s="22">
        <v>1</v>
      </c>
      <c r="Z7" s="24">
        <f t="shared" ref="Z7:Z12" si="3">Y7*W7</f>
        <v>1356.48</v>
      </c>
      <c r="AA7" s="24">
        <f t="shared" ref="AA7:AA12" si="4">Y7*X7</f>
        <v>3391.2000000000003</v>
      </c>
      <c r="AB7" s="21"/>
      <c r="AC7" s="21"/>
      <c r="AD7" s="21"/>
      <c r="AF7" s="21" t="s">
        <v>247</v>
      </c>
      <c r="AH7" s="25"/>
      <c r="AI7" s="25"/>
      <c r="AJ7" s="21">
        <v>3392.9</v>
      </c>
      <c r="AK7" s="21">
        <v>100</v>
      </c>
      <c r="AL7" s="22" t="s">
        <v>161</v>
      </c>
      <c r="AM7" s="22">
        <v>0.11</v>
      </c>
      <c r="AN7" s="22" t="s">
        <v>1529</v>
      </c>
      <c r="AO7" s="22" t="s">
        <v>1529</v>
      </c>
      <c r="AP7" s="22" t="s">
        <v>1432</v>
      </c>
      <c r="AQ7" s="22" t="str">
        <f t="shared" ref="AQ7:AQ12" si="5">IF(AND($AK7&lt;20,AJ7&lt;10000),"Nanophytoplankton","Microphytoplankton")</f>
        <v>Microphytoplankton</v>
      </c>
      <c r="AR7" s="22">
        <v>0</v>
      </c>
      <c r="AS7" s="22">
        <v>0</v>
      </c>
      <c r="AT7" s="22">
        <v>0</v>
      </c>
      <c r="AU7" s="22">
        <v>1</v>
      </c>
      <c r="AV7" s="22">
        <v>1</v>
      </c>
      <c r="AW7" s="22">
        <v>0</v>
      </c>
      <c r="AX7" s="22">
        <v>1</v>
      </c>
      <c r="AY7" s="22">
        <v>0</v>
      </c>
      <c r="AZ7" s="22">
        <v>0</v>
      </c>
      <c r="BA7" s="22">
        <v>0</v>
      </c>
      <c r="BB7" s="22">
        <v>2</v>
      </c>
      <c r="BC7" s="22">
        <v>2</v>
      </c>
      <c r="BD7" s="22">
        <v>3</v>
      </c>
      <c r="BE7" s="22">
        <v>3</v>
      </c>
      <c r="BF7" s="22">
        <v>0</v>
      </c>
      <c r="BG7" s="22">
        <v>1</v>
      </c>
      <c r="BH7" s="22">
        <f t="shared" si="2"/>
        <v>2.5</v>
      </c>
    </row>
    <row r="8" spans="1:60" s="22" customFormat="1" ht="13">
      <c r="A8" s="22" t="s">
        <v>1535</v>
      </c>
      <c r="B8" s="22" t="s">
        <v>663</v>
      </c>
      <c r="C8" s="23" t="s">
        <v>822</v>
      </c>
      <c r="D8" s="23" t="s">
        <v>965</v>
      </c>
      <c r="E8" s="22" t="s">
        <v>62</v>
      </c>
      <c r="F8" s="22" t="s">
        <v>1424</v>
      </c>
      <c r="G8" s="23" t="s">
        <v>1507</v>
      </c>
      <c r="H8" s="23" t="s">
        <v>1508</v>
      </c>
      <c r="I8" s="22" t="s">
        <v>40</v>
      </c>
      <c r="J8" s="22" t="s">
        <v>1536</v>
      </c>
      <c r="N8" s="22" t="s">
        <v>1537</v>
      </c>
      <c r="O8" s="22" t="s">
        <v>1430</v>
      </c>
      <c r="P8" s="21">
        <v>70123</v>
      </c>
      <c r="Q8" s="22">
        <v>9</v>
      </c>
      <c r="R8" s="22">
        <v>10.5</v>
      </c>
      <c r="S8" s="22">
        <v>10.5</v>
      </c>
      <c r="T8" s="21" t="s">
        <v>160</v>
      </c>
      <c r="U8" s="21">
        <v>1</v>
      </c>
      <c r="V8" s="22">
        <v>1</v>
      </c>
      <c r="W8" s="24">
        <f t="shared" si="0"/>
        <v>469.82249999999999</v>
      </c>
      <c r="X8" s="25">
        <f t="shared" si="1"/>
        <v>778.91624999999999</v>
      </c>
      <c r="Y8" s="22">
        <v>1</v>
      </c>
      <c r="Z8" s="24">
        <f t="shared" si="3"/>
        <v>469.82249999999999</v>
      </c>
      <c r="AA8" s="24">
        <f t="shared" si="4"/>
        <v>778.91624999999999</v>
      </c>
      <c r="AF8" s="21" t="s">
        <v>247</v>
      </c>
      <c r="AH8" s="25"/>
      <c r="AI8" s="25"/>
      <c r="AJ8" s="21">
        <v>668</v>
      </c>
      <c r="AK8" s="21">
        <v>100</v>
      </c>
      <c r="AL8" s="22" t="s">
        <v>161</v>
      </c>
      <c r="AM8" s="22">
        <v>0.11</v>
      </c>
      <c r="AN8" s="22" t="s">
        <v>1529</v>
      </c>
      <c r="AO8" s="22" t="s">
        <v>1529</v>
      </c>
      <c r="AP8" s="22" t="s">
        <v>1432</v>
      </c>
      <c r="AQ8" s="22" t="str">
        <f t="shared" si="5"/>
        <v>Microphytoplankton</v>
      </c>
      <c r="AR8" s="22">
        <v>0</v>
      </c>
      <c r="AS8" s="22">
        <v>0</v>
      </c>
      <c r="AT8" s="22">
        <v>0</v>
      </c>
      <c r="AU8" s="22">
        <v>1</v>
      </c>
      <c r="AV8" s="22">
        <v>1</v>
      </c>
      <c r="AW8" s="22">
        <v>0</v>
      </c>
      <c r="AX8" s="22">
        <v>1</v>
      </c>
      <c r="AY8" s="22">
        <v>0</v>
      </c>
      <c r="BF8" s="22">
        <v>0</v>
      </c>
      <c r="BG8" s="22">
        <v>1</v>
      </c>
      <c r="BH8" s="22">
        <f t="shared" si="2"/>
        <v>1.6578947368421053</v>
      </c>
    </row>
    <row r="9" spans="1:60" s="22" customFormat="1" ht="13">
      <c r="A9" s="22" t="s">
        <v>1511</v>
      </c>
      <c r="B9" s="22" t="s">
        <v>663</v>
      </c>
      <c r="C9" s="23" t="s">
        <v>822</v>
      </c>
      <c r="D9" s="23" t="s">
        <v>965</v>
      </c>
      <c r="E9" s="22" t="s">
        <v>62</v>
      </c>
      <c r="F9" s="22" t="s">
        <v>1424</v>
      </c>
      <c r="G9" s="23" t="s">
        <v>1507</v>
      </c>
      <c r="H9" s="23" t="s">
        <v>1508</v>
      </c>
      <c r="I9" s="22" t="s">
        <v>40</v>
      </c>
      <c r="J9" s="22" t="s">
        <v>1509</v>
      </c>
      <c r="N9" s="22" t="s">
        <v>1510</v>
      </c>
      <c r="O9" s="22" t="s">
        <v>1430</v>
      </c>
      <c r="P9" s="21">
        <v>70114</v>
      </c>
      <c r="Q9" s="22">
        <v>10.5</v>
      </c>
      <c r="R9" s="22">
        <v>9</v>
      </c>
      <c r="S9" s="22">
        <v>9</v>
      </c>
      <c r="T9" s="21" t="s">
        <v>160</v>
      </c>
      <c r="U9" s="21">
        <v>1</v>
      </c>
      <c r="V9" s="22">
        <v>1</v>
      </c>
      <c r="W9" s="24">
        <f t="shared" si="0"/>
        <v>423.90000000000003</v>
      </c>
      <c r="X9" s="25">
        <f t="shared" si="1"/>
        <v>667.64250000000004</v>
      </c>
      <c r="Y9" s="22">
        <v>1</v>
      </c>
      <c r="Z9" s="24">
        <f t="shared" si="3"/>
        <v>423.90000000000003</v>
      </c>
      <c r="AA9" s="24">
        <f t="shared" si="4"/>
        <v>667.64250000000004</v>
      </c>
      <c r="AF9" s="21" t="s">
        <v>247</v>
      </c>
      <c r="AH9" s="25"/>
      <c r="AI9" s="25"/>
      <c r="AJ9" s="21">
        <v>779</v>
      </c>
      <c r="AK9" s="21">
        <v>100</v>
      </c>
      <c r="AL9" s="22" t="s">
        <v>161</v>
      </c>
      <c r="AM9" s="22">
        <v>0.11</v>
      </c>
      <c r="AN9" s="22" t="s">
        <v>1505</v>
      </c>
      <c r="AO9" s="22" t="s">
        <v>1505</v>
      </c>
      <c r="AP9" s="22" t="s">
        <v>1432</v>
      </c>
      <c r="AQ9" s="22" t="str">
        <f t="shared" si="5"/>
        <v>Microphytoplankton</v>
      </c>
      <c r="AR9" s="22">
        <v>0</v>
      </c>
      <c r="AS9" s="22">
        <v>0</v>
      </c>
      <c r="AT9" s="22">
        <v>0</v>
      </c>
      <c r="AU9" s="22">
        <v>1</v>
      </c>
      <c r="AV9" s="22">
        <v>1</v>
      </c>
      <c r="AW9" s="22">
        <v>0</v>
      </c>
      <c r="AX9" s="22">
        <v>1</v>
      </c>
      <c r="AY9" s="22">
        <v>0</v>
      </c>
      <c r="BH9" s="22">
        <f t="shared" si="2"/>
        <v>1.575</v>
      </c>
    </row>
    <row r="10" spans="1:60" s="22" customFormat="1" ht="13">
      <c r="A10" s="21" t="s">
        <v>2363</v>
      </c>
      <c r="B10" s="22" t="s">
        <v>663</v>
      </c>
      <c r="C10" s="22" t="s">
        <v>2223</v>
      </c>
      <c r="D10" s="22" t="s">
        <v>2224</v>
      </c>
      <c r="E10" s="23" t="s">
        <v>63</v>
      </c>
      <c r="F10" s="23" t="s">
        <v>2225</v>
      </c>
      <c r="G10" s="23" t="s">
        <v>2226</v>
      </c>
      <c r="H10" s="22" t="s">
        <v>2253</v>
      </c>
      <c r="I10" s="22" t="s">
        <v>46</v>
      </c>
      <c r="J10" s="22" t="s">
        <v>2364</v>
      </c>
      <c r="N10" s="22" t="s">
        <v>2365</v>
      </c>
      <c r="O10" s="22" t="s">
        <v>2229</v>
      </c>
      <c r="P10" s="21">
        <v>83120</v>
      </c>
      <c r="Q10" s="21">
        <v>7</v>
      </c>
      <c r="R10" s="21">
        <v>5.5</v>
      </c>
      <c r="S10" s="21">
        <v>5.5</v>
      </c>
      <c r="T10" s="21" t="s">
        <v>281</v>
      </c>
      <c r="U10" s="21">
        <v>1</v>
      </c>
      <c r="V10" s="22">
        <v>1</v>
      </c>
      <c r="W10" s="24">
        <f>(4*3.14*(((Q10^1.6*R10^1.6+Q10^1.6*S10^1.6+R10^1.6+S10^1.6)/3)^(1/1.6)))*(1/V10)</f>
        <v>385.65356859900635</v>
      </c>
      <c r="X10" s="24">
        <f>3.14/6*Q10*R10*S10*U10</f>
        <v>110.81583333333333</v>
      </c>
      <c r="Y10" s="22">
        <v>1</v>
      </c>
      <c r="Z10" s="24">
        <f t="shared" si="3"/>
        <v>385.65356859900635</v>
      </c>
      <c r="AA10" s="24">
        <f t="shared" si="4"/>
        <v>110.81583333333333</v>
      </c>
      <c r="AB10" s="21"/>
      <c r="AC10" s="21"/>
      <c r="AD10" s="21"/>
      <c r="AF10" s="21" t="s">
        <v>247</v>
      </c>
      <c r="AH10" s="25"/>
      <c r="AI10" s="25"/>
      <c r="AJ10" s="21">
        <v>110.9</v>
      </c>
      <c r="AK10" s="21">
        <v>7</v>
      </c>
      <c r="AL10" s="22" t="s">
        <v>161</v>
      </c>
      <c r="AM10" s="22">
        <v>0.16</v>
      </c>
      <c r="AN10" s="22" t="s">
        <v>2257</v>
      </c>
      <c r="AO10" s="22" t="s">
        <v>2257</v>
      </c>
      <c r="AP10" s="22" t="s">
        <v>626</v>
      </c>
      <c r="AQ10" s="22" t="str">
        <f t="shared" si="5"/>
        <v>Nanophytoplankton</v>
      </c>
      <c r="AR10" s="22">
        <v>0</v>
      </c>
      <c r="AS10" s="22">
        <v>0</v>
      </c>
      <c r="AT10" s="22">
        <v>0</v>
      </c>
      <c r="AU10" s="22">
        <v>0</v>
      </c>
      <c r="AV10" s="22">
        <v>0</v>
      </c>
      <c r="AW10" s="22">
        <v>0</v>
      </c>
      <c r="AX10" s="22">
        <v>0</v>
      </c>
      <c r="AY10" s="22">
        <v>1</v>
      </c>
      <c r="AZ10" s="22">
        <v>0</v>
      </c>
      <c r="BA10" s="22">
        <v>0</v>
      </c>
      <c r="BB10" s="22">
        <v>0</v>
      </c>
      <c r="BC10" s="22">
        <v>0</v>
      </c>
      <c r="BD10" s="22">
        <v>2</v>
      </c>
      <c r="BE10" s="22">
        <v>8</v>
      </c>
      <c r="BF10" s="22">
        <v>0</v>
      </c>
      <c r="BG10" s="22">
        <v>0</v>
      </c>
      <c r="BH10" s="22">
        <f t="shared" si="2"/>
        <v>0.28734554106656557</v>
      </c>
    </row>
    <row r="11" spans="1:60" s="22" customFormat="1" ht="13">
      <c r="A11" s="21" t="s">
        <v>2366</v>
      </c>
      <c r="B11" s="22" t="s">
        <v>663</v>
      </c>
      <c r="C11" s="22" t="s">
        <v>2223</v>
      </c>
      <c r="D11" s="22" t="s">
        <v>2224</v>
      </c>
      <c r="E11" s="23" t="s">
        <v>63</v>
      </c>
      <c r="F11" s="23" t="s">
        <v>2225</v>
      </c>
      <c r="G11" s="23" t="s">
        <v>2226</v>
      </c>
      <c r="H11" s="22" t="s">
        <v>2253</v>
      </c>
      <c r="I11" s="22" t="s">
        <v>46</v>
      </c>
      <c r="J11" s="22" t="s">
        <v>1733</v>
      </c>
      <c r="N11" s="22" t="s">
        <v>2367</v>
      </c>
      <c r="O11" s="22" t="s">
        <v>2229</v>
      </c>
      <c r="P11" s="21">
        <v>83110</v>
      </c>
      <c r="Q11" s="21">
        <v>2</v>
      </c>
      <c r="R11" s="21">
        <v>2</v>
      </c>
      <c r="S11" s="21">
        <v>2</v>
      </c>
      <c r="T11" s="21" t="s">
        <v>281</v>
      </c>
      <c r="U11" s="21">
        <v>1</v>
      </c>
      <c r="V11" s="22">
        <v>1</v>
      </c>
      <c r="W11" s="24">
        <f>(4*3.14*(((Q11^1.6*R11^1.6+Q11^1.6*S11^1.6+R11^1.6+S11^1.6)/3)^(1/1.6)))*(1/V11)</f>
        <v>46.59880302207403</v>
      </c>
      <c r="X11" s="24">
        <f>3.14/6*Q11*R11*S11*U11</f>
        <v>4.1866666666666665</v>
      </c>
      <c r="Y11" s="22">
        <v>1</v>
      </c>
      <c r="Z11" s="24">
        <f t="shared" si="3"/>
        <v>46.59880302207403</v>
      </c>
      <c r="AA11" s="24">
        <f t="shared" si="4"/>
        <v>4.1866666666666665</v>
      </c>
      <c r="AB11" s="21"/>
      <c r="AC11" s="21"/>
      <c r="AD11" s="21"/>
      <c r="AF11" s="21" t="s">
        <v>247</v>
      </c>
      <c r="AH11" s="25"/>
      <c r="AI11" s="25"/>
      <c r="AJ11" s="21">
        <v>4.2</v>
      </c>
      <c r="AK11" s="21">
        <v>2</v>
      </c>
      <c r="AL11" s="22" t="s">
        <v>161</v>
      </c>
      <c r="AM11" s="22">
        <v>0.16</v>
      </c>
      <c r="AN11" s="22" t="s">
        <v>2257</v>
      </c>
      <c r="AO11" s="22" t="s">
        <v>2257</v>
      </c>
      <c r="AP11" s="22" t="s">
        <v>626</v>
      </c>
      <c r="AQ11" s="22" t="str">
        <f t="shared" si="5"/>
        <v>Nanophytoplankton</v>
      </c>
      <c r="AR11" s="22">
        <v>0</v>
      </c>
      <c r="AS11" s="22">
        <v>0</v>
      </c>
      <c r="AT11" s="22">
        <v>0</v>
      </c>
      <c r="AU11" s="22">
        <v>0</v>
      </c>
      <c r="AV11" s="22">
        <v>0</v>
      </c>
      <c r="AW11" s="22">
        <v>0</v>
      </c>
      <c r="AX11" s="22">
        <v>0</v>
      </c>
      <c r="AY11" s="22">
        <v>1</v>
      </c>
      <c r="AZ11" s="22">
        <v>0</v>
      </c>
      <c r="BA11" s="22">
        <v>0</v>
      </c>
      <c r="BB11" s="22">
        <v>0</v>
      </c>
      <c r="BC11" s="22">
        <v>0</v>
      </c>
      <c r="BD11" s="22">
        <v>2</v>
      </c>
      <c r="BE11" s="22">
        <v>8</v>
      </c>
      <c r="BF11" s="22">
        <v>0</v>
      </c>
      <c r="BG11" s="22">
        <v>0</v>
      </c>
      <c r="BH11" s="22">
        <f t="shared" si="2"/>
        <v>8.9844940108942853E-2</v>
      </c>
    </row>
    <row r="12" spans="1:60" s="22" customFormat="1" ht="13">
      <c r="A12" s="21" t="s">
        <v>2200</v>
      </c>
      <c r="B12" s="22" t="s">
        <v>663</v>
      </c>
      <c r="C12" s="23" t="s">
        <v>822</v>
      </c>
      <c r="D12" s="23" t="s">
        <v>965</v>
      </c>
      <c r="E12" s="22" t="s">
        <v>62</v>
      </c>
      <c r="F12" s="23" t="s">
        <v>1499</v>
      </c>
      <c r="G12" s="23" t="s">
        <v>2201</v>
      </c>
      <c r="H12" s="23" t="s">
        <v>2202</v>
      </c>
      <c r="I12" s="22" t="s">
        <v>2203</v>
      </c>
      <c r="J12" s="22" t="s">
        <v>2204</v>
      </c>
      <c r="N12" s="22" t="s">
        <v>2205</v>
      </c>
      <c r="O12" s="22" t="s">
        <v>1430</v>
      </c>
      <c r="P12" s="21">
        <v>72230</v>
      </c>
      <c r="Q12" s="21">
        <v>90</v>
      </c>
      <c r="R12" s="21">
        <v>7</v>
      </c>
      <c r="S12" s="21">
        <v>3.5</v>
      </c>
      <c r="T12" s="22" t="s">
        <v>330</v>
      </c>
      <c r="U12" s="21">
        <v>0.8</v>
      </c>
      <c r="V12" s="21">
        <v>0.8</v>
      </c>
      <c r="W12" s="25">
        <f>(Q12*R12*2+Q12*S12*2+R12*S12*2)/V12</f>
        <v>2423.75</v>
      </c>
      <c r="X12" s="25">
        <f>Q12*R12*S12*U12</f>
        <v>1764</v>
      </c>
      <c r="Y12" s="21">
        <v>1</v>
      </c>
      <c r="Z12" s="24">
        <f t="shared" si="3"/>
        <v>2423.75</v>
      </c>
      <c r="AA12" s="24">
        <f t="shared" si="4"/>
        <v>1764</v>
      </c>
      <c r="AB12" s="21"/>
      <c r="AC12" s="21"/>
      <c r="AD12" s="21"/>
      <c r="AE12" s="21"/>
      <c r="AF12" s="21" t="s">
        <v>247</v>
      </c>
      <c r="AG12" s="21"/>
      <c r="AH12" s="24"/>
      <c r="AI12" s="24"/>
      <c r="AJ12" s="21">
        <v>1323</v>
      </c>
      <c r="AK12" s="21">
        <v>90</v>
      </c>
      <c r="AL12" s="22" t="s">
        <v>161</v>
      </c>
      <c r="AM12" s="22">
        <v>0.11</v>
      </c>
      <c r="AN12" s="22" t="s">
        <v>2206</v>
      </c>
      <c r="AO12" s="22" t="s">
        <v>2206</v>
      </c>
      <c r="AP12" s="22" t="s">
        <v>1432</v>
      </c>
      <c r="AQ12" s="22" t="str">
        <f t="shared" si="5"/>
        <v>Microphytoplankton</v>
      </c>
      <c r="AR12" s="22">
        <v>0</v>
      </c>
      <c r="AS12" s="22">
        <v>0</v>
      </c>
      <c r="AT12" s="22">
        <v>0</v>
      </c>
      <c r="AU12" s="22">
        <v>1</v>
      </c>
      <c r="AV12" s="22">
        <v>0</v>
      </c>
      <c r="AW12" s="22">
        <v>0</v>
      </c>
      <c r="AX12" s="22">
        <v>1</v>
      </c>
      <c r="AY12" s="22">
        <v>0</v>
      </c>
      <c r="BH12" s="22">
        <f t="shared" si="2"/>
        <v>0.72779783393501807</v>
      </c>
    </row>
    <row r="13" spans="1:60" s="22" customFormat="1" ht="13">
      <c r="A13" s="21" t="s">
        <v>2207</v>
      </c>
      <c r="B13" s="22" t="s">
        <v>663</v>
      </c>
      <c r="C13" s="23" t="s">
        <v>822</v>
      </c>
      <c r="D13" s="23" t="s">
        <v>965</v>
      </c>
      <c r="E13" s="22" t="s">
        <v>62</v>
      </c>
      <c r="F13" s="23" t="s">
        <v>1499</v>
      </c>
      <c r="G13" s="23" t="s">
        <v>2201</v>
      </c>
      <c r="H13" s="23" t="s">
        <v>2202</v>
      </c>
      <c r="I13" s="22" t="s">
        <v>2203</v>
      </c>
      <c r="J13" s="22" t="s">
        <v>2208</v>
      </c>
      <c r="N13" s="22" t="s">
        <v>2209</v>
      </c>
      <c r="O13" s="22" t="s">
        <v>1430</v>
      </c>
      <c r="P13" s="21">
        <v>72220</v>
      </c>
      <c r="Q13" s="21">
        <v>30</v>
      </c>
      <c r="R13" s="21">
        <v>10</v>
      </c>
      <c r="S13" s="21">
        <v>4</v>
      </c>
      <c r="T13" s="22" t="s">
        <v>330</v>
      </c>
      <c r="U13" s="21">
        <v>1</v>
      </c>
      <c r="V13" s="22">
        <v>1</v>
      </c>
      <c r="W13" s="25">
        <f>(Q13*R13*2+Q13*S13*2+R13*S13*2)/V13</f>
        <v>920</v>
      </c>
      <c r="X13" s="25">
        <f>Q13*R13*S13*U13</f>
        <v>1200</v>
      </c>
      <c r="Y13" s="21">
        <v>1</v>
      </c>
      <c r="Z13" s="24">
        <f>Y13*W13</f>
        <v>920</v>
      </c>
      <c r="AA13" s="24">
        <f>Y13*X13</f>
        <v>1200</v>
      </c>
      <c r="AB13" s="21"/>
      <c r="AC13" s="21"/>
      <c r="AD13" s="21"/>
      <c r="AE13" s="21"/>
      <c r="AF13" s="21" t="s">
        <v>247</v>
      </c>
      <c r="AG13" s="21"/>
      <c r="AH13" s="24"/>
      <c r="AI13" s="24"/>
      <c r="AJ13" s="21">
        <v>1200</v>
      </c>
      <c r="AK13" s="21">
        <v>30</v>
      </c>
      <c r="AL13" s="22" t="s">
        <v>161</v>
      </c>
      <c r="AM13" s="22">
        <v>0.11</v>
      </c>
      <c r="AN13" s="22" t="s">
        <v>2206</v>
      </c>
      <c r="AO13" s="22" t="s">
        <v>2206</v>
      </c>
      <c r="AP13" s="22" t="s">
        <v>1432</v>
      </c>
      <c r="AQ13" s="22" t="str">
        <f>IF(AND($AK13&lt;20,AJ13&lt;10000),"Nanophytoplankton","Microphytoplankton")</f>
        <v>Microphytoplankton</v>
      </c>
      <c r="AR13" s="22">
        <v>0</v>
      </c>
      <c r="AS13" s="22">
        <v>0</v>
      </c>
      <c r="AT13" s="22">
        <v>0</v>
      </c>
      <c r="AU13" s="22">
        <v>1</v>
      </c>
      <c r="AV13" s="22">
        <v>0</v>
      </c>
      <c r="AW13" s="22">
        <v>0</v>
      </c>
      <c r="AX13" s="22">
        <v>1</v>
      </c>
      <c r="AY13" s="22">
        <v>0</v>
      </c>
      <c r="AZ13" s="22">
        <v>0</v>
      </c>
      <c r="BA13" s="22">
        <v>2</v>
      </c>
      <c r="BB13" s="22">
        <v>7</v>
      </c>
      <c r="BC13" s="22">
        <v>1</v>
      </c>
      <c r="BD13" s="22">
        <v>0</v>
      </c>
      <c r="BE13" s="22">
        <v>0</v>
      </c>
      <c r="BF13" s="22">
        <v>0</v>
      </c>
      <c r="BG13" s="22">
        <v>1</v>
      </c>
      <c r="BH13" s="22">
        <f t="shared" si="2"/>
        <v>1.3043478260869565</v>
      </c>
    </row>
    <row r="14" spans="1:60">
      <c r="BH14" s="22"/>
    </row>
    <row r="15" spans="1:60" s="22" customFormat="1" ht="13">
      <c r="A15" s="21" t="s">
        <v>674</v>
      </c>
      <c r="B15" s="22" t="s">
        <v>663</v>
      </c>
      <c r="C15" s="22" t="s">
        <v>664</v>
      </c>
      <c r="D15" s="22" t="s">
        <v>665</v>
      </c>
      <c r="E15" s="22" t="s">
        <v>666</v>
      </c>
      <c r="F15" s="22" t="s">
        <v>667</v>
      </c>
      <c r="G15" s="22" t="s">
        <v>675</v>
      </c>
      <c r="H15" s="22" t="s">
        <v>676</v>
      </c>
      <c r="I15" s="22" t="s">
        <v>677</v>
      </c>
      <c r="J15" s="22" t="s">
        <v>678</v>
      </c>
      <c r="N15" s="22" t="s">
        <v>679</v>
      </c>
      <c r="O15" s="21" t="s">
        <v>672</v>
      </c>
      <c r="P15" s="21">
        <v>20410</v>
      </c>
      <c r="Q15" s="21">
        <v>60</v>
      </c>
      <c r="R15" s="21">
        <v>50</v>
      </c>
      <c r="S15" s="21">
        <v>25</v>
      </c>
      <c r="T15" s="21" t="s">
        <v>281</v>
      </c>
      <c r="U15" s="21">
        <v>1</v>
      </c>
      <c r="V15" s="22">
        <v>1</v>
      </c>
      <c r="W15" s="24">
        <f t="shared" ref="W15:W20" si="6">(4*3.14*(((Q15^1.6*R15^1.6+Q15^1.6*S15^1.6+R15^1.6+S15^1.6)/3)^(1/1.6)))*(1/V15)</f>
        <v>22681.919953844474</v>
      </c>
      <c r="X15" s="24">
        <f t="shared" ref="X15:X20" si="7">3.14/6*Q15*R15*S15*U15</f>
        <v>39250</v>
      </c>
      <c r="Y15" s="21">
        <v>1</v>
      </c>
      <c r="Z15" s="24">
        <f t="shared" ref="Z15:Z20" si="8">Y15*W15</f>
        <v>22681.919953844474</v>
      </c>
      <c r="AA15" s="24">
        <f t="shared" ref="AA15:AA20" si="9">Y15*X15</f>
        <v>39250</v>
      </c>
      <c r="AB15" s="21"/>
      <c r="AC15" s="21"/>
      <c r="AD15" s="21"/>
      <c r="AE15" s="21"/>
      <c r="AF15" s="21" t="s">
        <v>247</v>
      </c>
      <c r="AG15" s="21"/>
      <c r="AH15" s="24"/>
      <c r="AI15" s="24"/>
      <c r="AJ15" s="21">
        <v>39269.9</v>
      </c>
      <c r="AK15" s="21">
        <v>240</v>
      </c>
      <c r="AL15" s="22" t="s">
        <v>161</v>
      </c>
      <c r="AM15" s="22">
        <v>0.13</v>
      </c>
      <c r="AN15" s="22" t="s">
        <v>414</v>
      </c>
      <c r="AO15" s="22" t="s">
        <v>331</v>
      </c>
      <c r="AP15" s="22" t="s">
        <v>673</v>
      </c>
      <c r="AQ15" s="22" t="str">
        <f t="shared" ref="AQ15:AQ20" si="10">IF(AND($AK15&lt;20,AJ15&lt;10000),"Nanophytoplankton","Microphytoplankton")</f>
        <v>Microphytoplankton</v>
      </c>
      <c r="AR15" s="22">
        <v>1</v>
      </c>
      <c r="AS15" s="22">
        <v>1</v>
      </c>
      <c r="AT15" s="22">
        <v>0</v>
      </c>
      <c r="AU15" s="22">
        <v>0</v>
      </c>
      <c r="AV15" s="22">
        <v>0</v>
      </c>
      <c r="AW15" s="22">
        <v>0</v>
      </c>
      <c r="AX15" s="22">
        <v>1</v>
      </c>
      <c r="AY15" s="22">
        <v>0</v>
      </c>
      <c r="AZ15" s="22">
        <v>3</v>
      </c>
      <c r="BA15" s="22">
        <v>2</v>
      </c>
      <c r="BB15" s="22">
        <v>2</v>
      </c>
      <c r="BC15" s="22">
        <v>1</v>
      </c>
      <c r="BD15" s="22">
        <v>1</v>
      </c>
      <c r="BE15" s="22">
        <v>1</v>
      </c>
      <c r="BF15" s="22">
        <v>0</v>
      </c>
      <c r="BG15" s="22">
        <v>0</v>
      </c>
      <c r="BH15" s="22">
        <f t="shared" si="2"/>
        <v>1.7304531573989317</v>
      </c>
    </row>
    <row r="16" spans="1:60" s="22" customFormat="1" ht="13">
      <c r="A16" s="21" t="s">
        <v>843</v>
      </c>
      <c r="B16" s="22" t="s">
        <v>663</v>
      </c>
      <c r="C16" s="23" t="s">
        <v>822</v>
      </c>
      <c r="D16" s="23" t="s">
        <v>823</v>
      </c>
      <c r="E16" s="23" t="s">
        <v>64</v>
      </c>
      <c r="F16" s="23" t="s">
        <v>824</v>
      </c>
      <c r="G16" s="22" t="s">
        <v>835</v>
      </c>
      <c r="H16" s="23" t="s">
        <v>836</v>
      </c>
      <c r="I16" s="22" t="s">
        <v>57</v>
      </c>
      <c r="J16" s="22" t="s">
        <v>844</v>
      </c>
      <c r="N16" s="22" t="s">
        <v>157</v>
      </c>
      <c r="O16" s="21" t="s">
        <v>829</v>
      </c>
      <c r="P16" s="21">
        <v>30120</v>
      </c>
      <c r="Q16" s="22">
        <v>28</v>
      </c>
      <c r="R16" s="22">
        <v>9</v>
      </c>
      <c r="S16" s="22">
        <v>9</v>
      </c>
      <c r="T16" s="22" t="s">
        <v>281</v>
      </c>
      <c r="U16" s="21">
        <v>1</v>
      </c>
      <c r="V16" s="22">
        <v>1</v>
      </c>
      <c r="W16" s="24">
        <f t="shared" si="6"/>
        <v>2464.0119946244799</v>
      </c>
      <c r="X16" s="24">
        <f t="shared" si="7"/>
        <v>1186.92</v>
      </c>
      <c r="Y16" s="21">
        <v>1</v>
      </c>
      <c r="Z16" s="24">
        <f t="shared" si="8"/>
        <v>2464.0119946244799</v>
      </c>
      <c r="AA16" s="24">
        <f t="shared" si="9"/>
        <v>1186.92</v>
      </c>
      <c r="AB16" s="21"/>
      <c r="AC16" s="21"/>
      <c r="AD16" s="21"/>
      <c r="AE16" s="21"/>
      <c r="AF16" s="21" t="s">
        <v>247</v>
      </c>
      <c r="AG16" s="21"/>
      <c r="AH16" s="24"/>
      <c r="AI16" s="24"/>
      <c r="AJ16" s="21">
        <v>1187.5</v>
      </c>
      <c r="AK16" s="21">
        <v>28</v>
      </c>
      <c r="AL16" s="22" t="s">
        <v>161</v>
      </c>
      <c r="AM16" s="22">
        <v>0.11</v>
      </c>
      <c r="AN16" s="22" t="s">
        <v>713</v>
      </c>
      <c r="AO16" s="22" t="s">
        <v>713</v>
      </c>
      <c r="AP16" s="22" t="s">
        <v>673</v>
      </c>
      <c r="AQ16" s="22" t="str">
        <f t="shared" si="10"/>
        <v>Microphytoplankton</v>
      </c>
      <c r="AR16" s="22">
        <v>1</v>
      </c>
      <c r="AS16" s="22">
        <v>1</v>
      </c>
      <c r="AT16" s="22">
        <v>0</v>
      </c>
      <c r="AU16" s="22">
        <v>0</v>
      </c>
      <c r="AV16" s="22">
        <v>0</v>
      </c>
      <c r="AW16" s="22">
        <v>0</v>
      </c>
      <c r="AX16" s="22">
        <v>1</v>
      </c>
      <c r="AY16" s="22">
        <v>0</v>
      </c>
      <c r="BH16" s="22">
        <f t="shared" si="2"/>
        <v>0.48170220055316287</v>
      </c>
    </row>
    <row r="17" spans="1:60" s="22" customFormat="1" ht="13">
      <c r="A17" s="21" t="s">
        <v>845</v>
      </c>
      <c r="B17" s="22" t="s">
        <v>663</v>
      </c>
      <c r="C17" s="23" t="s">
        <v>822</v>
      </c>
      <c r="D17" s="23" t="s">
        <v>823</v>
      </c>
      <c r="E17" s="23" t="s">
        <v>64</v>
      </c>
      <c r="F17" s="23" t="s">
        <v>824</v>
      </c>
      <c r="G17" s="22" t="s">
        <v>835</v>
      </c>
      <c r="H17" s="23" t="s">
        <v>836</v>
      </c>
      <c r="I17" s="22" t="s">
        <v>57</v>
      </c>
      <c r="J17" s="22" t="s">
        <v>846</v>
      </c>
      <c r="N17" s="22" t="s">
        <v>694</v>
      </c>
      <c r="O17" s="21" t="s">
        <v>829</v>
      </c>
      <c r="P17" s="22">
        <v>30105</v>
      </c>
      <c r="Q17" s="22">
        <f>(20+80)/2</f>
        <v>50</v>
      </c>
      <c r="R17" s="22">
        <f>(20+6)/2</f>
        <v>13</v>
      </c>
      <c r="S17" s="22">
        <f>(5+18)/2</f>
        <v>11.5</v>
      </c>
      <c r="T17" s="22" t="s">
        <v>159</v>
      </c>
      <c r="U17" s="21">
        <v>1</v>
      </c>
      <c r="V17" s="22">
        <v>1</v>
      </c>
      <c r="W17" s="24">
        <f t="shared" si="6"/>
        <v>5984.7415090968807</v>
      </c>
      <c r="X17" s="24">
        <f t="shared" si="7"/>
        <v>3911.9166666666661</v>
      </c>
      <c r="Y17" s="21">
        <v>1</v>
      </c>
      <c r="Z17" s="24">
        <f t="shared" si="8"/>
        <v>5984.7415090968807</v>
      </c>
      <c r="AA17" s="24">
        <f t="shared" si="9"/>
        <v>3911.9166666666661</v>
      </c>
      <c r="AB17" s="21"/>
      <c r="AC17" s="21"/>
      <c r="AD17" s="21"/>
      <c r="AE17" s="21"/>
      <c r="AF17" s="21" t="s">
        <v>247</v>
      </c>
      <c r="AG17" s="21"/>
      <c r="AH17" s="24"/>
      <c r="AI17" s="24"/>
      <c r="AJ17" s="21">
        <v>3911.9166666666661</v>
      </c>
      <c r="AK17" s="21">
        <v>50</v>
      </c>
      <c r="AL17" s="22" t="s">
        <v>847</v>
      </c>
      <c r="AM17" s="22">
        <v>0.11</v>
      </c>
      <c r="AN17" s="22" t="s">
        <v>713</v>
      </c>
      <c r="AO17" s="22" t="s">
        <v>713</v>
      </c>
      <c r="AP17" s="22" t="s">
        <v>673</v>
      </c>
      <c r="AQ17" s="22" t="str">
        <f t="shared" si="10"/>
        <v>Microphytoplankton</v>
      </c>
      <c r="AR17" s="22">
        <v>1</v>
      </c>
      <c r="AS17" s="22">
        <v>1</v>
      </c>
      <c r="AT17" s="22">
        <v>0</v>
      </c>
      <c r="AU17" s="22">
        <v>0</v>
      </c>
      <c r="AV17" s="22">
        <v>0</v>
      </c>
      <c r="AW17" s="22">
        <v>0</v>
      </c>
      <c r="AX17" s="22">
        <v>1</v>
      </c>
      <c r="AY17" s="22">
        <v>0</v>
      </c>
      <c r="BH17" s="22">
        <f t="shared" si="2"/>
        <v>0.65364839245279094</v>
      </c>
    </row>
    <row r="18" spans="1:60" s="22" customFormat="1" ht="13">
      <c r="A18" s="21" t="s">
        <v>848</v>
      </c>
      <c r="B18" s="22" t="s">
        <v>663</v>
      </c>
      <c r="C18" s="23" t="s">
        <v>822</v>
      </c>
      <c r="D18" s="23" t="s">
        <v>823</v>
      </c>
      <c r="E18" s="23" t="s">
        <v>64</v>
      </c>
      <c r="F18" s="23" t="s">
        <v>824</v>
      </c>
      <c r="G18" s="22" t="s">
        <v>835</v>
      </c>
      <c r="H18" s="23" t="s">
        <v>836</v>
      </c>
      <c r="I18" s="22" t="s">
        <v>57</v>
      </c>
      <c r="J18" s="22" t="s">
        <v>849</v>
      </c>
      <c r="N18" s="22" t="s">
        <v>850</v>
      </c>
      <c r="O18" s="21" t="s">
        <v>829</v>
      </c>
      <c r="P18" s="21">
        <v>30110</v>
      </c>
      <c r="Q18" s="22">
        <v>39</v>
      </c>
      <c r="R18" s="22">
        <v>14</v>
      </c>
      <c r="S18" s="22">
        <v>9</v>
      </c>
      <c r="T18" s="22" t="s">
        <v>281</v>
      </c>
      <c r="U18" s="21">
        <v>1</v>
      </c>
      <c r="V18" s="22">
        <v>1</v>
      </c>
      <c r="W18" s="24">
        <f t="shared" si="6"/>
        <v>4441.897280768475</v>
      </c>
      <c r="X18" s="24">
        <f t="shared" si="7"/>
        <v>2571.66</v>
      </c>
      <c r="Y18" s="21">
        <v>1</v>
      </c>
      <c r="Z18" s="24">
        <f t="shared" si="8"/>
        <v>4441.897280768475</v>
      </c>
      <c r="AA18" s="24">
        <f t="shared" si="9"/>
        <v>2571.66</v>
      </c>
      <c r="AB18" s="21"/>
      <c r="AC18" s="21"/>
      <c r="AD18" s="21"/>
      <c r="AE18" s="21"/>
      <c r="AF18" s="21" t="s">
        <v>247</v>
      </c>
      <c r="AG18" s="21"/>
      <c r="AH18" s="24"/>
      <c r="AI18" s="24"/>
      <c r="AJ18" s="21">
        <v>2573</v>
      </c>
      <c r="AK18" s="21">
        <v>39</v>
      </c>
      <c r="AL18" s="22" t="s">
        <v>161</v>
      </c>
      <c r="AM18" s="22">
        <v>0.11</v>
      </c>
      <c r="AN18" s="22" t="s">
        <v>713</v>
      </c>
      <c r="AO18" s="22" t="s">
        <v>713</v>
      </c>
      <c r="AP18" s="22" t="s">
        <v>673</v>
      </c>
      <c r="AQ18" s="22" t="str">
        <f t="shared" si="10"/>
        <v>Microphytoplankton</v>
      </c>
      <c r="AR18" s="22">
        <v>1</v>
      </c>
      <c r="AS18" s="22">
        <v>1</v>
      </c>
      <c r="AT18" s="22">
        <v>0</v>
      </c>
      <c r="AU18" s="22">
        <v>0</v>
      </c>
      <c r="AV18" s="22">
        <v>0</v>
      </c>
      <c r="AW18" s="22">
        <v>0</v>
      </c>
      <c r="AX18" s="22">
        <v>1</v>
      </c>
      <c r="AY18" s="22">
        <v>0</v>
      </c>
      <c r="BH18" s="22">
        <f t="shared" si="2"/>
        <v>0.57895530613330326</v>
      </c>
    </row>
    <row r="19" spans="1:60" s="22" customFormat="1" ht="13">
      <c r="A19" s="21" t="s">
        <v>851</v>
      </c>
      <c r="B19" s="22" t="s">
        <v>663</v>
      </c>
      <c r="C19" s="23" t="s">
        <v>822</v>
      </c>
      <c r="D19" s="23" t="s">
        <v>823</v>
      </c>
      <c r="E19" s="23" t="s">
        <v>64</v>
      </c>
      <c r="F19" s="23" t="s">
        <v>824</v>
      </c>
      <c r="G19" s="22" t="s">
        <v>835</v>
      </c>
      <c r="H19" s="23" t="s">
        <v>836</v>
      </c>
      <c r="I19" s="22" t="s">
        <v>57</v>
      </c>
      <c r="J19" s="22" t="s">
        <v>852</v>
      </c>
      <c r="N19" s="22" t="s">
        <v>853</v>
      </c>
      <c r="O19" s="21" t="s">
        <v>829</v>
      </c>
      <c r="P19" s="21">
        <v>30111</v>
      </c>
      <c r="Q19" s="22">
        <v>42</v>
      </c>
      <c r="R19" s="22">
        <v>18</v>
      </c>
      <c r="S19" s="22">
        <v>13</v>
      </c>
      <c r="T19" s="22" t="s">
        <v>159</v>
      </c>
      <c r="U19" s="21">
        <v>1</v>
      </c>
      <c r="V19" s="22">
        <v>1</v>
      </c>
      <c r="W19" s="24">
        <f t="shared" si="6"/>
        <v>6405.7715948716959</v>
      </c>
      <c r="X19" s="24">
        <f t="shared" si="7"/>
        <v>5143.32</v>
      </c>
      <c r="Y19" s="21">
        <v>1</v>
      </c>
      <c r="Z19" s="24">
        <f t="shared" si="8"/>
        <v>6405.7715948716959</v>
      </c>
      <c r="AA19" s="24">
        <f t="shared" si="9"/>
        <v>5143.32</v>
      </c>
      <c r="AB19" s="21"/>
      <c r="AC19" s="21"/>
      <c r="AD19" s="21"/>
      <c r="AE19" s="21"/>
      <c r="AF19" s="21" t="s">
        <v>247</v>
      </c>
      <c r="AG19" s="21"/>
      <c r="AH19" s="24"/>
      <c r="AI19" s="24"/>
      <c r="AJ19" s="21">
        <v>5143.32</v>
      </c>
      <c r="AK19" s="21">
        <v>42</v>
      </c>
      <c r="AL19" s="22" t="s">
        <v>847</v>
      </c>
      <c r="AM19" s="22">
        <v>0.11</v>
      </c>
      <c r="AN19" s="22" t="s">
        <v>713</v>
      </c>
      <c r="AO19" s="22" t="s">
        <v>713</v>
      </c>
      <c r="AP19" s="22" t="s">
        <v>673</v>
      </c>
      <c r="AQ19" s="22" t="str">
        <f t="shared" si="10"/>
        <v>Microphytoplankton</v>
      </c>
      <c r="AR19" s="22">
        <v>1</v>
      </c>
      <c r="AS19" s="22">
        <v>1</v>
      </c>
      <c r="AT19" s="22">
        <v>0</v>
      </c>
      <c r="AU19" s="22">
        <v>0</v>
      </c>
      <c r="AV19" s="22">
        <v>0</v>
      </c>
      <c r="AW19" s="22">
        <v>0</v>
      </c>
      <c r="AX19" s="22">
        <v>1</v>
      </c>
      <c r="AY19" s="22">
        <v>0</v>
      </c>
      <c r="BH19" s="22">
        <f t="shared" si="2"/>
        <v>0.8029196676505943</v>
      </c>
    </row>
    <row r="20" spans="1:60" s="22" customFormat="1" ht="13">
      <c r="A20" s="21" t="s">
        <v>854</v>
      </c>
      <c r="B20" s="22" t="s">
        <v>663</v>
      </c>
      <c r="C20" s="23" t="s">
        <v>822</v>
      </c>
      <c r="D20" s="23" t="s">
        <v>823</v>
      </c>
      <c r="E20" s="23" t="s">
        <v>64</v>
      </c>
      <c r="F20" s="23" t="s">
        <v>824</v>
      </c>
      <c r="G20" s="22" t="s">
        <v>835</v>
      </c>
      <c r="H20" s="23" t="s">
        <v>836</v>
      </c>
      <c r="I20" s="22" t="s">
        <v>57</v>
      </c>
      <c r="J20" s="22" t="s">
        <v>211</v>
      </c>
      <c r="M20" s="22" t="s">
        <v>1</v>
      </c>
      <c r="N20" s="22" t="s">
        <v>694</v>
      </c>
      <c r="O20" s="21" t="s">
        <v>829</v>
      </c>
      <c r="P20" s="21">
        <v>30100</v>
      </c>
      <c r="Q20" s="22">
        <v>22</v>
      </c>
      <c r="R20" s="22">
        <v>11</v>
      </c>
      <c r="S20" s="22">
        <v>9</v>
      </c>
      <c r="T20" s="22" t="s">
        <v>281</v>
      </c>
      <c r="U20" s="21">
        <v>1</v>
      </c>
      <c r="V20" s="22">
        <v>1</v>
      </c>
      <c r="W20" s="24">
        <f t="shared" si="6"/>
        <v>2160.6272333322695</v>
      </c>
      <c r="X20" s="24">
        <f t="shared" si="7"/>
        <v>1139.8200000000002</v>
      </c>
      <c r="Y20" s="21">
        <v>1</v>
      </c>
      <c r="Z20" s="24">
        <f t="shared" si="8"/>
        <v>2160.6272333322695</v>
      </c>
      <c r="AA20" s="24">
        <f t="shared" si="9"/>
        <v>1139.8200000000002</v>
      </c>
      <c r="AB20" s="21"/>
      <c r="AC20" s="21"/>
      <c r="AD20" s="21"/>
      <c r="AE20" s="21"/>
      <c r="AF20" s="21" t="s">
        <v>247</v>
      </c>
      <c r="AG20" s="21"/>
      <c r="AH20" s="24"/>
      <c r="AI20" s="24"/>
      <c r="AJ20" s="21">
        <v>1368.5</v>
      </c>
      <c r="AK20" s="21">
        <v>22</v>
      </c>
      <c r="AL20" s="22" t="s">
        <v>161</v>
      </c>
      <c r="AM20" s="22">
        <v>0.11</v>
      </c>
      <c r="AN20" s="22" t="s">
        <v>713</v>
      </c>
      <c r="AO20" s="22" t="s">
        <v>713</v>
      </c>
      <c r="AP20" s="22" t="s">
        <v>673</v>
      </c>
      <c r="AQ20" s="22" t="str">
        <f t="shared" si="10"/>
        <v>Microphytoplankton</v>
      </c>
      <c r="AR20" s="22">
        <v>1</v>
      </c>
      <c r="AS20" s="22">
        <v>1</v>
      </c>
      <c r="AT20" s="22">
        <v>0</v>
      </c>
      <c r="AU20" s="22">
        <v>0</v>
      </c>
      <c r="AV20" s="22">
        <v>0</v>
      </c>
      <c r="AW20" s="22">
        <v>0</v>
      </c>
      <c r="AX20" s="22">
        <v>1</v>
      </c>
      <c r="AY20" s="22">
        <v>0</v>
      </c>
      <c r="BH20" s="22">
        <f t="shared" si="2"/>
        <v>0.52754125395433926</v>
      </c>
    </row>
    <row r="21" spans="1:60" s="22" customFormat="1" ht="13">
      <c r="A21" s="21" t="s">
        <v>854</v>
      </c>
      <c r="B21" s="22" t="s">
        <v>663</v>
      </c>
      <c r="C21" s="23" t="s">
        <v>822</v>
      </c>
      <c r="D21" s="23" t="s">
        <v>823</v>
      </c>
      <c r="E21" s="23" t="s">
        <v>64</v>
      </c>
      <c r="F21" s="23" t="s">
        <v>824</v>
      </c>
      <c r="G21" s="22" t="s">
        <v>835</v>
      </c>
      <c r="H21" s="23" t="s">
        <v>836</v>
      </c>
      <c r="I21" s="22" t="s">
        <v>57</v>
      </c>
      <c r="J21" s="22" t="s">
        <v>211</v>
      </c>
      <c r="M21" s="22" t="s">
        <v>1</v>
      </c>
      <c r="N21" s="22" t="s">
        <v>694</v>
      </c>
      <c r="O21" s="21" t="s">
        <v>829</v>
      </c>
      <c r="P21" s="21">
        <v>30100</v>
      </c>
      <c r="Q21" s="22">
        <v>22</v>
      </c>
      <c r="R21" s="22">
        <v>11</v>
      </c>
      <c r="S21" s="22">
        <v>9</v>
      </c>
      <c r="T21" s="22" t="s">
        <v>281</v>
      </c>
      <c r="U21" s="21">
        <v>1</v>
      </c>
      <c r="V21" s="22">
        <v>1</v>
      </c>
      <c r="W21" s="24">
        <f>(4*3.14*(((Q21^1.6*R21^1.6+Q21^1.6*S21^1.6+R21^1.6+S21^1.6)/3)^(1/1.6)))*(1/V21)</f>
        <v>2160.6272333322695</v>
      </c>
      <c r="X21" s="24">
        <f>3.14/6*Q21*R21*S21*U21</f>
        <v>1139.8200000000002</v>
      </c>
      <c r="Y21" s="21">
        <v>1</v>
      </c>
      <c r="Z21" s="24">
        <f>Y21*W21</f>
        <v>2160.6272333322695</v>
      </c>
      <c r="AA21" s="24">
        <f>Y21*X21</f>
        <v>1139.8200000000002</v>
      </c>
      <c r="AB21" s="21"/>
      <c r="AC21" s="21"/>
      <c r="AD21" s="21"/>
      <c r="AE21" s="21"/>
      <c r="AF21" s="21" t="s">
        <v>247</v>
      </c>
      <c r="AG21" s="21"/>
      <c r="AH21" s="24"/>
      <c r="AI21" s="24"/>
      <c r="AJ21" s="21">
        <v>1368.5</v>
      </c>
      <c r="AK21" s="21">
        <v>22</v>
      </c>
      <c r="AL21" s="22" t="s">
        <v>161</v>
      </c>
      <c r="AM21" s="22">
        <v>0.11</v>
      </c>
      <c r="AN21" s="22" t="s">
        <v>713</v>
      </c>
      <c r="AO21" s="22" t="s">
        <v>713</v>
      </c>
      <c r="AP21" s="22" t="s">
        <v>673</v>
      </c>
      <c r="AQ21" s="22" t="str">
        <f>IF(AND($AK21&lt;20,AJ21&lt;10000),"Nanophytoplankton","Microphytoplankton")</f>
        <v>Microphytoplankton</v>
      </c>
      <c r="AR21" s="22">
        <v>1</v>
      </c>
      <c r="AS21" s="22">
        <v>1</v>
      </c>
      <c r="AT21" s="22">
        <v>0</v>
      </c>
      <c r="AU21" s="22">
        <v>0</v>
      </c>
      <c r="AV21" s="22">
        <v>0</v>
      </c>
      <c r="AW21" s="22">
        <v>0</v>
      </c>
      <c r="AX21" s="22">
        <v>1</v>
      </c>
      <c r="AY21" s="22">
        <v>0</v>
      </c>
      <c r="BF21" s="22">
        <v>0</v>
      </c>
      <c r="BG21" s="22">
        <v>0</v>
      </c>
      <c r="BH21" s="22">
        <f t="shared" si="2"/>
        <v>0.52754125395433926</v>
      </c>
    </row>
    <row r="22" spans="1:60" s="22" customFormat="1" ht="13">
      <c r="A22" s="21"/>
      <c r="C22" s="23"/>
      <c r="D22" s="23"/>
      <c r="E22" s="23"/>
      <c r="F22" s="23"/>
      <c r="H22" s="23"/>
      <c r="O22" s="21"/>
      <c r="P22" s="21"/>
      <c r="U22" s="21"/>
      <c r="W22" s="24"/>
      <c r="X22" s="24"/>
      <c r="Y22" s="21"/>
      <c r="Z22" s="24"/>
      <c r="AA22" s="24"/>
      <c r="AB22" s="21"/>
      <c r="AC22" s="21"/>
      <c r="AD22" s="21"/>
      <c r="AE22" s="21"/>
      <c r="AF22" s="21"/>
      <c r="AG22" s="21"/>
      <c r="AH22" s="24"/>
      <c r="AI22" s="24"/>
      <c r="AJ22" s="21"/>
      <c r="AK22" s="21"/>
    </row>
    <row r="23" spans="1:60">
      <c r="BH23" s="22"/>
    </row>
    <row r="24" spans="1:60">
      <c r="BH24" s="22"/>
    </row>
    <row r="25" spans="1:60">
      <c r="BH25" s="22"/>
    </row>
    <row r="26" spans="1:60">
      <c r="BH26" s="22"/>
    </row>
    <row r="27" spans="1:60" s="22" customFormat="1" ht="13">
      <c r="C27" s="23"/>
      <c r="E27" s="23"/>
      <c r="F27" s="23"/>
      <c r="G27" s="23"/>
      <c r="H27" s="23"/>
      <c r="W27" s="24"/>
      <c r="X27" s="24"/>
      <c r="Y27" s="21"/>
      <c r="Z27" s="24"/>
      <c r="AA27" s="24"/>
      <c r="AE27" s="21"/>
      <c r="AF27" s="21"/>
      <c r="AG27" s="21"/>
      <c r="AH27" s="24"/>
      <c r="AI27" s="24"/>
      <c r="AJ27" s="21"/>
      <c r="AK27" s="21"/>
    </row>
    <row r="28" spans="1:60">
      <c r="BH28" s="22"/>
    </row>
    <row r="29" spans="1:60" s="22" customFormat="1" ht="13">
      <c r="A29" s="21" t="s">
        <v>804</v>
      </c>
      <c r="B29" s="22" t="s">
        <v>663</v>
      </c>
      <c r="C29" s="22" t="s">
        <v>664</v>
      </c>
      <c r="D29" s="22" t="s">
        <v>665</v>
      </c>
      <c r="E29" s="22" t="s">
        <v>666</v>
      </c>
      <c r="F29" s="22" t="s">
        <v>667</v>
      </c>
      <c r="G29" s="22" t="s">
        <v>675</v>
      </c>
      <c r="H29" s="22" t="s">
        <v>692</v>
      </c>
      <c r="I29" s="22" t="s">
        <v>56</v>
      </c>
      <c r="J29" s="21" t="s">
        <v>781</v>
      </c>
      <c r="K29" s="21"/>
      <c r="L29" s="21"/>
      <c r="N29" s="32" t="s">
        <v>738</v>
      </c>
      <c r="O29" s="21" t="s">
        <v>672</v>
      </c>
      <c r="P29" s="22">
        <v>20230</v>
      </c>
      <c r="Q29" s="21">
        <v>30</v>
      </c>
      <c r="R29" s="21">
        <v>22</v>
      </c>
      <c r="S29" s="21">
        <v>20</v>
      </c>
      <c r="T29" s="21" t="s">
        <v>281</v>
      </c>
      <c r="U29" s="21">
        <v>1</v>
      </c>
      <c r="V29" s="22">
        <v>1</v>
      </c>
      <c r="W29" s="24">
        <f t="shared" ref="W29:W34" si="11">(4*3.14*(((Q29^1.6*R29^1.6+Q29^1.6*S29^1.6+R29^1.6+S29^1.6)/3)^(1/1.6)))*(1/V29)</f>
        <v>6162.2817544591799</v>
      </c>
      <c r="X29" s="24">
        <f t="shared" ref="X29:X34" si="12">3.14/6*Q29*R29*S29*U29</f>
        <v>6908</v>
      </c>
      <c r="Y29" s="21">
        <v>1</v>
      </c>
      <c r="Z29" s="24">
        <f t="shared" ref="Z29:Z34" si="13">Y29*W29</f>
        <v>6162.2817544591799</v>
      </c>
      <c r="AA29" s="24">
        <f t="shared" ref="AA29:AA34" si="14">Y29*X29</f>
        <v>6908</v>
      </c>
      <c r="AB29" s="21"/>
      <c r="AC29" s="21"/>
      <c r="AD29" s="21"/>
      <c r="AE29" s="21"/>
      <c r="AF29" s="21" t="s">
        <v>247</v>
      </c>
      <c r="AG29" s="21"/>
      <c r="AH29" s="24"/>
      <c r="AI29" s="24"/>
      <c r="AJ29" s="21">
        <v>10362</v>
      </c>
      <c r="AK29" s="21">
        <v>30</v>
      </c>
      <c r="AL29" s="22" t="s">
        <v>161</v>
      </c>
      <c r="AM29" s="22">
        <v>0.13</v>
      </c>
      <c r="AN29" s="22" t="s">
        <v>331</v>
      </c>
      <c r="AO29" s="22" t="s">
        <v>331</v>
      </c>
      <c r="AP29" s="22" t="s">
        <v>673</v>
      </c>
      <c r="AQ29" s="22" t="str">
        <f t="shared" ref="AQ29:AQ34" si="15">IF(AND($AK29&lt;20,AJ29&lt;10000),"Nanophytoplankton","Microphytoplankton")</f>
        <v>Microphytoplankton</v>
      </c>
      <c r="AR29" s="22">
        <v>1</v>
      </c>
      <c r="AS29" s="22">
        <v>1</v>
      </c>
      <c r="AT29" s="22">
        <v>0</v>
      </c>
      <c r="AU29" s="22">
        <v>0</v>
      </c>
      <c r="AV29" s="22">
        <v>0</v>
      </c>
      <c r="AW29" s="22">
        <v>0</v>
      </c>
      <c r="AX29" s="22">
        <v>1</v>
      </c>
      <c r="AY29" s="22">
        <v>0</v>
      </c>
      <c r="BH29" s="22">
        <f t="shared" si="2"/>
        <v>1.121013331628532</v>
      </c>
    </row>
    <row r="30" spans="1:60" s="22" customFormat="1" ht="13">
      <c r="A30" s="21" t="s">
        <v>805</v>
      </c>
      <c r="B30" s="22" t="s">
        <v>663</v>
      </c>
      <c r="C30" s="22" t="s">
        <v>664</v>
      </c>
      <c r="D30" s="22" t="s">
        <v>665</v>
      </c>
      <c r="E30" s="22" t="s">
        <v>666</v>
      </c>
      <c r="F30" s="22" t="s">
        <v>667</v>
      </c>
      <c r="G30" s="22" t="s">
        <v>675</v>
      </c>
      <c r="H30" s="22" t="s">
        <v>692</v>
      </c>
      <c r="I30" s="22" t="s">
        <v>56</v>
      </c>
      <c r="J30" s="21" t="s">
        <v>781</v>
      </c>
      <c r="K30" s="21" t="s">
        <v>175</v>
      </c>
      <c r="L30" s="21" t="s">
        <v>806</v>
      </c>
      <c r="N30" s="32" t="s">
        <v>797</v>
      </c>
      <c r="O30" s="21" t="s">
        <v>672</v>
      </c>
      <c r="P30" s="22">
        <v>20232</v>
      </c>
      <c r="Q30" s="21">
        <v>30</v>
      </c>
      <c r="R30" s="21">
        <v>22</v>
      </c>
      <c r="S30" s="21">
        <v>20</v>
      </c>
      <c r="T30" s="21" t="s">
        <v>281</v>
      </c>
      <c r="U30" s="21">
        <v>1</v>
      </c>
      <c r="V30" s="22">
        <v>1</v>
      </c>
      <c r="W30" s="24">
        <f t="shared" si="11"/>
        <v>6162.2817544591799</v>
      </c>
      <c r="X30" s="24">
        <f t="shared" si="12"/>
        <v>6908</v>
      </c>
      <c r="Y30" s="21">
        <v>1</v>
      </c>
      <c r="Z30" s="24">
        <f t="shared" si="13"/>
        <v>6162.2817544591799</v>
      </c>
      <c r="AA30" s="24">
        <f t="shared" si="14"/>
        <v>6908</v>
      </c>
      <c r="AB30" s="21"/>
      <c r="AC30" s="21"/>
      <c r="AD30" s="21"/>
      <c r="AE30" s="21"/>
      <c r="AF30" s="21" t="s">
        <v>247</v>
      </c>
      <c r="AG30" s="21"/>
      <c r="AH30" s="24"/>
      <c r="AI30" s="24"/>
      <c r="AJ30" s="21">
        <v>10362</v>
      </c>
      <c r="AK30" s="21">
        <v>30</v>
      </c>
      <c r="AL30" s="22" t="s">
        <v>161</v>
      </c>
      <c r="AM30" s="22">
        <v>0.13</v>
      </c>
      <c r="AN30" s="22" t="s">
        <v>331</v>
      </c>
      <c r="AO30" s="22" t="s">
        <v>331</v>
      </c>
      <c r="AP30" s="22" t="s">
        <v>673</v>
      </c>
      <c r="AQ30" s="22" t="str">
        <f t="shared" si="15"/>
        <v>Microphytoplankton</v>
      </c>
      <c r="AR30" s="22">
        <v>1</v>
      </c>
      <c r="AS30" s="22">
        <v>1</v>
      </c>
      <c r="AT30" s="22">
        <v>0</v>
      </c>
      <c r="AU30" s="22">
        <v>0</v>
      </c>
      <c r="AV30" s="22">
        <v>0</v>
      </c>
      <c r="AW30" s="22">
        <v>0</v>
      </c>
      <c r="AX30" s="22">
        <v>1</v>
      </c>
      <c r="AY30" s="22">
        <v>0</v>
      </c>
      <c r="BH30" s="22">
        <f t="shared" si="2"/>
        <v>1.121013331628532</v>
      </c>
    </row>
    <row r="31" spans="1:60" s="22" customFormat="1" ht="13">
      <c r="A31" s="21" t="s">
        <v>787</v>
      </c>
      <c r="B31" s="22" t="s">
        <v>663</v>
      </c>
      <c r="C31" s="22" t="s">
        <v>664</v>
      </c>
      <c r="D31" s="22" t="s">
        <v>665</v>
      </c>
      <c r="E31" s="22" t="s">
        <v>666</v>
      </c>
      <c r="F31" s="22" t="s">
        <v>667</v>
      </c>
      <c r="G31" s="22" t="s">
        <v>675</v>
      </c>
      <c r="H31" s="22" t="s">
        <v>692</v>
      </c>
      <c r="I31" s="22" t="s">
        <v>56</v>
      </c>
      <c r="J31" s="21" t="s">
        <v>788</v>
      </c>
      <c r="K31" s="21"/>
      <c r="L31" s="21"/>
      <c r="N31" s="22" t="s">
        <v>789</v>
      </c>
      <c r="O31" s="21" t="s">
        <v>672</v>
      </c>
      <c r="P31" s="21">
        <v>20210</v>
      </c>
      <c r="Q31" s="21">
        <v>45</v>
      </c>
      <c r="R31" s="21">
        <v>40</v>
      </c>
      <c r="S31" s="21">
        <v>35</v>
      </c>
      <c r="T31" s="21" t="s">
        <v>281</v>
      </c>
      <c r="U31" s="21">
        <v>1</v>
      </c>
      <c r="V31" s="22">
        <v>1</v>
      </c>
      <c r="W31" s="24">
        <f t="shared" si="11"/>
        <v>16495.624251104611</v>
      </c>
      <c r="X31" s="24">
        <f t="shared" si="12"/>
        <v>32970</v>
      </c>
      <c r="Y31" s="21">
        <v>1</v>
      </c>
      <c r="Z31" s="24">
        <f t="shared" si="13"/>
        <v>16495.624251104611</v>
      </c>
      <c r="AA31" s="24">
        <f t="shared" si="14"/>
        <v>32970</v>
      </c>
      <c r="AB31" s="21"/>
      <c r="AC31" s="21"/>
      <c r="AD31" s="21"/>
      <c r="AE31" s="21"/>
      <c r="AF31" s="21" t="s">
        <v>247</v>
      </c>
      <c r="AG31" s="21"/>
      <c r="AH31" s="24"/>
      <c r="AI31" s="24"/>
      <c r="AJ31" s="21">
        <v>32986.699999999997</v>
      </c>
      <c r="AK31" s="21">
        <v>45</v>
      </c>
      <c r="AL31" s="22" t="s">
        <v>161</v>
      </c>
      <c r="AM31" s="22">
        <v>0.13</v>
      </c>
      <c r="AN31" s="22" t="s">
        <v>331</v>
      </c>
      <c r="AO31" s="22" t="s">
        <v>331</v>
      </c>
      <c r="AP31" s="22" t="s">
        <v>673</v>
      </c>
      <c r="AQ31" s="22" t="str">
        <f t="shared" si="15"/>
        <v>Microphytoplankton</v>
      </c>
      <c r="AR31" s="22">
        <v>1</v>
      </c>
      <c r="AS31" s="22">
        <v>1</v>
      </c>
      <c r="AT31" s="22">
        <v>0</v>
      </c>
      <c r="AU31" s="22">
        <v>0</v>
      </c>
      <c r="AV31" s="22">
        <v>0</v>
      </c>
      <c r="AW31" s="22">
        <v>0</v>
      </c>
      <c r="AX31" s="22">
        <v>1</v>
      </c>
      <c r="AY31" s="22">
        <v>0</v>
      </c>
      <c r="BH31" s="22">
        <f t="shared" si="2"/>
        <v>1.9987118703793341</v>
      </c>
    </row>
    <row r="32" spans="1:60" s="22" customFormat="1" ht="13">
      <c r="A32" s="22" t="s">
        <v>801</v>
      </c>
      <c r="B32" s="22" t="s">
        <v>663</v>
      </c>
      <c r="C32" s="22" t="s">
        <v>664</v>
      </c>
      <c r="D32" s="22" t="s">
        <v>665</v>
      </c>
      <c r="E32" s="22" t="s">
        <v>666</v>
      </c>
      <c r="F32" s="22" t="s">
        <v>667</v>
      </c>
      <c r="G32" s="22" t="s">
        <v>675</v>
      </c>
      <c r="H32" s="22" t="s">
        <v>692</v>
      </c>
      <c r="I32" s="22" t="s">
        <v>56</v>
      </c>
      <c r="J32" s="22" t="s">
        <v>211</v>
      </c>
      <c r="M32" s="22" t="s">
        <v>1</v>
      </c>
      <c r="N32" s="22" t="s">
        <v>694</v>
      </c>
      <c r="O32" s="21" t="s">
        <v>672</v>
      </c>
      <c r="P32" s="21">
        <v>20271</v>
      </c>
      <c r="Q32" s="22">
        <v>27</v>
      </c>
      <c r="R32" s="22">
        <v>25.5</v>
      </c>
      <c r="S32" s="22">
        <v>22</v>
      </c>
      <c r="T32" s="21" t="s">
        <v>281</v>
      </c>
      <c r="U32" s="21">
        <v>1</v>
      </c>
      <c r="V32" s="22">
        <v>1</v>
      </c>
      <c r="W32" s="24">
        <f t="shared" si="11"/>
        <v>6281.3727293921538</v>
      </c>
      <c r="X32" s="24">
        <f t="shared" si="12"/>
        <v>7926.93</v>
      </c>
      <c r="Y32" s="21">
        <v>1</v>
      </c>
      <c r="Z32" s="24">
        <f t="shared" si="13"/>
        <v>6281.3727293921538</v>
      </c>
      <c r="AA32" s="24">
        <f t="shared" si="14"/>
        <v>7926.93</v>
      </c>
      <c r="AE32" s="21"/>
      <c r="AF32" s="21" t="s">
        <v>247</v>
      </c>
      <c r="AG32" s="21"/>
      <c r="AH32" s="24"/>
      <c r="AI32" s="24"/>
      <c r="AJ32" s="21">
        <v>9188.0325000000012</v>
      </c>
      <c r="AK32" s="21">
        <v>27</v>
      </c>
      <c r="AL32" s="22" t="s">
        <v>161</v>
      </c>
      <c r="AM32" s="22">
        <v>0.13</v>
      </c>
      <c r="AN32" s="22" t="s">
        <v>331</v>
      </c>
      <c r="AO32" s="22" t="s">
        <v>331</v>
      </c>
      <c r="AP32" s="22" t="s">
        <v>673</v>
      </c>
      <c r="AQ32" s="22" t="str">
        <f t="shared" si="15"/>
        <v>Microphytoplankton</v>
      </c>
      <c r="AR32" s="22">
        <v>1</v>
      </c>
      <c r="AS32" s="22">
        <v>1</v>
      </c>
      <c r="AT32" s="22">
        <v>0</v>
      </c>
      <c r="AU32" s="22">
        <v>0</v>
      </c>
      <c r="AV32" s="22">
        <v>0</v>
      </c>
      <c r="AW32" s="22">
        <v>0</v>
      </c>
      <c r="AX32" s="22">
        <v>1</v>
      </c>
      <c r="AY32" s="22">
        <v>0</v>
      </c>
      <c r="BF32" s="22">
        <v>0</v>
      </c>
      <c r="BG32" s="22">
        <v>0</v>
      </c>
      <c r="BH32" s="22">
        <f t="shared" si="2"/>
        <v>1.2619741482475417</v>
      </c>
    </row>
    <row r="33" spans="1:60" s="22" customFormat="1" ht="13">
      <c r="A33" s="21" t="s">
        <v>802</v>
      </c>
      <c r="B33" s="22" t="s">
        <v>663</v>
      </c>
      <c r="C33" s="22" t="s">
        <v>664</v>
      </c>
      <c r="D33" s="22" t="s">
        <v>665</v>
      </c>
      <c r="E33" s="22" t="s">
        <v>666</v>
      </c>
      <c r="F33" s="22" t="s">
        <v>667</v>
      </c>
      <c r="G33" s="22" t="s">
        <v>675</v>
      </c>
      <c r="H33" s="22" t="s">
        <v>692</v>
      </c>
      <c r="I33" s="22" t="s">
        <v>56</v>
      </c>
      <c r="J33" s="21" t="s">
        <v>211</v>
      </c>
      <c r="K33" s="21" t="s">
        <v>184</v>
      </c>
      <c r="L33" s="21" t="s">
        <v>803</v>
      </c>
      <c r="M33" s="22" t="s">
        <v>1</v>
      </c>
      <c r="N33" s="22" t="s">
        <v>694</v>
      </c>
      <c r="O33" s="21" t="s">
        <v>672</v>
      </c>
      <c r="P33" s="22">
        <v>20270</v>
      </c>
      <c r="Q33" s="21">
        <v>12</v>
      </c>
      <c r="R33" s="21">
        <v>10</v>
      </c>
      <c r="S33" s="21">
        <v>6</v>
      </c>
      <c r="T33" s="21" t="s">
        <v>281</v>
      </c>
      <c r="U33" s="21">
        <v>1</v>
      </c>
      <c r="V33" s="22">
        <v>1</v>
      </c>
      <c r="W33" s="24">
        <f t="shared" si="11"/>
        <v>964.486998531513</v>
      </c>
      <c r="X33" s="24">
        <f t="shared" si="12"/>
        <v>376.79999999999995</v>
      </c>
      <c r="Y33" s="21">
        <v>1</v>
      </c>
      <c r="Z33" s="24">
        <f t="shared" si="13"/>
        <v>964.486998531513</v>
      </c>
      <c r="AA33" s="24">
        <f t="shared" si="14"/>
        <v>376.79999999999995</v>
      </c>
      <c r="AB33" s="21"/>
      <c r="AC33" s="21"/>
      <c r="AD33" s="21"/>
      <c r="AE33" s="21"/>
      <c r="AF33" s="21" t="s">
        <v>247</v>
      </c>
      <c r="AG33" s="21"/>
      <c r="AH33" s="24"/>
      <c r="AI33" s="24"/>
      <c r="AJ33" s="21">
        <v>377</v>
      </c>
      <c r="AK33" s="21">
        <v>12</v>
      </c>
      <c r="AL33" s="22" t="s">
        <v>161</v>
      </c>
      <c r="AM33" s="22">
        <v>0.13</v>
      </c>
      <c r="AN33" s="22" t="s">
        <v>331</v>
      </c>
      <c r="AO33" s="22" t="s">
        <v>331</v>
      </c>
      <c r="AP33" s="22" t="s">
        <v>673</v>
      </c>
      <c r="AQ33" s="22" t="str">
        <f t="shared" si="15"/>
        <v>Nanophytoplankton</v>
      </c>
      <c r="AR33" s="22">
        <v>1</v>
      </c>
      <c r="AS33" s="22">
        <v>1</v>
      </c>
      <c r="AT33" s="22">
        <v>0</v>
      </c>
      <c r="AU33" s="22">
        <v>0</v>
      </c>
      <c r="AV33" s="22">
        <v>0</v>
      </c>
      <c r="AW33" s="22">
        <v>0</v>
      </c>
      <c r="AX33" s="22">
        <v>1</v>
      </c>
      <c r="AY33" s="22">
        <v>0</v>
      </c>
      <c r="BF33" s="22">
        <v>0</v>
      </c>
      <c r="BG33" s="22">
        <v>0</v>
      </c>
      <c r="BH33" s="22">
        <f t="shared" si="2"/>
        <v>0.39067400656898399</v>
      </c>
    </row>
    <row r="34" spans="1:60" s="22" customFormat="1" ht="13">
      <c r="A34" s="21" t="s">
        <v>809</v>
      </c>
      <c r="B34" s="22" t="s">
        <v>663</v>
      </c>
      <c r="C34" s="22" t="s">
        <v>664</v>
      </c>
      <c r="D34" s="22" t="s">
        <v>665</v>
      </c>
      <c r="E34" s="22" t="s">
        <v>666</v>
      </c>
      <c r="F34" s="22" t="s">
        <v>667</v>
      </c>
      <c r="G34" s="22" t="s">
        <v>675</v>
      </c>
      <c r="H34" s="22" t="s">
        <v>692</v>
      </c>
      <c r="I34" s="22" t="s">
        <v>56</v>
      </c>
      <c r="J34" s="21" t="s">
        <v>810</v>
      </c>
      <c r="K34" s="21"/>
      <c r="L34" s="21"/>
      <c r="N34" s="22" t="s">
        <v>811</v>
      </c>
      <c r="O34" s="21" t="s">
        <v>672</v>
      </c>
      <c r="P34" s="21">
        <v>20240</v>
      </c>
      <c r="Q34" s="21">
        <v>45</v>
      </c>
      <c r="R34" s="21">
        <v>40</v>
      </c>
      <c r="S34" s="21">
        <v>35</v>
      </c>
      <c r="T34" s="21" t="s">
        <v>281</v>
      </c>
      <c r="U34" s="21">
        <v>1</v>
      </c>
      <c r="V34" s="22">
        <v>1</v>
      </c>
      <c r="W34" s="24">
        <f t="shared" si="11"/>
        <v>16495.624251104611</v>
      </c>
      <c r="X34" s="24">
        <f t="shared" si="12"/>
        <v>32970</v>
      </c>
      <c r="Y34" s="21">
        <v>1</v>
      </c>
      <c r="Z34" s="24">
        <f t="shared" si="13"/>
        <v>16495.624251104611</v>
      </c>
      <c r="AA34" s="24">
        <f t="shared" si="14"/>
        <v>32970</v>
      </c>
      <c r="AB34" s="21"/>
      <c r="AC34" s="21"/>
      <c r="AD34" s="21"/>
      <c r="AE34" s="21"/>
      <c r="AF34" s="21" t="s">
        <v>247</v>
      </c>
      <c r="AG34" s="21"/>
      <c r="AH34" s="24"/>
      <c r="AI34" s="24"/>
      <c r="AJ34" s="21">
        <v>32986.699999999997</v>
      </c>
      <c r="AK34" s="21">
        <v>45</v>
      </c>
      <c r="AL34" s="22" t="s">
        <v>161</v>
      </c>
      <c r="AM34" s="22">
        <v>0.13</v>
      </c>
      <c r="AN34" s="22" t="s">
        <v>331</v>
      </c>
      <c r="AO34" s="22" t="s">
        <v>331</v>
      </c>
      <c r="AP34" s="22" t="s">
        <v>673</v>
      </c>
      <c r="AQ34" s="22" t="str">
        <f t="shared" si="15"/>
        <v>Microphytoplankton</v>
      </c>
      <c r="AR34" s="22">
        <v>1</v>
      </c>
      <c r="AS34" s="22">
        <v>1</v>
      </c>
      <c r="AT34" s="22">
        <v>0</v>
      </c>
      <c r="AU34" s="22">
        <v>0</v>
      </c>
      <c r="AV34" s="22">
        <v>0</v>
      </c>
      <c r="AW34" s="22">
        <v>0</v>
      </c>
      <c r="AX34" s="22">
        <v>1</v>
      </c>
      <c r="AY34" s="22">
        <v>0</v>
      </c>
      <c r="BF34" s="22">
        <v>0</v>
      </c>
      <c r="BG34" s="22">
        <v>0</v>
      </c>
      <c r="BH34" s="22">
        <f t="shared" si="2"/>
        <v>1.9987118703793341</v>
      </c>
    </row>
    <row r="35" spans="1:60" s="22" customFormat="1" ht="13">
      <c r="A35" s="21"/>
      <c r="J35" s="21"/>
      <c r="K35" s="21"/>
      <c r="L35" s="21"/>
      <c r="O35" s="21"/>
      <c r="P35" s="21"/>
      <c r="Q35" s="21"/>
      <c r="R35" s="21"/>
      <c r="S35" s="21"/>
      <c r="T35" s="21"/>
      <c r="U35" s="21"/>
      <c r="W35" s="24"/>
      <c r="X35" s="24"/>
      <c r="Y35" s="21"/>
      <c r="Z35" s="24"/>
      <c r="AA35" s="24"/>
      <c r="AB35" s="21"/>
      <c r="AC35" s="21"/>
      <c r="AD35" s="21"/>
      <c r="AE35" s="21"/>
      <c r="AF35" s="21"/>
      <c r="AG35" s="21"/>
      <c r="AH35" s="24"/>
      <c r="AI35" s="24"/>
      <c r="AJ35" s="21"/>
      <c r="AK35" s="21"/>
    </row>
    <row r="36" spans="1:60" s="22" customFormat="1" ht="13">
      <c r="A36" s="21" t="s">
        <v>654</v>
      </c>
      <c r="B36" s="22" t="s">
        <v>149</v>
      </c>
      <c r="C36" s="22" t="s">
        <v>150</v>
      </c>
      <c r="D36" s="23" t="s">
        <v>151</v>
      </c>
      <c r="E36" s="22" t="s">
        <v>61</v>
      </c>
      <c r="F36" s="22" t="s">
        <v>152</v>
      </c>
      <c r="G36" s="22" t="s">
        <v>60</v>
      </c>
      <c r="H36" s="22" t="s">
        <v>226</v>
      </c>
      <c r="I36" s="22" t="s">
        <v>651</v>
      </c>
      <c r="J36" s="22" t="s">
        <v>655</v>
      </c>
      <c r="K36" s="22" t="s">
        <v>184</v>
      </c>
      <c r="L36" s="22" t="s">
        <v>241</v>
      </c>
      <c r="N36" s="22" t="s">
        <v>656</v>
      </c>
      <c r="O36" s="22" t="s">
        <v>158</v>
      </c>
      <c r="P36" s="21">
        <v>11900</v>
      </c>
      <c r="Q36" s="21">
        <v>6</v>
      </c>
      <c r="R36" s="21">
        <v>3</v>
      </c>
      <c r="S36" s="21">
        <v>3</v>
      </c>
      <c r="T36" s="21" t="s">
        <v>281</v>
      </c>
      <c r="U36" s="21">
        <v>1</v>
      </c>
      <c r="V36" s="21">
        <v>1</v>
      </c>
      <c r="W36" s="24">
        <f t="shared" ref="W36:W42" si="16">(4*3.14*(((Q36^1.6*R36^1.6+Q36^1.6*S36^1.6+R36^1.6+S36^1.6)/3)^(1/1.6)))*(1/V36)</f>
        <v>181.64401962190658</v>
      </c>
      <c r="X36" s="24">
        <f t="shared" ref="X36:X42" si="17">3.14/6*Q36*R36*S36*U36</f>
        <v>28.259999999999994</v>
      </c>
      <c r="Y36" s="21">
        <v>64</v>
      </c>
      <c r="Z36" s="24">
        <f t="shared" ref="Z36:Z42" si="18">Y36*W36</f>
        <v>11625.217255802021</v>
      </c>
      <c r="AA36" s="24">
        <f t="shared" ref="AA36:AA42" si="19">Y36*X36</f>
        <v>1808.6399999999996</v>
      </c>
      <c r="AB36" s="21">
        <v>25</v>
      </c>
      <c r="AC36" s="21">
        <v>25</v>
      </c>
      <c r="AD36" s="21">
        <v>25</v>
      </c>
      <c r="AE36" s="22" t="s">
        <v>159</v>
      </c>
      <c r="AF36" s="21">
        <v>0.2</v>
      </c>
      <c r="AG36" s="22">
        <v>1</v>
      </c>
      <c r="AH36" s="24">
        <f>(4*3.14*(((AB36^1.6*AC36^1.6+AB36^1.6*AD36^1.6+AC36^1.6+AD36^1.6)/3)^(1/1.6)))*(1/AG36)</f>
        <v>6114.7951676261209</v>
      </c>
      <c r="AI36" s="24">
        <f>3.14/6*AB36*AC36*AD36*AF36</f>
        <v>1635.4166666666667</v>
      </c>
      <c r="AJ36" s="21">
        <v>33.5</v>
      </c>
      <c r="AK36" s="21">
        <v>4</v>
      </c>
      <c r="AL36" s="22" t="s">
        <v>161</v>
      </c>
      <c r="AM36" s="22">
        <v>0.22</v>
      </c>
      <c r="AN36" s="22" t="s">
        <v>331</v>
      </c>
      <c r="AO36" s="22" t="s">
        <v>331</v>
      </c>
      <c r="AP36" s="22" t="s">
        <v>230</v>
      </c>
      <c r="AQ36" s="22" t="str">
        <f t="shared" ref="AQ36:AQ42" si="20">IF(AND($AK36&lt;20,AJ36&lt;10000),"Nanophytoplankton","Microphytoplankton")</f>
        <v>Nanophytoplankton</v>
      </c>
      <c r="AR36" s="22">
        <v>0</v>
      </c>
      <c r="AS36" s="22">
        <v>0</v>
      </c>
      <c r="AT36" s="22">
        <v>0</v>
      </c>
      <c r="AU36" s="22">
        <v>1</v>
      </c>
      <c r="AV36" s="22">
        <v>0</v>
      </c>
      <c r="AW36" s="22">
        <v>0</v>
      </c>
      <c r="AX36" s="22">
        <v>0</v>
      </c>
      <c r="AY36" s="22">
        <v>1</v>
      </c>
      <c r="BF36" s="22">
        <v>0</v>
      </c>
      <c r="BG36" s="22">
        <v>0</v>
      </c>
      <c r="BH36" s="22">
        <f t="shared" si="2"/>
        <v>0.15557902791858164</v>
      </c>
    </row>
    <row r="37" spans="1:60" s="22" customFormat="1" ht="13">
      <c r="A37" s="21" t="s">
        <v>657</v>
      </c>
      <c r="B37" s="22" t="s">
        <v>149</v>
      </c>
      <c r="C37" s="22" t="s">
        <v>150</v>
      </c>
      <c r="D37" s="23" t="s">
        <v>151</v>
      </c>
      <c r="E37" s="22" t="s">
        <v>61</v>
      </c>
      <c r="F37" s="22" t="s">
        <v>152</v>
      </c>
      <c r="G37" s="22" t="s">
        <v>60</v>
      </c>
      <c r="H37" s="22" t="s">
        <v>226</v>
      </c>
      <c r="I37" s="22" t="s">
        <v>651</v>
      </c>
      <c r="J37" s="22" t="s">
        <v>655</v>
      </c>
      <c r="K37" s="22" t="s">
        <v>184</v>
      </c>
      <c r="L37" s="22" t="s">
        <v>658</v>
      </c>
      <c r="N37" s="22" t="s">
        <v>656</v>
      </c>
      <c r="O37" s="22" t="s">
        <v>158</v>
      </c>
      <c r="P37" s="21">
        <v>11901</v>
      </c>
      <c r="Q37" s="21">
        <v>6</v>
      </c>
      <c r="R37" s="21">
        <v>3</v>
      </c>
      <c r="S37" s="21">
        <v>3</v>
      </c>
      <c r="T37" s="21" t="s">
        <v>281</v>
      </c>
      <c r="U37" s="21">
        <v>1</v>
      </c>
      <c r="V37" s="22">
        <v>1</v>
      </c>
      <c r="W37" s="24">
        <f t="shared" si="16"/>
        <v>181.64401962190658</v>
      </c>
      <c r="X37" s="24">
        <f t="shared" si="17"/>
        <v>28.259999999999994</v>
      </c>
      <c r="Y37" s="21">
        <v>1</v>
      </c>
      <c r="Z37" s="24">
        <f t="shared" si="18"/>
        <v>181.64401962190658</v>
      </c>
      <c r="AA37" s="24">
        <f t="shared" si="19"/>
        <v>28.259999999999994</v>
      </c>
      <c r="AB37" s="21"/>
      <c r="AC37" s="21"/>
      <c r="AD37" s="21"/>
      <c r="AF37" s="21"/>
      <c r="AH37" s="24"/>
      <c r="AI37" s="24"/>
      <c r="AJ37" s="21">
        <v>28.2</v>
      </c>
      <c r="AK37" s="21">
        <v>6</v>
      </c>
      <c r="AL37" s="22" t="s">
        <v>161</v>
      </c>
      <c r="AM37" s="22">
        <v>0.22</v>
      </c>
      <c r="AN37" s="22" t="s">
        <v>331</v>
      </c>
      <c r="AO37" s="22" t="s">
        <v>331</v>
      </c>
      <c r="AP37" s="22" t="s">
        <v>230</v>
      </c>
      <c r="AQ37" s="22" t="str">
        <f t="shared" si="20"/>
        <v>Nanophytoplankton</v>
      </c>
      <c r="AR37" s="22">
        <v>0</v>
      </c>
      <c r="AS37" s="22">
        <v>0</v>
      </c>
      <c r="AT37" s="22">
        <v>0</v>
      </c>
      <c r="AU37" s="22">
        <v>1</v>
      </c>
      <c r="AV37" s="22">
        <v>0</v>
      </c>
      <c r="AW37" s="22">
        <v>0</v>
      </c>
      <c r="AX37" s="22">
        <v>0</v>
      </c>
      <c r="AY37" s="22">
        <v>1</v>
      </c>
      <c r="BF37" s="22">
        <v>0</v>
      </c>
      <c r="BG37" s="22">
        <v>0</v>
      </c>
      <c r="BH37" s="22">
        <f t="shared" si="2"/>
        <v>0.15557902791858164</v>
      </c>
    </row>
    <row r="38" spans="1:60" s="22" customFormat="1" ht="13">
      <c r="A38" s="21" t="s">
        <v>661</v>
      </c>
      <c r="B38" s="22" t="s">
        <v>149</v>
      </c>
      <c r="C38" s="22" t="s">
        <v>150</v>
      </c>
      <c r="D38" s="23" t="s">
        <v>151</v>
      </c>
      <c r="E38" s="22" t="s">
        <v>61</v>
      </c>
      <c r="F38" s="22" t="s">
        <v>152</v>
      </c>
      <c r="G38" s="22" t="s">
        <v>60</v>
      </c>
      <c r="H38" s="22" t="s">
        <v>226</v>
      </c>
      <c r="I38" s="22" t="s">
        <v>651</v>
      </c>
      <c r="J38" s="22" t="s">
        <v>211</v>
      </c>
      <c r="M38" s="22" t="s">
        <v>1</v>
      </c>
      <c r="N38" s="22" t="s">
        <v>622</v>
      </c>
      <c r="O38" s="22" t="s">
        <v>158</v>
      </c>
      <c r="P38" s="21">
        <v>11910</v>
      </c>
      <c r="Q38" s="21">
        <v>5</v>
      </c>
      <c r="R38" s="21">
        <v>2.8</v>
      </c>
      <c r="S38" s="21">
        <v>2.8</v>
      </c>
      <c r="T38" s="21" t="s">
        <v>281</v>
      </c>
      <c r="U38" s="21">
        <v>1</v>
      </c>
      <c r="V38" s="21">
        <v>1</v>
      </c>
      <c r="W38" s="24">
        <f t="shared" si="16"/>
        <v>142.88287336383817</v>
      </c>
      <c r="X38" s="24">
        <f t="shared" si="17"/>
        <v>20.514666666666663</v>
      </c>
      <c r="Y38" s="21">
        <v>64</v>
      </c>
      <c r="Z38" s="24">
        <f t="shared" si="18"/>
        <v>9144.503895285643</v>
      </c>
      <c r="AA38" s="24">
        <f t="shared" si="19"/>
        <v>1312.9386666666664</v>
      </c>
      <c r="AB38" s="21">
        <v>35</v>
      </c>
      <c r="AC38" s="21">
        <v>30</v>
      </c>
      <c r="AD38" s="21">
        <v>30</v>
      </c>
      <c r="AE38" s="22" t="s">
        <v>159</v>
      </c>
      <c r="AF38" s="21">
        <v>0.2</v>
      </c>
      <c r="AG38" s="22">
        <v>1</v>
      </c>
      <c r="AH38" s="24">
        <f>(4*3.14*(((AB38^1.6*AC38^1.6+AB38^1.6*AD38^1.6+AC38^1.6+AD38^1.6)/3)^(1/1.6)))*(1/AG38)</f>
        <v>10257.44062743935</v>
      </c>
      <c r="AI38" s="24">
        <f>3.14/6*AB38*AC38*AD38*AF38</f>
        <v>3297</v>
      </c>
      <c r="AJ38" s="21">
        <v>1313.6</v>
      </c>
      <c r="AK38" s="21">
        <v>100</v>
      </c>
      <c r="AL38" s="22" t="s">
        <v>161</v>
      </c>
      <c r="AM38" s="22">
        <v>0.22</v>
      </c>
      <c r="AN38" s="22" t="s">
        <v>331</v>
      </c>
      <c r="AO38" s="22" t="s">
        <v>331</v>
      </c>
      <c r="AP38" s="22" t="s">
        <v>230</v>
      </c>
      <c r="AQ38" s="22" t="str">
        <f t="shared" si="20"/>
        <v>Microphytoplankton</v>
      </c>
      <c r="AR38" s="22">
        <v>0</v>
      </c>
      <c r="AS38" s="22">
        <v>0</v>
      </c>
      <c r="AT38" s="22">
        <v>0</v>
      </c>
      <c r="AU38" s="22">
        <v>1</v>
      </c>
      <c r="AV38" s="22">
        <v>0</v>
      </c>
      <c r="AW38" s="22">
        <v>0</v>
      </c>
      <c r="AX38" s="22">
        <v>0</v>
      </c>
      <c r="AY38" s="22">
        <v>1</v>
      </c>
      <c r="BH38" s="22">
        <f t="shared" si="2"/>
        <v>0.14357680653879307</v>
      </c>
    </row>
    <row r="39" spans="1:60" s="22" customFormat="1" ht="13">
      <c r="A39" s="22" t="s">
        <v>944</v>
      </c>
      <c r="B39" s="22" t="s">
        <v>663</v>
      </c>
      <c r="C39" s="23" t="s">
        <v>664</v>
      </c>
      <c r="D39" s="23" t="s">
        <v>665</v>
      </c>
      <c r="E39" s="23" t="s">
        <v>867</v>
      </c>
      <c r="F39" s="22" t="s">
        <v>868</v>
      </c>
      <c r="G39" s="23" t="s">
        <v>869</v>
      </c>
      <c r="H39" s="22" t="s">
        <v>870</v>
      </c>
      <c r="I39" s="22" t="s">
        <v>933</v>
      </c>
      <c r="J39" s="22" t="s">
        <v>945</v>
      </c>
      <c r="N39" s="22" t="s">
        <v>946</v>
      </c>
      <c r="O39" s="22" t="s">
        <v>873</v>
      </c>
      <c r="P39" s="21">
        <v>40303</v>
      </c>
      <c r="Q39" s="22">
        <v>31.5</v>
      </c>
      <c r="R39" s="22">
        <v>24.5</v>
      </c>
      <c r="S39" s="22">
        <v>15</v>
      </c>
      <c r="T39" s="22" t="s">
        <v>281</v>
      </c>
      <c r="U39" s="21">
        <v>1</v>
      </c>
      <c r="V39" s="22">
        <v>1</v>
      </c>
      <c r="W39" s="24">
        <f t="shared" si="16"/>
        <v>6185.1341521779841</v>
      </c>
      <c r="X39" s="24">
        <f t="shared" si="17"/>
        <v>6058.2375000000002</v>
      </c>
      <c r="Y39" s="21">
        <v>1</v>
      </c>
      <c r="Z39" s="24">
        <f t="shared" si="18"/>
        <v>6185.1341521779841</v>
      </c>
      <c r="AA39" s="24">
        <f t="shared" si="19"/>
        <v>6058.2375000000002</v>
      </c>
      <c r="AE39" s="21"/>
      <c r="AF39" s="21" t="s">
        <v>247</v>
      </c>
      <c r="AG39" s="21"/>
      <c r="AH39" s="24"/>
      <c r="AI39" s="24"/>
      <c r="AJ39" s="21">
        <v>9895.1212500000001</v>
      </c>
      <c r="AK39" s="21">
        <v>31.5</v>
      </c>
      <c r="AL39" s="22" t="s">
        <v>161</v>
      </c>
      <c r="AM39" s="22">
        <v>0.11</v>
      </c>
      <c r="AN39" s="22" t="s">
        <v>931</v>
      </c>
      <c r="AO39" s="22" t="s">
        <v>931</v>
      </c>
      <c r="AP39" s="22" t="s">
        <v>673</v>
      </c>
      <c r="AQ39" s="22" t="str">
        <f t="shared" si="20"/>
        <v>Microphytoplankton</v>
      </c>
      <c r="AR39" s="22">
        <v>1</v>
      </c>
      <c r="AS39" s="22">
        <v>1</v>
      </c>
      <c r="AT39" s="22">
        <v>0</v>
      </c>
      <c r="AU39" s="22">
        <v>0</v>
      </c>
      <c r="AV39" s="22">
        <v>0</v>
      </c>
      <c r="AW39" s="22">
        <v>0</v>
      </c>
      <c r="AX39" s="22">
        <v>1</v>
      </c>
      <c r="AY39" s="22">
        <v>0</v>
      </c>
      <c r="BF39" s="22">
        <v>0</v>
      </c>
      <c r="BG39" s="22">
        <v>0</v>
      </c>
      <c r="BH39" s="22">
        <f t="shared" si="2"/>
        <v>0.97948360551997093</v>
      </c>
    </row>
    <row r="40" spans="1:60" s="22" customFormat="1" ht="13">
      <c r="A40" s="21" t="s">
        <v>948</v>
      </c>
      <c r="B40" s="22" t="s">
        <v>663</v>
      </c>
      <c r="C40" s="23" t="s">
        <v>664</v>
      </c>
      <c r="D40" s="23" t="s">
        <v>665</v>
      </c>
      <c r="E40" s="23" t="s">
        <v>867</v>
      </c>
      <c r="F40" s="22" t="s">
        <v>868</v>
      </c>
      <c r="G40" s="23" t="s">
        <v>869</v>
      </c>
      <c r="H40" s="22" t="s">
        <v>870</v>
      </c>
      <c r="I40" s="22" t="s">
        <v>933</v>
      </c>
      <c r="J40" s="22" t="s">
        <v>949</v>
      </c>
      <c r="N40" s="22" t="s">
        <v>950</v>
      </c>
      <c r="O40" s="22" t="s">
        <v>873</v>
      </c>
      <c r="P40" s="21">
        <v>40310</v>
      </c>
      <c r="Q40" s="21">
        <v>13</v>
      </c>
      <c r="R40" s="21">
        <v>13</v>
      </c>
      <c r="S40" s="21">
        <v>13</v>
      </c>
      <c r="T40" s="22" t="s">
        <v>281</v>
      </c>
      <c r="U40" s="21">
        <v>1</v>
      </c>
      <c r="V40" s="22">
        <v>1</v>
      </c>
      <c r="W40" s="24">
        <f t="shared" si="16"/>
        <v>1664.4222732199528</v>
      </c>
      <c r="X40" s="24">
        <f t="shared" si="17"/>
        <v>1149.7633333333333</v>
      </c>
      <c r="Y40" s="21">
        <v>1</v>
      </c>
      <c r="Z40" s="24">
        <f t="shared" si="18"/>
        <v>1664.4222732199528</v>
      </c>
      <c r="AA40" s="24">
        <f t="shared" si="19"/>
        <v>1149.7633333333333</v>
      </c>
      <c r="AB40" s="21"/>
      <c r="AC40" s="21"/>
      <c r="AD40" s="21"/>
      <c r="AE40" s="21"/>
      <c r="AF40" s="21" t="s">
        <v>247</v>
      </c>
      <c r="AG40" s="21"/>
      <c r="AH40" s="24"/>
      <c r="AI40" s="24"/>
      <c r="AJ40" s="21">
        <v>1150.3</v>
      </c>
      <c r="AK40" s="21">
        <v>13</v>
      </c>
      <c r="AL40" s="22" t="s">
        <v>161</v>
      </c>
      <c r="AM40" s="22">
        <v>0.11</v>
      </c>
      <c r="AN40" s="22" t="s">
        <v>931</v>
      </c>
      <c r="AO40" s="22" t="s">
        <v>931</v>
      </c>
      <c r="AP40" s="22" t="s">
        <v>673</v>
      </c>
      <c r="AQ40" s="22" t="str">
        <f t="shared" si="20"/>
        <v>Nanophytoplankton</v>
      </c>
      <c r="AR40" s="22">
        <v>1</v>
      </c>
      <c r="AS40" s="22">
        <v>1</v>
      </c>
      <c r="AT40" s="22">
        <v>0</v>
      </c>
      <c r="AU40" s="22">
        <v>0</v>
      </c>
      <c r="AV40" s="22">
        <v>0</v>
      </c>
      <c r="AW40" s="22">
        <v>0</v>
      </c>
      <c r="AX40" s="22">
        <v>1</v>
      </c>
      <c r="AY40" s="22">
        <v>0</v>
      </c>
      <c r="BF40" s="22">
        <v>0</v>
      </c>
      <c r="BG40" s="22">
        <v>0</v>
      </c>
      <c r="BH40" s="22">
        <f t="shared" si="2"/>
        <v>0.69078824035983832</v>
      </c>
    </row>
    <row r="41" spans="1:60" s="22" customFormat="1" ht="13">
      <c r="A41" s="22" t="s">
        <v>951</v>
      </c>
      <c r="B41" s="22" t="s">
        <v>663</v>
      </c>
      <c r="C41" s="23" t="s">
        <v>664</v>
      </c>
      <c r="D41" s="23" t="s">
        <v>665</v>
      </c>
      <c r="E41" s="23" t="s">
        <v>867</v>
      </c>
      <c r="F41" s="22" t="s">
        <v>868</v>
      </c>
      <c r="G41" s="23" t="s">
        <v>869</v>
      </c>
      <c r="H41" s="22" t="s">
        <v>870</v>
      </c>
      <c r="I41" s="22" t="s">
        <v>933</v>
      </c>
      <c r="J41" s="22" t="s">
        <v>949</v>
      </c>
      <c r="K41" s="22" t="s">
        <v>175</v>
      </c>
      <c r="L41" s="22" t="s">
        <v>952</v>
      </c>
      <c r="N41" s="22" t="s">
        <v>167</v>
      </c>
      <c r="O41" s="22" t="s">
        <v>873</v>
      </c>
      <c r="P41" s="21">
        <v>40311</v>
      </c>
      <c r="Q41" s="22">
        <v>16</v>
      </c>
      <c r="R41" s="22">
        <v>14</v>
      </c>
      <c r="S41" s="22">
        <v>14</v>
      </c>
      <c r="T41" s="22" t="s">
        <v>281</v>
      </c>
      <c r="U41" s="21">
        <v>1</v>
      </c>
      <c r="V41" s="22">
        <v>1</v>
      </c>
      <c r="W41" s="24">
        <f t="shared" si="16"/>
        <v>2199.763214194892</v>
      </c>
      <c r="X41" s="24">
        <f t="shared" si="17"/>
        <v>1641.1733333333332</v>
      </c>
      <c r="Y41" s="21">
        <v>1</v>
      </c>
      <c r="Z41" s="24">
        <f t="shared" si="18"/>
        <v>2199.763214194892</v>
      </c>
      <c r="AA41" s="24">
        <f t="shared" si="19"/>
        <v>1641.1733333333332</v>
      </c>
      <c r="AE41" s="21"/>
      <c r="AF41" s="21" t="s">
        <v>247</v>
      </c>
      <c r="AG41" s="21"/>
      <c r="AH41" s="24"/>
      <c r="AI41" s="24"/>
      <c r="AJ41" s="21">
        <v>1641.1733333333332</v>
      </c>
      <c r="AK41" s="21">
        <v>16</v>
      </c>
      <c r="AL41" s="22" t="s">
        <v>161</v>
      </c>
      <c r="AM41" s="22">
        <v>0.11</v>
      </c>
      <c r="AN41" s="22" t="s">
        <v>931</v>
      </c>
      <c r="AO41" s="22" t="s">
        <v>931</v>
      </c>
      <c r="AP41" s="22" t="s">
        <v>673</v>
      </c>
      <c r="AQ41" s="22" t="str">
        <f t="shared" si="20"/>
        <v>Nanophytoplankton</v>
      </c>
      <c r="AR41" s="22">
        <v>1</v>
      </c>
      <c r="AS41" s="22">
        <v>1</v>
      </c>
      <c r="AT41" s="22">
        <v>0</v>
      </c>
      <c r="AU41" s="22">
        <v>0</v>
      </c>
      <c r="AV41" s="22">
        <v>0</v>
      </c>
      <c r="AW41" s="22">
        <v>0</v>
      </c>
      <c r="AX41" s="22">
        <v>1</v>
      </c>
      <c r="AY41" s="22">
        <v>0</v>
      </c>
      <c r="BF41" s="22">
        <v>0</v>
      </c>
      <c r="BG41" s="22">
        <v>0</v>
      </c>
      <c r="BH41" s="22">
        <f t="shared" si="2"/>
        <v>0.74606817803978898</v>
      </c>
    </row>
    <row r="42" spans="1:60" s="22" customFormat="1" ht="13">
      <c r="A42" s="21" t="s">
        <v>947</v>
      </c>
      <c r="B42" s="22" t="s">
        <v>663</v>
      </c>
      <c r="C42" s="23" t="s">
        <v>664</v>
      </c>
      <c r="D42" s="23" t="s">
        <v>665</v>
      </c>
      <c r="E42" s="23" t="s">
        <v>867</v>
      </c>
      <c r="F42" s="22" t="s">
        <v>868</v>
      </c>
      <c r="G42" s="23" t="s">
        <v>869</v>
      </c>
      <c r="H42" s="22" t="s">
        <v>870</v>
      </c>
      <c r="I42" s="22" t="s">
        <v>933</v>
      </c>
      <c r="J42" s="22" t="s">
        <v>211</v>
      </c>
      <c r="M42" s="22" t="s">
        <v>1</v>
      </c>
      <c r="N42" s="22" t="s">
        <v>694</v>
      </c>
      <c r="O42" s="22" t="s">
        <v>873</v>
      </c>
      <c r="P42" s="21">
        <v>40300</v>
      </c>
      <c r="Q42" s="21">
        <v>12</v>
      </c>
      <c r="R42" s="21">
        <v>12</v>
      </c>
      <c r="S42" s="21">
        <v>12</v>
      </c>
      <c r="T42" s="22" t="s">
        <v>281</v>
      </c>
      <c r="U42" s="21">
        <v>1</v>
      </c>
      <c r="V42" s="22">
        <v>1</v>
      </c>
      <c r="W42" s="24">
        <f t="shared" si="16"/>
        <v>1420.171885313606</v>
      </c>
      <c r="X42" s="24">
        <f t="shared" si="17"/>
        <v>904.31999999999982</v>
      </c>
      <c r="Y42" s="21">
        <v>1</v>
      </c>
      <c r="Z42" s="24">
        <f t="shared" si="18"/>
        <v>1420.171885313606</v>
      </c>
      <c r="AA42" s="24">
        <f t="shared" si="19"/>
        <v>904.31999999999982</v>
      </c>
      <c r="AB42" s="21"/>
      <c r="AC42" s="21"/>
      <c r="AD42" s="21"/>
      <c r="AE42" s="21"/>
      <c r="AF42" s="21" t="s">
        <v>247</v>
      </c>
      <c r="AG42" s="21"/>
      <c r="AH42" s="24"/>
      <c r="AI42" s="24"/>
      <c r="AJ42" s="21">
        <v>904.8</v>
      </c>
      <c r="AK42" s="21">
        <v>12</v>
      </c>
      <c r="AL42" s="22" t="s">
        <v>161</v>
      </c>
      <c r="AM42" s="22">
        <v>0.11</v>
      </c>
      <c r="AN42" s="22" t="s">
        <v>931</v>
      </c>
      <c r="AO42" s="22" t="s">
        <v>931</v>
      </c>
      <c r="AP42" s="22" t="s">
        <v>673</v>
      </c>
      <c r="AQ42" s="22" t="str">
        <f t="shared" si="20"/>
        <v>Nanophytoplankton</v>
      </c>
      <c r="AR42" s="22">
        <v>1</v>
      </c>
      <c r="AS42" s="22">
        <v>1</v>
      </c>
      <c r="AT42" s="22">
        <v>0</v>
      </c>
      <c r="AU42" s="22">
        <v>0</v>
      </c>
      <c r="AV42" s="22">
        <v>0</v>
      </c>
      <c r="AW42" s="22">
        <v>0</v>
      </c>
      <c r="AX42" s="22">
        <v>1</v>
      </c>
      <c r="AY42" s="22">
        <v>0</v>
      </c>
      <c r="BF42" s="22">
        <v>0</v>
      </c>
      <c r="BG42" s="22">
        <v>0</v>
      </c>
      <c r="BH42" s="22">
        <f t="shared" si="2"/>
        <v>0.63676799220701763</v>
      </c>
    </row>
    <row r="43" spans="1:60" s="22" customFormat="1" ht="13">
      <c r="A43" s="21"/>
      <c r="C43" s="23"/>
      <c r="D43" s="23"/>
      <c r="E43" s="23"/>
      <c r="G43" s="23"/>
      <c r="P43" s="21"/>
      <c r="Q43" s="21"/>
      <c r="R43" s="21"/>
      <c r="S43" s="21"/>
      <c r="U43" s="21"/>
      <c r="W43" s="24"/>
      <c r="X43" s="24"/>
      <c r="Y43" s="21"/>
      <c r="Z43" s="24"/>
      <c r="AA43" s="24"/>
      <c r="AB43" s="21"/>
      <c r="AC43" s="21"/>
      <c r="AD43" s="21"/>
      <c r="AE43" s="21"/>
      <c r="AF43" s="21"/>
      <c r="AG43" s="21"/>
      <c r="AH43" s="24"/>
      <c r="AI43" s="24"/>
      <c r="AJ43" s="21"/>
      <c r="AK43" s="21"/>
    </row>
    <row r="44" spans="1:60" s="22" customFormat="1" ht="13">
      <c r="A44" s="21" t="s">
        <v>855</v>
      </c>
      <c r="B44" s="22" t="s">
        <v>663</v>
      </c>
      <c r="C44" s="23" t="s">
        <v>822</v>
      </c>
      <c r="D44" s="23" t="s">
        <v>823</v>
      </c>
      <c r="E44" s="23" t="s">
        <v>64</v>
      </c>
      <c r="F44" s="23" t="s">
        <v>824</v>
      </c>
      <c r="G44" s="22" t="s">
        <v>825</v>
      </c>
      <c r="H44" s="22" t="s">
        <v>856</v>
      </c>
      <c r="I44" s="22" t="s">
        <v>58</v>
      </c>
      <c r="J44" s="22" t="s">
        <v>586</v>
      </c>
      <c r="N44" s="22" t="s">
        <v>157</v>
      </c>
      <c r="O44" s="21" t="s">
        <v>829</v>
      </c>
      <c r="P44" s="21">
        <v>30210</v>
      </c>
      <c r="Q44" s="22">
        <v>14</v>
      </c>
      <c r="R44" s="22">
        <v>10</v>
      </c>
      <c r="S44" s="22">
        <v>8</v>
      </c>
      <c r="T44" s="22" t="s">
        <v>281</v>
      </c>
      <c r="U44" s="21">
        <v>1</v>
      </c>
      <c r="V44" s="22">
        <v>1</v>
      </c>
      <c r="W44" s="24">
        <f>(4*3.14*(((Q44^1.6*R44^1.6+Q44^1.6*S44^1.6+R44^1.6+S44^1.6)/3)^(1/1.6)))*(1/V44)</f>
        <v>1244.1098047866894</v>
      </c>
      <c r="X44" s="24">
        <f>3.14/6*Q44*R44*S44*U44</f>
        <v>586.13333333333333</v>
      </c>
      <c r="Y44" s="21">
        <v>1</v>
      </c>
      <c r="Z44" s="24">
        <f>Y44*W44</f>
        <v>1244.1098047866894</v>
      </c>
      <c r="AA44" s="24">
        <f>Y44*X44</f>
        <v>586.13333333333333</v>
      </c>
      <c r="AB44" s="21"/>
      <c r="AC44" s="21"/>
      <c r="AD44" s="21"/>
      <c r="AE44" s="21"/>
      <c r="AF44" s="21" t="s">
        <v>247</v>
      </c>
      <c r="AG44" s="21"/>
      <c r="AH44" s="24"/>
      <c r="AI44" s="24"/>
      <c r="AJ44" s="21">
        <v>527.79999999999995</v>
      </c>
      <c r="AK44" s="21">
        <v>14</v>
      </c>
      <c r="AL44" s="22" t="s">
        <v>161</v>
      </c>
      <c r="AM44" s="22">
        <v>0.11</v>
      </c>
      <c r="AO44" s="22" t="s">
        <v>830</v>
      </c>
      <c r="AP44" s="22" t="s">
        <v>673</v>
      </c>
      <c r="AQ44" s="22" t="str">
        <f>IF(AND($AK44&lt;20,AJ44&lt;10000),"Nanophytoplankton","Microphytoplankton")</f>
        <v>Nanophytoplankton</v>
      </c>
      <c r="AR44" s="22">
        <v>1</v>
      </c>
      <c r="AS44" s="22">
        <v>1</v>
      </c>
      <c r="AT44" s="22">
        <v>0</v>
      </c>
      <c r="AU44" s="22">
        <v>0</v>
      </c>
      <c r="AV44" s="22">
        <v>0</v>
      </c>
      <c r="AW44" s="22">
        <v>0</v>
      </c>
      <c r="AX44" s="22">
        <v>1</v>
      </c>
      <c r="AY44" s="22">
        <v>0</v>
      </c>
      <c r="BF44" s="22">
        <v>0</v>
      </c>
      <c r="BG44" s="22">
        <v>0</v>
      </c>
      <c r="BH44" s="22">
        <f t="shared" si="2"/>
        <v>0.47112668920234868</v>
      </c>
    </row>
    <row r="45" spans="1:60" s="22" customFormat="1" ht="13">
      <c r="A45" s="21" t="s">
        <v>857</v>
      </c>
      <c r="B45" s="22" t="s">
        <v>663</v>
      </c>
      <c r="C45" s="23" t="s">
        <v>822</v>
      </c>
      <c r="D45" s="23" t="s">
        <v>823</v>
      </c>
      <c r="E45" s="23" t="s">
        <v>64</v>
      </c>
      <c r="F45" s="23" t="s">
        <v>824</v>
      </c>
      <c r="G45" s="22" t="s">
        <v>825</v>
      </c>
      <c r="H45" s="22" t="s">
        <v>856</v>
      </c>
      <c r="I45" s="22" t="s">
        <v>58</v>
      </c>
      <c r="J45" s="22" t="s">
        <v>586</v>
      </c>
      <c r="K45" s="22" t="s">
        <v>175</v>
      </c>
      <c r="L45" s="22" t="s">
        <v>858</v>
      </c>
      <c r="N45" s="22" t="s">
        <v>859</v>
      </c>
      <c r="O45" s="21" t="s">
        <v>829</v>
      </c>
      <c r="P45" s="21">
        <v>30220</v>
      </c>
      <c r="Q45" s="22">
        <v>9</v>
      </c>
      <c r="R45" s="22">
        <v>4.7</v>
      </c>
      <c r="S45" s="22">
        <v>4</v>
      </c>
      <c r="T45" s="22" t="s">
        <v>281</v>
      </c>
      <c r="U45" s="21">
        <v>1</v>
      </c>
      <c r="V45" s="22">
        <v>1</v>
      </c>
      <c r="W45" s="24">
        <f>(4*3.14*(((Q45^1.6*R45^1.6+Q45^1.6*S45^1.6+R45^1.6+S45^1.6)/3)^(1/1.6)))*(1/V45)</f>
        <v>389.45670447278138</v>
      </c>
      <c r="X45" s="24">
        <f>3.14/6*Q45*R45*S45*U45</f>
        <v>88.548000000000002</v>
      </c>
      <c r="Y45" s="21">
        <v>1</v>
      </c>
      <c r="Z45" s="24">
        <f>Y45*W45</f>
        <v>389.45670447278138</v>
      </c>
      <c r="AA45" s="24">
        <f>Y45*X45</f>
        <v>88.548000000000002</v>
      </c>
      <c r="AB45" s="21"/>
      <c r="AC45" s="21"/>
      <c r="AD45" s="21"/>
      <c r="AE45" s="21"/>
      <c r="AF45" s="21" t="s">
        <v>247</v>
      </c>
      <c r="AG45" s="21"/>
      <c r="AH45" s="24"/>
      <c r="AI45" s="24"/>
      <c r="AJ45" s="21">
        <v>70.900000000000006</v>
      </c>
      <c r="AK45" s="21">
        <v>9</v>
      </c>
      <c r="AL45" s="22" t="s">
        <v>161</v>
      </c>
      <c r="AM45" s="22">
        <v>0.11</v>
      </c>
      <c r="AO45" s="22" t="s">
        <v>830</v>
      </c>
      <c r="AP45" s="22" t="s">
        <v>626</v>
      </c>
      <c r="AQ45" s="22" t="str">
        <f>IF(AND($AK45&lt;20,AJ45&lt;10000),"Nanophytoplankton","Microphytoplankton")</f>
        <v>Nanophytoplankton</v>
      </c>
      <c r="AR45" s="22">
        <v>1</v>
      </c>
      <c r="AS45" s="22">
        <v>1</v>
      </c>
      <c r="AT45" s="22">
        <v>0</v>
      </c>
      <c r="AU45" s="22">
        <v>0</v>
      </c>
      <c r="AV45" s="22">
        <v>0</v>
      </c>
      <c r="AW45" s="22">
        <v>0</v>
      </c>
      <c r="AX45" s="22">
        <v>1</v>
      </c>
      <c r="AY45" s="22">
        <v>0</v>
      </c>
      <c r="BF45" s="22">
        <v>0</v>
      </c>
      <c r="BG45" s="22">
        <v>0</v>
      </c>
      <c r="BH45" s="22">
        <f t="shared" si="2"/>
        <v>0.22736288522717807</v>
      </c>
    </row>
    <row r="46" spans="1:60" s="22" customFormat="1" ht="13">
      <c r="A46" s="21" t="s">
        <v>860</v>
      </c>
      <c r="B46" s="22" t="s">
        <v>663</v>
      </c>
      <c r="C46" s="23" t="s">
        <v>822</v>
      </c>
      <c r="D46" s="23" t="s">
        <v>823</v>
      </c>
      <c r="E46" s="23" t="s">
        <v>64</v>
      </c>
      <c r="F46" s="23" t="s">
        <v>824</v>
      </c>
      <c r="G46" s="22" t="s">
        <v>825</v>
      </c>
      <c r="H46" s="22" t="s">
        <v>856</v>
      </c>
      <c r="I46" s="22" t="s">
        <v>861</v>
      </c>
      <c r="J46" s="22" t="s">
        <v>586</v>
      </c>
      <c r="K46" s="22" t="s">
        <v>175</v>
      </c>
      <c r="L46" s="22" t="s">
        <v>858</v>
      </c>
      <c r="N46" s="22" t="s">
        <v>862</v>
      </c>
      <c r="O46" s="21" t="s">
        <v>829</v>
      </c>
      <c r="P46" s="21">
        <v>30221</v>
      </c>
      <c r="Q46" s="22">
        <v>9</v>
      </c>
      <c r="R46" s="22">
        <v>4.7</v>
      </c>
      <c r="S46" s="22">
        <v>4</v>
      </c>
      <c r="T46" s="22" t="s">
        <v>281</v>
      </c>
      <c r="U46" s="21">
        <v>1</v>
      </c>
      <c r="V46" s="22">
        <v>1</v>
      </c>
      <c r="W46" s="24">
        <f>(4*3.14*(((Q46^1.6*R46^1.6+Q46^1.6*S46^1.6+R46^1.6+S46^1.6)/3)^(1/1.6)))*(1/V46)</f>
        <v>389.45670447278138</v>
      </c>
      <c r="X46" s="24">
        <f>3.14/6*Q46*R46*S46*U46</f>
        <v>88.548000000000002</v>
      </c>
      <c r="Y46" s="21">
        <v>1</v>
      </c>
      <c r="Z46" s="24">
        <f>Y46*W46</f>
        <v>389.45670447278138</v>
      </c>
      <c r="AA46" s="24">
        <f>Y46*X46</f>
        <v>88.548000000000002</v>
      </c>
      <c r="AB46" s="21"/>
      <c r="AC46" s="21"/>
      <c r="AD46" s="21"/>
      <c r="AE46" s="21"/>
      <c r="AF46" s="21" t="s">
        <v>247</v>
      </c>
      <c r="AG46" s="21"/>
      <c r="AH46" s="24"/>
      <c r="AI46" s="24"/>
      <c r="AJ46" s="21">
        <v>70.900000000000006</v>
      </c>
      <c r="AK46" s="21">
        <v>9</v>
      </c>
      <c r="AL46" s="22" t="s">
        <v>161</v>
      </c>
      <c r="AM46" s="22">
        <v>0.11</v>
      </c>
      <c r="AO46" s="22" t="s">
        <v>830</v>
      </c>
      <c r="AP46" s="22" t="s">
        <v>626</v>
      </c>
      <c r="AQ46" s="22" t="str">
        <f>IF(AND($AK46&lt;20,AJ46&lt;10000),"Nanophytoplankton","Microphytoplankton")</f>
        <v>Nanophytoplankton</v>
      </c>
      <c r="AR46" s="22">
        <v>1</v>
      </c>
      <c r="AS46" s="22">
        <v>1</v>
      </c>
      <c r="AT46" s="22">
        <v>0</v>
      </c>
      <c r="AU46" s="22">
        <v>0</v>
      </c>
      <c r="AV46" s="22">
        <v>0</v>
      </c>
      <c r="AW46" s="22">
        <v>0</v>
      </c>
      <c r="AX46" s="22">
        <v>1</v>
      </c>
      <c r="AY46" s="22">
        <v>0</v>
      </c>
      <c r="BF46" s="22">
        <v>0</v>
      </c>
      <c r="BG46" s="22">
        <v>0</v>
      </c>
      <c r="BH46" s="22">
        <f t="shared" si="2"/>
        <v>0.22736288522717807</v>
      </c>
    </row>
    <row r="47" spans="1:60" s="22" customFormat="1" ht="13">
      <c r="A47" s="21" t="s">
        <v>863</v>
      </c>
      <c r="B47" s="22" t="s">
        <v>663</v>
      </c>
      <c r="C47" s="23" t="s">
        <v>822</v>
      </c>
      <c r="D47" s="23" t="s">
        <v>823</v>
      </c>
      <c r="E47" s="23" t="s">
        <v>64</v>
      </c>
      <c r="F47" s="23" t="s">
        <v>824</v>
      </c>
      <c r="G47" s="22" t="s">
        <v>825</v>
      </c>
      <c r="H47" s="22" t="s">
        <v>856</v>
      </c>
      <c r="I47" s="22" t="s">
        <v>861</v>
      </c>
      <c r="J47" s="22" t="s">
        <v>864</v>
      </c>
      <c r="N47" s="22" t="s">
        <v>865</v>
      </c>
      <c r="O47" s="21" t="s">
        <v>829</v>
      </c>
      <c r="P47" s="21">
        <v>30222</v>
      </c>
      <c r="Q47" s="22">
        <v>14</v>
      </c>
      <c r="R47" s="22">
        <v>10</v>
      </c>
      <c r="S47" s="22">
        <v>8</v>
      </c>
      <c r="T47" s="22" t="s">
        <v>281</v>
      </c>
      <c r="U47" s="21">
        <v>1</v>
      </c>
      <c r="V47" s="22">
        <v>1</v>
      </c>
      <c r="W47" s="24">
        <f>(4*3.14*(((Q47^1.6*R47^1.6+Q47^1.6*S47^1.6+R47^1.6+S47^1.6)/3)^(1/1.6)))*(1/V47)</f>
        <v>1244.1098047866894</v>
      </c>
      <c r="X47" s="24">
        <f>3.14/6*Q47*R47*S47*U47</f>
        <v>586.13333333333333</v>
      </c>
      <c r="Y47" s="21">
        <v>1</v>
      </c>
      <c r="Z47" s="24">
        <f>Y47*W47</f>
        <v>1244.1098047866894</v>
      </c>
      <c r="AA47" s="24">
        <f>Y47*X47</f>
        <v>586.13333333333333</v>
      </c>
      <c r="AB47" s="21"/>
      <c r="AC47" s="21"/>
      <c r="AD47" s="21"/>
      <c r="AE47" s="21"/>
      <c r="AF47" s="21" t="s">
        <v>247</v>
      </c>
      <c r="AG47" s="21"/>
      <c r="AH47" s="24"/>
      <c r="AI47" s="24"/>
      <c r="AJ47" s="21">
        <v>527.79999999999995</v>
      </c>
      <c r="AK47" s="21">
        <v>14</v>
      </c>
      <c r="AL47" s="22" t="s">
        <v>161</v>
      </c>
      <c r="AM47" s="22">
        <v>0.11</v>
      </c>
      <c r="AO47" s="22" t="s">
        <v>830</v>
      </c>
      <c r="AP47" s="22" t="s">
        <v>673</v>
      </c>
      <c r="AQ47" s="22" t="str">
        <f>IF(AND($AK47&lt;20,AJ47&lt;10000),"Nanophytoplankton","Microphytoplankton")</f>
        <v>Nanophytoplankton</v>
      </c>
      <c r="AR47" s="22">
        <v>1</v>
      </c>
      <c r="AS47" s="22">
        <v>1</v>
      </c>
      <c r="AT47" s="22">
        <v>0</v>
      </c>
      <c r="AU47" s="22">
        <v>0</v>
      </c>
      <c r="AV47" s="22">
        <v>0</v>
      </c>
      <c r="AW47" s="22">
        <v>0</v>
      </c>
      <c r="AX47" s="22">
        <v>1</v>
      </c>
      <c r="AY47" s="22">
        <v>0</v>
      </c>
      <c r="BH47" s="22">
        <f t="shared" si="2"/>
        <v>0.47112668920234868</v>
      </c>
    </row>
    <row r="48" spans="1:60" s="22" customFormat="1" ht="13">
      <c r="A48" s="21" t="s">
        <v>2698</v>
      </c>
      <c r="B48" s="22" t="s">
        <v>663</v>
      </c>
      <c r="C48" s="22" t="s">
        <v>2223</v>
      </c>
      <c r="D48" s="22" t="s">
        <v>2224</v>
      </c>
      <c r="E48" s="23" t="s">
        <v>63</v>
      </c>
      <c r="F48" s="23" t="s">
        <v>2225</v>
      </c>
      <c r="G48" s="23" t="s">
        <v>2226</v>
      </c>
      <c r="H48" s="22" t="s">
        <v>2253</v>
      </c>
      <c r="I48" s="22" t="s">
        <v>2692</v>
      </c>
      <c r="J48" s="38" t="s">
        <v>2603</v>
      </c>
      <c r="K48" s="38"/>
      <c r="L48" s="38"/>
      <c r="N48" s="22" t="s">
        <v>2699</v>
      </c>
      <c r="O48" s="22" t="s">
        <v>2229</v>
      </c>
      <c r="P48" s="22">
        <v>81791</v>
      </c>
      <c r="Q48" s="22">
        <v>23.5</v>
      </c>
      <c r="R48" s="22">
        <v>3.1</v>
      </c>
      <c r="S48" s="22">
        <v>3.1</v>
      </c>
      <c r="T48" s="22" t="s">
        <v>874</v>
      </c>
      <c r="U48" s="22">
        <v>0.9</v>
      </c>
      <c r="V48" s="22">
        <v>0.9</v>
      </c>
      <c r="W48" s="24">
        <f t="shared" ref="W48:W59" si="21">(4*3.14*(((Q48^1.6*R48^1.6+Q48^1.6*S48^1.6+R48^1.6+S48^1.6)/3)^(1/1.6)))*(1/V48)</f>
        <v>792.23082193102107</v>
      </c>
      <c r="X48" s="24">
        <f>3.14/12*R48*S48*Q48*U48</f>
        <v>53.184142500000007</v>
      </c>
      <c r="Y48" s="22">
        <v>1</v>
      </c>
      <c r="Z48" s="24">
        <f t="shared" ref="Z48:Z59" si="22">Y48*W48</f>
        <v>792.23082193102107</v>
      </c>
      <c r="AA48" s="24">
        <f t="shared" ref="AA48:AA59" si="23">Y48*X48</f>
        <v>53.184142500000007</v>
      </c>
      <c r="AH48" s="25"/>
      <c r="AI48" s="25"/>
      <c r="AJ48" s="21">
        <v>59.093491666666672</v>
      </c>
      <c r="AK48" s="21">
        <v>23.5</v>
      </c>
      <c r="AL48" s="22" t="s">
        <v>2700</v>
      </c>
      <c r="AM48" s="22">
        <v>0.16</v>
      </c>
      <c r="AN48" s="38" t="s">
        <v>2257</v>
      </c>
      <c r="AO48" s="22" t="s">
        <v>2257</v>
      </c>
      <c r="AP48" s="22" t="s">
        <v>162</v>
      </c>
      <c r="AQ48" s="22" t="str">
        <f t="shared" ref="AQ48:AQ59" si="24">IF(AND($AK48&lt;20,AJ48&lt;10000),"Nanophytoplankton","Microphytoplankton")</f>
        <v>Microphytoplankton</v>
      </c>
      <c r="AR48" s="22">
        <v>0</v>
      </c>
      <c r="AS48" s="22">
        <v>0</v>
      </c>
      <c r="AT48" s="22">
        <v>0</v>
      </c>
      <c r="AU48" s="22">
        <v>0</v>
      </c>
      <c r="AV48" s="22">
        <v>0</v>
      </c>
      <c r="AW48" s="22">
        <v>0</v>
      </c>
      <c r="AX48" s="22">
        <v>0</v>
      </c>
      <c r="AY48" s="22">
        <v>1</v>
      </c>
      <c r="BF48" s="22">
        <v>0</v>
      </c>
      <c r="BG48" s="22">
        <v>0</v>
      </c>
      <c r="BH48" s="22">
        <f t="shared" si="2"/>
        <v>6.7132129964808052E-2</v>
      </c>
    </row>
    <row r="49" spans="1:60" s="22" customFormat="1" ht="13">
      <c r="A49" s="21" t="s">
        <v>2691</v>
      </c>
      <c r="B49" s="22" t="s">
        <v>663</v>
      </c>
      <c r="C49" s="22" t="s">
        <v>2223</v>
      </c>
      <c r="D49" s="22" t="s">
        <v>2224</v>
      </c>
      <c r="E49" s="23" t="s">
        <v>63</v>
      </c>
      <c r="F49" s="23" t="s">
        <v>2225</v>
      </c>
      <c r="G49" s="23" t="s">
        <v>2226</v>
      </c>
      <c r="H49" s="22" t="s">
        <v>2253</v>
      </c>
      <c r="I49" s="22" t="s">
        <v>2692</v>
      </c>
      <c r="J49" s="38" t="s">
        <v>2693</v>
      </c>
      <c r="K49" s="38"/>
      <c r="L49" s="38"/>
      <c r="N49" s="22" t="s">
        <v>2694</v>
      </c>
      <c r="O49" s="22" t="s">
        <v>2229</v>
      </c>
      <c r="P49" s="22">
        <v>81754</v>
      </c>
      <c r="Q49" s="22">
        <v>32</v>
      </c>
      <c r="R49" s="22">
        <v>2.4</v>
      </c>
      <c r="S49" s="22">
        <v>2.4</v>
      </c>
      <c r="T49" s="22" t="s">
        <v>281</v>
      </c>
      <c r="U49" s="22">
        <v>0.7</v>
      </c>
      <c r="V49" s="22">
        <v>0.7</v>
      </c>
      <c r="W49" s="24">
        <f t="shared" si="21"/>
        <v>1072.1461891668425</v>
      </c>
      <c r="X49" s="24">
        <f>3.14/6*Q49*R49*S49*U49</f>
        <v>67.522559999999984</v>
      </c>
      <c r="Y49" s="22">
        <v>1</v>
      </c>
      <c r="Z49" s="24">
        <f t="shared" si="22"/>
        <v>1072.1461891668425</v>
      </c>
      <c r="AA49" s="24">
        <f t="shared" si="23"/>
        <v>67.522559999999984</v>
      </c>
      <c r="AH49" s="25"/>
      <c r="AI49" s="25"/>
      <c r="AJ49" s="21">
        <v>33.799999999999997</v>
      </c>
      <c r="AK49" s="21">
        <v>32</v>
      </c>
      <c r="AL49" s="22" t="s">
        <v>161</v>
      </c>
      <c r="AM49" s="22">
        <v>0.16</v>
      </c>
      <c r="AN49" s="38" t="s">
        <v>2257</v>
      </c>
      <c r="AO49" s="22" t="s">
        <v>2257</v>
      </c>
      <c r="AP49" s="22" t="s">
        <v>162</v>
      </c>
      <c r="AQ49" s="22" t="str">
        <f t="shared" si="24"/>
        <v>Microphytoplankton</v>
      </c>
      <c r="AR49" s="22">
        <v>0</v>
      </c>
      <c r="AS49" s="22">
        <v>0</v>
      </c>
      <c r="AT49" s="22">
        <v>0</v>
      </c>
      <c r="AU49" s="22">
        <v>0</v>
      </c>
      <c r="AV49" s="22">
        <v>0</v>
      </c>
      <c r="AW49" s="22">
        <v>0</v>
      </c>
      <c r="AX49" s="22">
        <v>0</v>
      </c>
      <c r="AY49" s="22">
        <v>1</v>
      </c>
      <c r="AZ49" s="22">
        <v>0</v>
      </c>
      <c r="BA49" s="22">
        <v>1</v>
      </c>
      <c r="BB49" s="22">
        <v>0</v>
      </c>
      <c r="BC49" s="22">
        <v>1</v>
      </c>
      <c r="BD49" s="22">
        <v>7</v>
      </c>
      <c r="BE49" s="22">
        <v>1</v>
      </c>
      <c r="BH49" s="22">
        <f t="shared" si="2"/>
        <v>6.2978874226537432E-2</v>
      </c>
    </row>
    <row r="50" spans="1:60" s="22" customFormat="1" ht="13">
      <c r="A50" s="22" t="s">
        <v>2704</v>
      </c>
      <c r="B50" s="22" t="s">
        <v>663</v>
      </c>
      <c r="C50" s="22" t="s">
        <v>2223</v>
      </c>
      <c r="D50" s="22" t="s">
        <v>2224</v>
      </c>
      <c r="E50" s="23" t="s">
        <v>63</v>
      </c>
      <c r="F50" s="23" t="s">
        <v>2225</v>
      </c>
      <c r="G50" s="23" t="s">
        <v>2226</v>
      </c>
      <c r="H50" s="22" t="s">
        <v>2253</v>
      </c>
      <c r="I50" s="22" t="s">
        <v>2692</v>
      </c>
      <c r="J50" s="22" t="s">
        <v>2705</v>
      </c>
      <c r="N50" s="22" t="s">
        <v>2706</v>
      </c>
      <c r="O50" s="22" t="s">
        <v>2229</v>
      </c>
      <c r="P50" s="22">
        <v>81797</v>
      </c>
      <c r="Q50" s="22">
        <v>11</v>
      </c>
      <c r="R50" s="22">
        <v>5</v>
      </c>
      <c r="S50" s="22">
        <v>5</v>
      </c>
      <c r="T50" s="22" t="s">
        <v>874</v>
      </c>
      <c r="U50" s="22">
        <v>1</v>
      </c>
      <c r="V50" s="22">
        <v>1</v>
      </c>
      <c r="W50" s="24">
        <f t="shared" si="21"/>
        <v>543.35896704279776</v>
      </c>
      <c r="X50" s="24">
        <f>3.14/12*R50*S50*Q50*U50</f>
        <v>71.958333333333343</v>
      </c>
      <c r="Y50" s="22">
        <v>1</v>
      </c>
      <c r="Z50" s="24">
        <f t="shared" si="22"/>
        <v>543.35896704279776</v>
      </c>
      <c r="AA50" s="24">
        <f t="shared" si="23"/>
        <v>71.958333333333343</v>
      </c>
      <c r="AH50" s="25"/>
      <c r="AI50" s="25"/>
      <c r="AJ50" s="21">
        <v>71.958333333333329</v>
      </c>
      <c r="AK50" s="21">
        <v>11</v>
      </c>
      <c r="AL50" s="22" t="s">
        <v>161</v>
      </c>
      <c r="AM50" s="22">
        <v>0.16</v>
      </c>
      <c r="AN50" s="22" t="s">
        <v>2257</v>
      </c>
      <c r="AO50" s="22" t="s">
        <v>2257</v>
      </c>
      <c r="AP50" s="22" t="s">
        <v>162</v>
      </c>
      <c r="AQ50" s="22" t="str">
        <f t="shared" si="24"/>
        <v>Nanophytoplankton</v>
      </c>
      <c r="AR50" s="22">
        <v>0</v>
      </c>
      <c r="AS50" s="22">
        <v>0</v>
      </c>
      <c r="AT50" s="22">
        <v>0</v>
      </c>
      <c r="AU50" s="22">
        <v>0</v>
      </c>
      <c r="AV50" s="22">
        <v>0</v>
      </c>
      <c r="AW50" s="22">
        <v>0</v>
      </c>
      <c r="AX50" s="22">
        <v>0</v>
      </c>
      <c r="AY50" s="22">
        <v>1</v>
      </c>
      <c r="BH50" s="22">
        <f t="shared" si="2"/>
        <v>0.13243240233056747</v>
      </c>
    </row>
    <row r="51" spans="1:60" s="22" customFormat="1" ht="13">
      <c r="A51" s="21" t="s">
        <v>2701</v>
      </c>
      <c r="B51" s="22" t="s">
        <v>663</v>
      </c>
      <c r="C51" s="22" t="s">
        <v>2223</v>
      </c>
      <c r="D51" s="22" t="s">
        <v>2224</v>
      </c>
      <c r="E51" s="23" t="s">
        <v>63</v>
      </c>
      <c r="F51" s="23" t="s">
        <v>2225</v>
      </c>
      <c r="G51" s="23" t="s">
        <v>2226</v>
      </c>
      <c r="H51" s="22" t="s">
        <v>2253</v>
      </c>
      <c r="I51" s="22" t="s">
        <v>2692</v>
      </c>
      <c r="J51" s="38" t="s">
        <v>2702</v>
      </c>
      <c r="K51" s="38"/>
      <c r="L51" s="38"/>
      <c r="N51" s="22" t="s">
        <v>2703</v>
      </c>
      <c r="O51" s="22" t="s">
        <v>2229</v>
      </c>
      <c r="P51" s="21">
        <v>81795</v>
      </c>
      <c r="Q51" s="21">
        <v>21</v>
      </c>
      <c r="R51" s="21">
        <v>2.4</v>
      </c>
      <c r="S51" s="21">
        <v>2.4</v>
      </c>
      <c r="T51" s="21" t="s">
        <v>281</v>
      </c>
      <c r="U51" s="21">
        <v>0.7</v>
      </c>
      <c r="V51" s="21">
        <v>0.7</v>
      </c>
      <c r="W51" s="24">
        <f t="shared" si="21"/>
        <v>705.24076543045101</v>
      </c>
      <c r="X51" s="24">
        <f>3.14/6*Q51*R51*S51*U51</f>
        <v>44.311679999999996</v>
      </c>
      <c r="Y51" s="22">
        <v>1</v>
      </c>
      <c r="Z51" s="24">
        <f t="shared" si="22"/>
        <v>705.24076543045101</v>
      </c>
      <c r="AA51" s="24">
        <f t="shared" si="23"/>
        <v>44.311679999999996</v>
      </c>
      <c r="AB51" s="21"/>
      <c r="AC51" s="21"/>
      <c r="AD51" s="21"/>
      <c r="AE51" s="21"/>
      <c r="AF51" s="21"/>
      <c r="AG51" s="21"/>
      <c r="AH51" s="24"/>
      <c r="AI51" s="24"/>
      <c r="AJ51" s="21">
        <v>66.5</v>
      </c>
      <c r="AK51" s="21">
        <v>21</v>
      </c>
      <c r="AL51" s="22" t="s">
        <v>161</v>
      </c>
      <c r="AM51" s="22">
        <v>0.16</v>
      </c>
      <c r="AN51" s="38" t="s">
        <v>2257</v>
      </c>
      <c r="AO51" s="22" t="s">
        <v>2257</v>
      </c>
      <c r="AP51" s="22" t="s">
        <v>162</v>
      </c>
      <c r="AQ51" s="22" t="str">
        <f t="shared" si="24"/>
        <v>Microphytoplankton</v>
      </c>
      <c r="AR51" s="22">
        <v>0</v>
      </c>
      <c r="AS51" s="22">
        <v>0</v>
      </c>
      <c r="AT51" s="22">
        <v>0</v>
      </c>
      <c r="AU51" s="22">
        <v>0</v>
      </c>
      <c r="AV51" s="22">
        <v>0</v>
      </c>
      <c r="AW51" s="22">
        <v>0</v>
      </c>
      <c r="AX51" s="22">
        <v>0</v>
      </c>
      <c r="AY51" s="22">
        <v>1</v>
      </c>
      <c r="BH51" s="22">
        <f t="shared" si="2"/>
        <v>6.2831988977486153E-2</v>
      </c>
    </row>
    <row r="52" spans="1:60" s="22" customFormat="1" ht="13">
      <c r="A52" s="21" t="s">
        <v>2709</v>
      </c>
      <c r="B52" s="22" t="s">
        <v>663</v>
      </c>
      <c r="C52" s="22" t="s">
        <v>2223</v>
      </c>
      <c r="D52" s="22" t="s">
        <v>2224</v>
      </c>
      <c r="E52" s="23" t="s">
        <v>63</v>
      </c>
      <c r="F52" s="23" t="s">
        <v>2225</v>
      </c>
      <c r="G52" s="23" t="s">
        <v>2226</v>
      </c>
      <c r="H52" s="22" t="s">
        <v>2253</v>
      </c>
      <c r="I52" s="22" t="s">
        <v>2692</v>
      </c>
      <c r="J52" s="22" t="s">
        <v>227</v>
      </c>
      <c r="N52" s="22" t="s">
        <v>2710</v>
      </c>
      <c r="O52" s="22" t="s">
        <v>2229</v>
      </c>
      <c r="P52" s="21">
        <v>81750</v>
      </c>
      <c r="Q52" s="22">
        <v>70</v>
      </c>
      <c r="R52" s="22">
        <v>3</v>
      </c>
      <c r="S52" s="22">
        <v>3</v>
      </c>
      <c r="T52" s="22" t="s">
        <v>281</v>
      </c>
      <c r="U52" s="22">
        <v>0.6</v>
      </c>
      <c r="V52" s="22">
        <v>0.6</v>
      </c>
      <c r="W52" s="24">
        <f t="shared" si="21"/>
        <v>3414.3145047022253</v>
      </c>
      <c r="X52" s="24">
        <f>3.14/6*Q52*R52*S52*U52</f>
        <v>197.82000000000002</v>
      </c>
      <c r="Y52" s="22">
        <v>1</v>
      </c>
      <c r="Z52" s="24">
        <f t="shared" si="22"/>
        <v>3414.3145047022253</v>
      </c>
      <c r="AA52" s="24">
        <f t="shared" si="23"/>
        <v>197.82000000000002</v>
      </c>
      <c r="AH52" s="25"/>
      <c r="AI52" s="25"/>
      <c r="AJ52" s="21">
        <v>298.5</v>
      </c>
      <c r="AK52" s="21">
        <v>70</v>
      </c>
      <c r="AL52" s="22" t="s">
        <v>161</v>
      </c>
      <c r="AM52" s="22">
        <v>0.16</v>
      </c>
      <c r="AN52" s="22" t="s">
        <v>2257</v>
      </c>
      <c r="AO52" s="22" t="s">
        <v>2257</v>
      </c>
      <c r="AP52" s="22" t="s">
        <v>162</v>
      </c>
      <c r="AQ52" s="22" t="str">
        <f t="shared" si="24"/>
        <v>Microphytoplankton</v>
      </c>
      <c r="AR52" s="22">
        <v>0</v>
      </c>
      <c r="AS52" s="22">
        <v>0</v>
      </c>
      <c r="AT52" s="22">
        <v>0</v>
      </c>
      <c r="AU52" s="22">
        <v>0</v>
      </c>
      <c r="AV52" s="22">
        <v>0</v>
      </c>
      <c r="AW52" s="22">
        <v>0</v>
      </c>
      <c r="AX52" s="22">
        <v>0</v>
      </c>
      <c r="AY52" s="22">
        <v>1</v>
      </c>
      <c r="BH52" s="22">
        <f t="shared" si="2"/>
        <v>5.7938423577429815E-2</v>
      </c>
    </row>
    <row r="53" spans="1:60" s="22" customFormat="1" ht="13">
      <c r="A53" s="22" t="s">
        <v>2712</v>
      </c>
      <c r="B53" s="22" t="s">
        <v>663</v>
      </c>
      <c r="C53" s="22" t="s">
        <v>2223</v>
      </c>
      <c r="D53" s="22" t="s">
        <v>2224</v>
      </c>
      <c r="E53" s="23" t="s">
        <v>63</v>
      </c>
      <c r="F53" s="23" t="s">
        <v>2225</v>
      </c>
      <c r="G53" s="23" t="s">
        <v>2226</v>
      </c>
      <c r="H53" s="22" t="s">
        <v>2253</v>
      </c>
      <c r="I53" s="22" t="s">
        <v>2692</v>
      </c>
      <c r="J53" s="22" t="s">
        <v>2175</v>
      </c>
      <c r="N53" s="22" t="s">
        <v>2713</v>
      </c>
      <c r="O53" s="22" t="s">
        <v>2229</v>
      </c>
      <c r="P53" s="21">
        <v>81799</v>
      </c>
      <c r="Q53" s="22">
        <v>55</v>
      </c>
      <c r="R53" s="22">
        <v>3</v>
      </c>
      <c r="S53" s="22">
        <v>3</v>
      </c>
      <c r="T53" s="22" t="s">
        <v>874</v>
      </c>
      <c r="U53" s="22">
        <v>1</v>
      </c>
      <c r="V53" s="22">
        <v>1</v>
      </c>
      <c r="W53" s="24">
        <f t="shared" si="21"/>
        <v>1610.1336396916679</v>
      </c>
      <c r="X53" s="24">
        <f>3.14/12*R53*S53*Q53*U53</f>
        <v>129.52499999999998</v>
      </c>
      <c r="Y53" s="22">
        <v>1</v>
      </c>
      <c r="Z53" s="24">
        <f t="shared" si="22"/>
        <v>1610.1336396916679</v>
      </c>
      <c r="AA53" s="24">
        <f t="shared" si="23"/>
        <v>129.52499999999998</v>
      </c>
      <c r="AH53" s="25"/>
      <c r="AI53" s="25"/>
      <c r="AJ53" s="21">
        <v>129.52500000000001</v>
      </c>
      <c r="AK53" s="21">
        <v>55</v>
      </c>
      <c r="AL53" s="22" t="s">
        <v>161</v>
      </c>
      <c r="AM53" s="22">
        <v>0.16</v>
      </c>
      <c r="AN53" s="22" t="s">
        <v>2257</v>
      </c>
      <c r="AO53" s="22" t="s">
        <v>2257</v>
      </c>
      <c r="AP53" s="22" t="s">
        <v>162</v>
      </c>
      <c r="AQ53" s="22" t="str">
        <f t="shared" si="24"/>
        <v>Microphytoplankton</v>
      </c>
      <c r="AR53" s="22">
        <v>0</v>
      </c>
      <c r="AS53" s="22">
        <v>0</v>
      </c>
      <c r="AT53" s="22">
        <v>0</v>
      </c>
      <c r="AU53" s="22">
        <v>0</v>
      </c>
      <c r="AV53" s="22">
        <v>0</v>
      </c>
      <c r="AW53" s="22">
        <v>0</v>
      </c>
      <c r="AX53" s="22">
        <v>0</v>
      </c>
      <c r="AY53" s="22">
        <v>1</v>
      </c>
      <c r="BH53" s="22">
        <f t="shared" si="2"/>
        <v>8.0443633253202099E-2</v>
      </c>
    </row>
    <row r="54" spans="1:60" s="22" customFormat="1" ht="13">
      <c r="A54" s="21" t="s">
        <v>2714</v>
      </c>
      <c r="B54" s="22" t="s">
        <v>663</v>
      </c>
      <c r="C54" s="22" t="s">
        <v>2223</v>
      </c>
      <c r="D54" s="22" t="s">
        <v>2224</v>
      </c>
      <c r="E54" s="23" t="s">
        <v>63</v>
      </c>
      <c r="F54" s="23" t="s">
        <v>2225</v>
      </c>
      <c r="G54" s="23" t="s">
        <v>2226</v>
      </c>
      <c r="H54" s="22" t="s">
        <v>2253</v>
      </c>
      <c r="I54" s="22" t="s">
        <v>2692</v>
      </c>
      <c r="J54" s="22" t="s">
        <v>2715</v>
      </c>
      <c r="N54" s="22" t="s">
        <v>2716</v>
      </c>
      <c r="O54" s="22" t="s">
        <v>2229</v>
      </c>
      <c r="P54" s="22">
        <v>81770</v>
      </c>
      <c r="Q54" s="22">
        <v>70</v>
      </c>
      <c r="R54" s="22">
        <v>2.7</v>
      </c>
      <c r="S54" s="22">
        <v>2.7</v>
      </c>
      <c r="T54" s="22" t="s">
        <v>281</v>
      </c>
      <c r="U54" s="22">
        <v>1.2</v>
      </c>
      <c r="V54" s="22">
        <v>1.2</v>
      </c>
      <c r="W54" s="24">
        <f t="shared" si="21"/>
        <v>1536.4415271160024</v>
      </c>
      <c r="X54" s="24">
        <f>3.14/6*Q54*R54*S54*U54</f>
        <v>320.46840000000009</v>
      </c>
      <c r="Y54" s="22">
        <v>1</v>
      </c>
      <c r="Z54" s="24">
        <f t="shared" si="22"/>
        <v>1536.4415271160024</v>
      </c>
      <c r="AA54" s="24">
        <f t="shared" si="23"/>
        <v>320.46840000000009</v>
      </c>
      <c r="AH54" s="25"/>
      <c r="AI54" s="25"/>
      <c r="AJ54" s="21">
        <v>160.30000000000001</v>
      </c>
      <c r="AK54" s="21">
        <v>70</v>
      </c>
      <c r="AL54" s="22" t="s">
        <v>161</v>
      </c>
      <c r="AM54" s="22">
        <v>0.16</v>
      </c>
      <c r="AN54" s="22" t="s">
        <v>2257</v>
      </c>
      <c r="AO54" s="22" t="s">
        <v>2257</v>
      </c>
      <c r="AP54" s="22" t="s">
        <v>162</v>
      </c>
      <c r="AQ54" s="22" t="str">
        <f t="shared" si="24"/>
        <v>Microphytoplankton</v>
      </c>
      <c r="AR54" s="22">
        <v>0</v>
      </c>
      <c r="AS54" s="22">
        <v>0</v>
      </c>
      <c r="AT54" s="22">
        <v>0</v>
      </c>
      <c r="AU54" s="22">
        <v>0</v>
      </c>
      <c r="AV54" s="22">
        <v>0</v>
      </c>
      <c r="AW54" s="22">
        <v>0</v>
      </c>
      <c r="AX54" s="22">
        <v>0</v>
      </c>
      <c r="AY54" s="22">
        <v>1</v>
      </c>
      <c r="AZ54" s="22">
        <v>0</v>
      </c>
      <c r="BA54" s="22">
        <v>1</v>
      </c>
      <c r="BB54" s="22">
        <v>0</v>
      </c>
      <c r="BC54" s="22">
        <v>1</v>
      </c>
      <c r="BD54" s="22">
        <v>7</v>
      </c>
      <c r="BE54" s="22">
        <v>1</v>
      </c>
      <c r="BH54" s="22">
        <f t="shared" si="2"/>
        <v>0.20857832487874725</v>
      </c>
    </row>
    <row r="55" spans="1:60" s="22" customFormat="1" ht="13">
      <c r="A55" s="21" t="s">
        <v>2717</v>
      </c>
      <c r="B55" s="22" t="s">
        <v>663</v>
      </c>
      <c r="C55" s="22" t="s">
        <v>2223</v>
      </c>
      <c r="D55" s="22" t="s">
        <v>2224</v>
      </c>
      <c r="E55" s="23" t="s">
        <v>63</v>
      </c>
      <c r="F55" s="23" t="s">
        <v>2225</v>
      </c>
      <c r="G55" s="23" t="s">
        <v>2226</v>
      </c>
      <c r="H55" s="22" t="s">
        <v>2253</v>
      </c>
      <c r="I55" s="22" t="s">
        <v>2692</v>
      </c>
      <c r="J55" s="38" t="s">
        <v>428</v>
      </c>
      <c r="K55" s="38"/>
      <c r="L55" s="38"/>
      <c r="N55" s="22" t="s">
        <v>2718</v>
      </c>
      <c r="O55" s="22" t="s">
        <v>2229</v>
      </c>
      <c r="P55" s="21">
        <v>81720</v>
      </c>
      <c r="Q55" s="21">
        <v>15</v>
      </c>
      <c r="R55" s="21">
        <v>4</v>
      </c>
      <c r="S55" s="21">
        <v>4</v>
      </c>
      <c r="T55" s="21" t="s">
        <v>281</v>
      </c>
      <c r="U55" s="21">
        <v>0.7</v>
      </c>
      <c r="V55" s="21">
        <v>0.7</v>
      </c>
      <c r="W55" s="24">
        <f t="shared" si="21"/>
        <v>842.41571633763772</v>
      </c>
      <c r="X55" s="24">
        <f>3.14/6*Q55*R55*S55*U55</f>
        <v>87.919999999999987</v>
      </c>
      <c r="Y55" s="22">
        <v>1</v>
      </c>
      <c r="Z55" s="24">
        <f t="shared" si="22"/>
        <v>842.41571633763772</v>
      </c>
      <c r="AA55" s="24">
        <f t="shared" si="23"/>
        <v>87.919999999999987</v>
      </c>
      <c r="AB55" s="21"/>
      <c r="AC55" s="21"/>
      <c r="AD55" s="21"/>
      <c r="AE55" s="21"/>
      <c r="AF55" s="21"/>
      <c r="AG55" s="21"/>
      <c r="AH55" s="24"/>
      <c r="AI55" s="24"/>
      <c r="AJ55" s="21">
        <v>131.9</v>
      </c>
      <c r="AK55" s="21">
        <v>15</v>
      </c>
      <c r="AL55" s="22" t="s">
        <v>161</v>
      </c>
      <c r="AM55" s="22">
        <v>0.16</v>
      </c>
      <c r="AN55" s="38" t="s">
        <v>2257</v>
      </c>
      <c r="AO55" s="22" t="s">
        <v>2257</v>
      </c>
      <c r="AP55" s="22" t="s">
        <v>162</v>
      </c>
      <c r="AQ55" s="22" t="str">
        <f t="shared" si="24"/>
        <v>Nanophytoplankton</v>
      </c>
      <c r="AR55" s="22">
        <v>0</v>
      </c>
      <c r="AS55" s="22">
        <v>0</v>
      </c>
      <c r="AT55" s="22">
        <v>0</v>
      </c>
      <c r="AU55" s="22">
        <v>0</v>
      </c>
      <c r="AV55" s="22">
        <v>0</v>
      </c>
      <c r="AW55" s="22">
        <v>0</v>
      </c>
      <c r="AX55" s="22">
        <v>0</v>
      </c>
      <c r="AY55" s="22">
        <v>1</v>
      </c>
      <c r="AZ55" s="22">
        <v>0</v>
      </c>
      <c r="BA55" s="22">
        <v>1</v>
      </c>
      <c r="BB55" s="22">
        <v>0</v>
      </c>
      <c r="BC55" s="22">
        <v>1</v>
      </c>
      <c r="BD55" s="22">
        <v>7</v>
      </c>
      <c r="BE55" s="22">
        <v>1</v>
      </c>
      <c r="BH55" s="22">
        <f t="shared" si="2"/>
        <v>0.10436652390844274</v>
      </c>
    </row>
    <row r="56" spans="1:60" s="22" customFormat="1" ht="13">
      <c r="A56" s="21" t="s">
        <v>2719</v>
      </c>
      <c r="B56" s="22" t="s">
        <v>663</v>
      </c>
      <c r="C56" s="22" t="s">
        <v>2223</v>
      </c>
      <c r="D56" s="22" t="s">
        <v>2224</v>
      </c>
      <c r="E56" s="23" t="s">
        <v>63</v>
      </c>
      <c r="F56" s="23" t="s">
        <v>2225</v>
      </c>
      <c r="G56" s="23" t="s">
        <v>2226</v>
      </c>
      <c r="H56" s="22" t="s">
        <v>2253</v>
      </c>
      <c r="I56" s="22" t="s">
        <v>2692</v>
      </c>
      <c r="J56" s="38" t="s">
        <v>2720</v>
      </c>
      <c r="K56" s="38"/>
      <c r="L56" s="38"/>
      <c r="N56" s="22" t="s">
        <v>2721</v>
      </c>
      <c r="O56" s="22" t="s">
        <v>2229</v>
      </c>
      <c r="P56" s="21">
        <v>81760</v>
      </c>
      <c r="Q56" s="21">
        <v>100</v>
      </c>
      <c r="R56" s="21">
        <v>4</v>
      </c>
      <c r="S56" s="21">
        <v>4</v>
      </c>
      <c r="T56" s="21" t="s">
        <v>281</v>
      </c>
      <c r="U56" s="21">
        <v>0.7</v>
      </c>
      <c r="V56" s="21">
        <v>0.7</v>
      </c>
      <c r="W56" s="24">
        <f t="shared" si="21"/>
        <v>5572.7012725453314</v>
      </c>
      <c r="X56" s="24">
        <f>3.14/6*Q56*R56*S56*U56</f>
        <v>586.13333333333321</v>
      </c>
      <c r="Y56" s="22">
        <v>1</v>
      </c>
      <c r="Z56" s="24">
        <f t="shared" si="22"/>
        <v>5572.7012725453314</v>
      </c>
      <c r="AA56" s="24">
        <f t="shared" si="23"/>
        <v>586.13333333333321</v>
      </c>
      <c r="AB56" s="21"/>
      <c r="AC56" s="21"/>
      <c r="AD56" s="21"/>
      <c r="AE56" s="21"/>
      <c r="AF56" s="21"/>
      <c r="AG56" s="21"/>
      <c r="AH56" s="24"/>
      <c r="AI56" s="24"/>
      <c r="AJ56" s="21">
        <v>879.6</v>
      </c>
      <c r="AK56" s="21">
        <v>100</v>
      </c>
      <c r="AL56" s="22" t="s">
        <v>161</v>
      </c>
      <c r="AM56" s="22">
        <v>0.16</v>
      </c>
      <c r="AN56" s="38" t="s">
        <v>2257</v>
      </c>
      <c r="AO56" s="22" t="s">
        <v>2257</v>
      </c>
      <c r="AP56" s="22" t="s">
        <v>162</v>
      </c>
      <c r="AQ56" s="22" t="str">
        <f t="shared" si="24"/>
        <v>Microphytoplankton</v>
      </c>
      <c r="AR56" s="22">
        <v>0</v>
      </c>
      <c r="AS56" s="22">
        <v>0</v>
      </c>
      <c r="AT56" s="22">
        <v>0</v>
      </c>
      <c r="AU56" s="22">
        <v>0</v>
      </c>
      <c r="AV56" s="22">
        <v>0</v>
      </c>
      <c r="AW56" s="22">
        <v>0</v>
      </c>
      <c r="AX56" s="22">
        <v>0</v>
      </c>
      <c r="AY56" s="22">
        <v>1</v>
      </c>
      <c r="BH56" s="22">
        <f t="shared" si="2"/>
        <v>0.10517939230315441</v>
      </c>
    </row>
    <row r="57" spans="1:60" s="22" customFormat="1" ht="13">
      <c r="A57" s="22" t="s">
        <v>2722</v>
      </c>
      <c r="B57" s="22" t="s">
        <v>663</v>
      </c>
      <c r="C57" s="22" t="s">
        <v>2223</v>
      </c>
      <c r="D57" s="22" t="s">
        <v>2224</v>
      </c>
      <c r="E57" s="23" t="s">
        <v>63</v>
      </c>
      <c r="F57" s="23" t="s">
        <v>2225</v>
      </c>
      <c r="G57" s="23" t="s">
        <v>2226</v>
      </c>
      <c r="H57" s="22" t="s">
        <v>2253</v>
      </c>
      <c r="I57" s="22" t="s">
        <v>2692</v>
      </c>
      <c r="J57" s="22" t="s">
        <v>2723</v>
      </c>
      <c r="N57" s="22" t="s">
        <v>2724</v>
      </c>
      <c r="O57" s="22" t="s">
        <v>2229</v>
      </c>
      <c r="P57" s="21">
        <v>81761</v>
      </c>
      <c r="Q57" s="22">
        <v>3.5</v>
      </c>
      <c r="R57" s="22">
        <v>1.7</v>
      </c>
      <c r="S57" s="22">
        <v>1.7</v>
      </c>
      <c r="T57" s="22" t="s">
        <v>874</v>
      </c>
      <c r="U57" s="22">
        <v>1</v>
      </c>
      <c r="V57" s="22">
        <v>1</v>
      </c>
      <c r="W57" s="24">
        <f t="shared" si="21"/>
        <v>62.771050099504329</v>
      </c>
      <c r="X57" s="24">
        <f>3.14/12*R57*S57*Q57*U57</f>
        <v>2.6467583333333331</v>
      </c>
      <c r="Y57" s="22">
        <v>1</v>
      </c>
      <c r="Z57" s="24">
        <f t="shared" si="22"/>
        <v>62.771050099504329</v>
      </c>
      <c r="AA57" s="24">
        <f t="shared" si="23"/>
        <v>2.6467583333333331</v>
      </c>
      <c r="AH57" s="25"/>
      <c r="AI57" s="25"/>
      <c r="AJ57" s="21">
        <v>2.6467583333333327</v>
      </c>
      <c r="AK57" s="21">
        <v>3.5</v>
      </c>
      <c r="AL57" s="22" t="s">
        <v>161</v>
      </c>
      <c r="AM57" s="22">
        <v>0.16</v>
      </c>
      <c r="AN57" s="22" t="s">
        <v>2257</v>
      </c>
      <c r="AO57" s="22" t="s">
        <v>2257</v>
      </c>
      <c r="AP57" s="22" t="s">
        <v>626</v>
      </c>
      <c r="AQ57" s="22" t="str">
        <f t="shared" si="24"/>
        <v>Nanophytoplankton</v>
      </c>
      <c r="AR57" s="22">
        <v>0</v>
      </c>
      <c r="AS57" s="22">
        <v>0</v>
      </c>
      <c r="AT57" s="22">
        <v>0</v>
      </c>
      <c r="AU57" s="22">
        <v>0</v>
      </c>
      <c r="AV57" s="22">
        <v>0</v>
      </c>
      <c r="AW57" s="22">
        <v>0</v>
      </c>
      <c r="AX57" s="22">
        <v>0</v>
      </c>
      <c r="AY57" s="22">
        <v>1</v>
      </c>
      <c r="BH57" s="22">
        <f t="shared" si="2"/>
        <v>4.2165270919280559E-2</v>
      </c>
    </row>
    <row r="58" spans="1:60" s="22" customFormat="1" ht="13">
      <c r="A58" s="22" t="s">
        <v>2725</v>
      </c>
      <c r="B58" s="22" t="s">
        <v>663</v>
      </c>
      <c r="C58" s="22" t="s">
        <v>2223</v>
      </c>
      <c r="D58" s="22" t="s">
        <v>2224</v>
      </c>
      <c r="E58" s="23" t="s">
        <v>63</v>
      </c>
      <c r="F58" s="23" t="s">
        <v>2225</v>
      </c>
      <c r="G58" s="23" t="s">
        <v>2226</v>
      </c>
      <c r="H58" s="22" t="s">
        <v>2253</v>
      </c>
      <c r="I58" s="22" t="s">
        <v>2692</v>
      </c>
      <c r="J58" s="22" t="s">
        <v>2676</v>
      </c>
      <c r="N58" s="22" t="s">
        <v>2726</v>
      </c>
      <c r="O58" s="22" t="s">
        <v>2229</v>
      </c>
      <c r="P58" s="21">
        <v>81762</v>
      </c>
      <c r="Q58" s="22">
        <v>19</v>
      </c>
      <c r="R58" s="22">
        <v>4.5</v>
      </c>
      <c r="S58" s="22">
        <v>4.5</v>
      </c>
      <c r="T58" s="22" t="s">
        <v>874</v>
      </c>
      <c r="U58" s="22">
        <v>1</v>
      </c>
      <c r="V58" s="22">
        <v>1</v>
      </c>
      <c r="W58" s="24">
        <f t="shared" si="21"/>
        <v>838.16459622801312</v>
      </c>
      <c r="X58" s="24">
        <f>3.14/12*R58*S58*Q58*U58</f>
        <v>100.67625</v>
      </c>
      <c r="Y58" s="22">
        <v>1</v>
      </c>
      <c r="Z58" s="24">
        <f t="shared" si="22"/>
        <v>838.16459622801312</v>
      </c>
      <c r="AA58" s="24">
        <f t="shared" si="23"/>
        <v>100.67625</v>
      </c>
      <c r="AH58" s="25"/>
      <c r="AI58" s="25"/>
      <c r="AJ58" s="21">
        <v>100.67625</v>
      </c>
      <c r="AK58" s="21">
        <v>19</v>
      </c>
      <c r="AL58" s="22" t="s">
        <v>161</v>
      </c>
      <c r="AM58" s="22">
        <v>0.16</v>
      </c>
      <c r="AN58" s="22" t="s">
        <v>2257</v>
      </c>
      <c r="AO58" s="22" t="s">
        <v>2257</v>
      </c>
      <c r="AP58" s="22" t="s">
        <v>162</v>
      </c>
      <c r="AQ58" s="22" t="str">
        <f t="shared" si="24"/>
        <v>Nanophytoplankton</v>
      </c>
      <c r="AR58" s="22">
        <v>0</v>
      </c>
      <c r="AS58" s="22">
        <v>0</v>
      </c>
      <c r="AT58" s="22">
        <v>0</v>
      </c>
      <c r="AU58" s="22">
        <v>0</v>
      </c>
      <c r="AV58" s="22">
        <v>0</v>
      </c>
      <c r="AW58" s="22">
        <v>0</v>
      </c>
      <c r="AX58" s="22">
        <v>0</v>
      </c>
      <c r="AY58" s="22">
        <v>1</v>
      </c>
      <c r="BH58" s="22">
        <f t="shared" si="2"/>
        <v>0.12011513067131765</v>
      </c>
    </row>
    <row r="59" spans="1:60" s="22" customFormat="1" ht="13">
      <c r="A59" s="22" t="s">
        <v>2733</v>
      </c>
      <c r="B59" s="22" t="s">
        <v>663</v>
      </c>
      <c r="C59" s="22" t="s">
        <v>2223</v>
      </c>
      <c r="D59" s="22" t="s">
        <v>2224</v>
      </c>
      <c r="E59" s="23" t="s">
        <v>63</v>
      </c>
      <c r="F59" s="23" t="s">
        <v>2225</v>
      </c>
      <c r="G59" s="23" t="s">
        <v>2226</v>
      </c>
      <c r="H59" s="22" t="s">
        <v>2253</v>
      </c>
      <c r="I59" s="22" t="s">
        <v>2692</v>
      </c>
      <c r="J59" s="22" t="s">
        <v>2734</v>
      </c>
      <c r="N59" s="22" t="s">
        <v>2735</v>
      </c>
      <c r="O59" s="22" t="s">
        <v>2229</v>
      </c>
      <c r="P59" s="21">
        <v>81701</v>
      </c>
      <c r="Q59" s="22">
        <v>20.5</v>
      </c>
      <c r="R59" s="22">
        <v>1</v>
      </c>
      <c r="S59" s="22">
        <v>1</v>
      </c>
      <c r="T59" s="22" t="s">
        <v>874</v>
      </c>
      <c r="U59" s="22">
        <v>1</v>
      </c>
      <c r="V59" s="22">
        <v>1</v>
      </c>
      <c r="W59" s="24">
        <f t="shared" si="21"/>
        <v>200.83523596533831</v>
      </c>
      <c r="X59" s="24">
        <f>3.14/12*R59*S59*Q59*U59</f>
        <v>5.3641666666666667</v>
      </c>
      <c r="Y59" s="22">
        <v>1</v>
      </c>
      <c r="Z59" s="24">
        <f t="shared" si="22"/>
        <v>200.83523596533831</v>
      </c>
      <c r="AA59" s="24">
        <f t="shared" si="23"/>
        <v>5.3641666666666667</v>
      </c>
      <c r="AH59" s="25"/>
      <c r="AI59" s="25"/>
      <c r="AJ59" s="21">
        <v>5.3641666666666667</v>
      </c>
      <c r="AK59" s="21">
        <v>20.5</v>
      </c>
      <c r="AL59" s="22" t="s">
        <v>161</v>
      </c>
      <c r="AM59" s="22">
        <v>0.16</v>
      </c>
      <c r="AN59" s="22" t="s">
        <v>2257</v>
      </c>
      <c r="AO59" s="22" t="s">
        <v>2257</v>
      </c>
      <c r="AP59" s="22" t="s">
        <v>162</v>
      </c>
      <c r="AQ59" s="22" t="str">
        <f t="shared" si="24"/>
        <v>Microphytoplankton</v>
      </c>
      <c r="AR59" s="22">
        <v>0</v>
      </c>
      <c r="AS59" s="22">
        <v>0</v>
      </c>
      <c r="AT59" s="22">
        <v>0</v>
      </c>
      <c r="AU59" s="22">
        <v>0</v>
      </c>
      <c r="AV59" s="22">
        <v>0</v>
      </c>
      <c r="AW59" s="22">
        <v>0</v>
      </c>
      <c r="AX59" s="22">
        <v>0</v>
      </c>
      <c r="AY59" s="22">
        <v>1</v>
      </c>
      <c r="BH59" s="22">
        <f t="shared" si="2"/>
        <v>2.6709290533024073E-2</v>
      </c>
    </row>
    <row r="60" spans="1:60">
      <c r="BH60" s="22"/>
    </row>
    <row r="61" spans="1:60" s="22" customFormat="1" ht="13">
      <c r="A61" s="21" t="s">
        <v>3264</v>
      </c>
      <c r="B61" s="22" t="s">
        <v>663</v>
      </c>
      <c r="C61" s="23" t="s">
        <v>2223</v>
      </c>
      <c r="D61" s="22" t="s">
        <v>3188</v>
      </c>
      <c r="E61" s="23" t="s">
        <v>3189</v>
      </c>
      <c r="F61" s="23" t="s">
        <v>3190</v>
      </c>
      <c r="G61" s="23" t="s">
        <v>3191</v>
      </c>
      <c r="H61" s="23" t="s">
        <v>3192</v>
      </c>
      <c r="I61" s="22" t="s">
        <v>3253</v>
      </c>
      <c r="J61" s="21" t="s">
        <v>1043</v>
      </c>
      <c r="K61" s="21"/>
      <c r="L61" s="21"/>
      <c r="N61" s="22" t="s">
        <v>3223</v>
      </c>
      <c r="O61" s="22" t="s">
        <v>3196</v>
      </c>
      <c r="P61" s="21">
        <v>90440</v>
      </c>
      <c r="Q61" s="21">
        <v>30</v>
      </c>
      <c r="R61" s="21">
        <v>15</v>
      </c>
      <c r="S61" s="21">
        <v>9</v>
      </c>
      <c r="T61" s="21" t="s">
        <v>281</v>
      </c>
      <c r="U61" s="21">
        <v>1</v>
      </c>
      <c r="V61" s="21">
        <v>1</v>
      </c>
      <c r="W61" s="24">
        <f t="shared" ref="W61:W76" si="25">(4*3.14*(((Q61^1.6*R61^1.6+Q61^1.6*S61^1.6+R61^1.6+S61^1.6)/3)^(1/1.6)))*(1/V61)</f>
        <v>3584.7173648375287</v>
      </c>
      <c r="X61" s="24">
        <f t="shared" ref="X61:X76" si="26">3.14/6*Q61*R61*S61*U61</f>
        <v>2119.5</v>
      </c>
      <c r="Y61" s="21">
        <v>1</v>
      </c>
      <c r="Z61" s="24">
        <f t="shared" ref="Z61:Z76" si="27">Y61*W61</f>
        <v>3584.7173648375287</v>
      </c>
      <c r="AA61" s="24">
        <f t="shared" ref="AA61:AA76" si="28">Y61*X61</f>
        <v>2119.5</v>
      </c>
      <c r="AB61" s="21"/>
      <c r="AC61" s="21"/>
      <c r="AD61" s="21"/>
      <c r="AE61" s="21"/>
      <c r="AF61" s="21"/>
      <c r="AG61" s="21"/>
      <c r="AH61" s="24"/>
      <c r="AI61" s="24"/>
      <c r="AJ61" s="21">
        <v>2120.6</v>
      </c>
      <c r="AK61" s="21">
        <v>30</v>
      </c>
      <c r="AL61" s="22" t="s">
        <v>161</v>
      </c>
      <c r="AM61" s="22">
        <v>0.11</v>
      </c>
      <c r="AN61" s="22" t="s">
        <v>2206</v>
      </c>
      <c r="AO61" s="22" t="s">
        <v>2206</v>
      </c>
      <c r="AP61" s="22" t="s">
        <v>162</v>
      </c>
      <c r="AQ61" s="22" t="str">
        <f t="shared" ref="AQ61:AQ76" si="29">IF(AND($AK61&lt;20,AJ61&lt;10000),"Nanophytoplankton","Microphytoplankton")</f>
        <v>Microphytoplankton</v>
      </c>
      <c r="AR61" s="22">
        <v>0</v>
      </c>
      <c r="AS61" s="22">
        <v>0</v>
      </c>
      <c r="AT61" s="22">
        <v>0</v>
      </c>
      <c r="AU61" s="22">
        <v>0</v>
      </c>
      <c r="AV61" s="22">
        <v>0</v>
      </c>
      <c r="AW61" s="22">
        <v>0</v>
      </c>
      <c r="AX61" s="22">
        <v>0</v>
      </c>
      <c r="AY61" s="22">
        <v>1</v>
      </c>
      <c r="BH61" s="22">
        <f t="shared" si="2"/>
        <v>0.59126000303124671</v>
      </c>
    </row>
    <row r="62" spans="1:60" s="22" customFormat="1" ht="13">
      <c r="A62" s="21" t="s">
        <v>3252</v>
      </c>
      <c r="B62" s="22" t="s">
        <v>663</v>
      </c>
      <c r="C62" s="23" t="s">
        <v>2223</v>
      </c>
      <c r="D62" s="22" t="s">
        <v>3188</v>
      </c>
      <c r="E62" s="23" t="s">
        <v>3189</v>
      </c>
      <c r="F62" s="23" t="s">
        <v>3190</v>
      </c>
      <c r="G62" s="23" t="s">
        <v>3191</v>
      </c>
      <c r="H62" s="23" t="s">
        <v>3192</v>
      </c>
      <c r="I62" s="22" t="s">
        <v>3253</v>
      </c>
      <c r="J62" s="21" t="s">
        <v>3254</v>
      </c>
      <c r="K62" s="21"/>
      <c r="L62" s="21"/>
      <c r="N62" s="22" t="s">
        <v>3255</v>
      </c>
      <c r="O62" s="22" t="s">
        <v>3196</v>
      </c>
      <c r="P62" s="21">
        <v>90405</v>
      </c>
      <c r="Q62" s="21">
        <v>10</v>
      </c>
      <c r="R62" s="21">
        <v>10</v>
      </c>
      <c r="S62" s="21">
        <v>7</v>
      </c>
      <c r="T62" s="21" t="s">
        <v>281</v>
      </c>
      <c r="U62" s="21">
        <v>1</v>
      </c>
      <c r="V62" s="21">
        <v>1</v>
      </c>
      <c r="W62" s="24">
        <f t="shared" si="25"/>
        <v>849.41255259792024</v>
      </c>
      <c r="X62" s="24">
        <f t="shared" si="26"/>
        <v>366.33333333333337</v>
      </c>
      <c r="Y62" s="21">
        <v>1</v>
      </c>
      <c r="Z62" s="24">
        <f t="shared" si="27"/>
        <v>849.41255259792024</v>
      </c>
      <c r="AA62" s="24">
        <f t="shared" si="28"/>
        <v>366.33333333333337</v>
      </c>
      <c r="AB62" s="21"/>
      <c r="AC62" s="21"/>
      <c r="AD62" s="21"/>
      <c r="AE62" s="21"/>
      <c r="AF62" s="21"/>
      <c r="AG62" s="21"/>
      <c r="AH62" s="24"/>
      <c r="AI62" s="24"/>
      <c r="AJ62" s="21">
        <v>366.5</v>
      </c>
      <c r="AK62" s="21">
        <v>10</v>
      </c>
      <c r="AL62" s="22" t="s">
        <v>161</v>
      </c>
      <c r="AM62" s="22">
        <v>0.11</v>
      </c>
      <c r="AN62" s="22" t="s">
        <v>2206</v>
      </c>
      <c r="AO62" s="22" t="s">
        <v>2206</v>
      </c>
      <c r="AP62" s="22" t="s">
        <v>162</v>
      </c>
      <c r="AQ62" s="22" t="str">
        <f t="shared" si="29"/>
        <v>Nanophytoplankton</v>
      </c>
      <c r="AR62" s="22">
        <v>0</v>
      </c>
      <c r="AS62" s="22">
        <v>0</v>
      </c>
      <c r="AT62" s="22">
        <v>0</v>
      </c>
      <c r="AU62" s="22">
        <v>0</v>
      </c>
      <c r="AV62" s="22">
        <v>0</v>
      </c>
      <c r="AW62" s="22">
        <v>0</v>
      </c>
      <c r="AX62" s="22">
        <v>0</v>
      </c>
      <c r="AY62" s="22">
        <v>1</v>
      </c>
      <c r="BH62" s="22">
        <f t="shared" si="2"/>
        <v>0.43127845498975304</v>
      </c>
    </row>
    <row r="63" spans="1:60" s="22" customFormat="1" ht="13">
      <c r="A63" s="21" t="s">
        <v>3256</v>
      </c>
      <c r="B63" s="22" t="s">
        <v>663</v>
      </c>
      <c r="C63" s="23" t="s">
        <v>2223</v>
      </c>
      <c r="D63" s="22" t="s">
        <v>3188</v>
      </c>
      <c r="E63" s="23" t="s">
        <v>3189</v>
      </c>
      <c r="F63" s="23" t="s">
        <v>3190</v>
      </c>
      <c r="G63" s="23" t="s">
        <v>3191</v>
      </c>
      <c r="H63" s="23" t="s">
        <v>3192</v>
      </c>
      <c r="I63" s="22" t="s">
        <v>3253</v>
      </c>
      <c r="J63" s="21" t="s">
        <v>3254</v>
      </c>
      <c r="K63" s="21" t="s">
        <v>184</v>
      </c>
      <c r="L63" s="21" t="s">
        <v>1294</v>
      </c>
      <c r="N63" s="22" t="s">
        <v>3257</v>
      </c>
      <c r="O63" s="22" t="s">
        <v>3196</v>
      </c>
      <c r="P63" s="21">
        <v>90406</v>
      </c>
      <c r="Q63" s="21">
        <v>10</v>
      </c>
      <c r="R63" s="21">
        <v>10</v>
      </c>
      <c r="S63" s="21">
        <v>7</v>
      </c>
      <c r="T63" s="21" t="s">
        <v>281</v>
      </c>
      <c r="U63" s="21">
        <v>1</v>
      </c>
      <c r="V63" s="21">
        <v>1</v>
      </c>
      <c r="W63" s="24">
        <f t="shared" si="25"/>
        <v>849.41255259792024</v>
      </c>
      <c r="X63" s="24">
        <f t="shared" si="26"/>
        <v>366.33333333333337</v>
      </c>
      <c r="Y63" s="21">
        <v>1</v>
      </c>
      <c r="Z63" s="24">
        <f t="shared" si="27"/>
        <v>849.41255259792024</v>
      </c>
      <c r="AA63" s="24">
        <f t="shared" si="28"/>
        <v>366.33333333333337</v>
      </c>
      <c r="AB63" s="21"/>
      <c r="AC63" s="21"/>
      <c r="AD63" s="21"/>
      <c r="AE63" s="21"/>
      <c r="AF63" s="21"/>
      <c r="AG63" s="21"/>
      <c r="AH63" s="24"/>
      <c r="AI63" s="24"/>
      <c r="AJ63" s="21">
        <v>366.33333333333337</v>
      </c>
      <c r="AK63" s="21">
        <v>10</v>
      </c>
      <c r="AL63" s="22" t="s">
        <v>3258</v>
      </c>
      <c r="AM63" s="22">
        <v>0.11</v>
      </c>
      <c r="AN63" s="22" t="s">
        <v>2206</v>
      </c>
      <c r="AO63" s="22" t="s">
        <v>2206</v>
      </c>
      <c r="AP63" s="22" t="s">
        <v>162</v>
      </c>
      <c r="AQ63" s="22" t="str">
        <f t="shared" si="29"/>
        <v>Nanophytoplankton</v>
      </c>
      <c r="AR63" s="22">
        <v>0</v>
      </c>
      <c r="AS63" s="22">
        <v>0</v>
      </c>
      <c r="AT63" s="22">
        <v>0</v>
      </c>
      <c r="AU63" s="22">
        <v>0</v>
      </c>
      <c r="AV63" s="22">
        <v>0</v>
      </c>
      <c r="AW63" s="22">
        <v>0</v>
      </c>
      <c r="AX63" s="22">
        <v>0</v>
      </c>
      <c r="AY63" s="22">
        <v>1</v>
      </c>
      <c r="BH63" s="22">
        <f t="shared" si="2"/>
        <v>0.43127845498975304</v>
      </c>
    </row>
    <row r="64" spans="1:60" s="22" customFormat="1" ht="13">
      <c r="A64" s="21" t="s">
        <v>3266</v>
      </c>
      <c r="B64" s="22" t="s">
        <v>663</v>
      </c>
      <c r="C64" s="23" t="s">
        <v>2223</v>
      </c>
      <c r="D64" s="22" t="s">
        <v>3188</v>
      </c>
      <c r="E64" s="23" t="s">
        <v>3189</v>
      </c>
      <c r="F64" s="23" t="s">
        <v>3190</v>
      </c>
      <c r="G64" s="23" t="s">
        <v>3191</v>
      </c>
      <c r="H64" s="23" t="s">
        <v>3192</v>
      </c>
      <c r="I64" s="22" t="s">
        <v>3253</v>
      </c>
      <c r="J64" s="21" t="s">
        <v>3267</v>
      </c>
      <c r="K64" s="21"/>
      <c r="L64" s="21"/>
      <c r="N64" s="22" t="s">
        <v>3268</v>
      </c>
      <c r="O64" s="22" t="s">
        <v>3196</v>
      </c>
      <c r="P64" s="21">
        <v>90411</v>
      </c>
      <c r="Q64" s="21">
        <v>30</v>
      </c>
      <c r="R64" s="21">
        <v>30</v>
      </c>
      <c r="S64" s="21">
        <v>15</v>
      </c>
      <c r="T64" s="21" t="s">
        <v>281</v>
      </c>
      <c r="U64" s="21">
        <v>0.9</v>
      </c>
      <c r="V64" s="21">
        <v>0.9</v>
      </c>
      <c r="W64" s="24">
        <f t="shared" si="25"/>
        <v>7574.328088433931</v>
      </c>
      <c r="X64" s="24">
        <f t="shared" si="26"/>
        <v>6358.5</v>
      </c>
      <c r="Y64" s="21">
        <v>1</v>
      </c>
      <c r="Z64" s="24">
        <f t="shared" si="27"/>
        <v>7574.328088433931</v>
      </c>
      <c r="AA64" s="24">
        <f t="shared" si="28"/>
        <v>6358.5</v>
      </c>
      <c r="AB64" s="21"/>
      <c r="AC64" s="21"/>
      <c r="AD64" s="21"/>
      <c r="AE64" s="21"/>
      <c r="AF64" s="21"/>
      <c r="AG64" s="21"/>
      <c r="AH64" s="24"/>
      <c r="AI64" s="24"/>
      <c r="AJ64" s="21">
        <v>6361.7</v>
      </c>
      <c r="AK64" s="21">
        <v>30</v>
      </c>
      <c r="AL64" s="22" t="s">
        <v>161</v>
      </c>
      <c r="AM64" s="22">
        <v>0.11</v>
      </c>
      <c r="AN64" s="22" t="s">
        <v>2206</v>
      </c>
      <c r="AO64" s="22" t="s">
        <v>2206</v>
      </c>
      <c r="AP64" s="22" t="s">
        <v>162</v>
      </c>
      <c r="AQ64" s="22" t="str">
        <f t="shared" si="29"/>
        <v>Microphytoplankton</v>
      </c>
      <c r="AR64" s="22">
        <v>0</v>
      </c>
      <c r="AS64" s="22">
        <v>0</v>
      </c>
      <c r="AT64" s="22">
        <v>0</v>
      </c>
      <c r="AU64" s="22">
        <v>0</v>
      </c>
      <c r="AV64" s="22">
        <v>0</v>
      </c>
      <c r="AW64" s="22">
        <v>0</v>
      </c>
      <c r="AX64" s="22">
        <v>0</v>
      </c>
      <c r="AY64" s="22">
        <v>1</v>
      </c>
      <c r="AZ64" s="22">
        <v>0</v>
      </c>
      <c r="BA64" s="22">
        <v>1</v>
      </c>
      <c r="BB64" s="22">
        <v>5</v>
      </c>
      <c r="BC64" s="22">
        <v>2</v>
      </c>
      <c r="BD64" s="22">
        <v>1</v>
      </c>
      <c r="BE64" s="22">
        <v>1</v>
      </c>
      <c r="BH64" s="22">
        <f t="shared" si="2"/>
        <v>0.83948040351057518</v>
      </c>
    </row>
    <row r="65" spans="1:60" s="22" customFormat="1" ht="13">
      <c r="A65" s="21" t="s">
        <v>3269</v>
      </c>
      <c r="B65" s="22" t="s">
        <v>663</v>
      </c>
      <c r="C65" s="23" t="s">
        <v>2223</v>
      </c>
      <c r="D65" s="22" t="s">
        <v>3188</v>
      </c>
      <c r="E65" s="23" t="s">
        <v>3189</v>
      </c>
      <c r="F65" s="23" t="s">
        <v>3190</v>
      </c>
      <c r="G65" s="23" t="s">
        <v>3191</v>
      </c>
      <c r="H65" s="23" t="s">
        <v>3192</v>
      </c>
      <c r="I65" s="22" t="s">
        <v>3253</v>
      </c>
      <c r="J65" s="21" t="s">
        <v>3267</v>
      </c>
      <c r="K65" s="21" t="s">
        <v>175</v>
      </c>
      <c r="L65" s="21" t="s">
        <v>371</v>
      </c>
      <c r="N65" s="22" t="s">
        <v>3270</v>
      </c>
      <c r="O65" s="22" t="s">
        <v>3196</v>
      </c>
      <c r="P65" s="21">
        <v>90410</v>
      </c>
      <c r="Q65" s="21">
        <v>30</v>
      </c>
      <c r="R65" s="21">
        <v>30</v>
      </c>
      <c r="S65" s="21">
        <v>15</v>
      </c>
      <c r="T65" s="21" t="s">
        <v>281</v>
      </c>
      <c r="U65" s="21">
        <v>0.9</v>
      </c>
      <c r="V65" s="21">
        <v>0.9</v>
      </c>
      <c r="W65" s="24">
        <f t="shared" si="25"/>
        <v>7574.328088433931</v>
      </c>
      <c r="X65" s="24">
        <f t="shared" si="26"/>
        <v>6358.5</v>
      </c>
      <c r="Y65" s="21">
        <v>1</v>
      </c>
      <c r="Z65" s="24">
        <f t="shared" si="27"/>
        <v>7574.328088433931</v>
      </c>
      <c r="AA65" s="24">
        <f t="shared" si="28"/>
        <v>6358.5</v>
      </c>
      <c r="AB65" s="21"/>
      <c r="AC65" s="21"/>
      <c r="AD65" s="21"/>
      <c r="AE65" s="21"/>
      <c r="AF65" s="21"/>
      <c r="AG65" s="21"/>
      <c r="AH65" s="24"/>
      <c r="AI65" s="24"/>
      <c r="AJ65" s="21">
        <v>6361.7</v>
      </c>
      <c r="AK65" s="21">
        <v>65</v>
      </c>
      <c r="AL65" s="22" t="s">
        <v>161</v>
      </c>
      <c r="AM65" s="22">
        <v>0.11</v>
      </c>
      <c r="AN65" s="22" t="s">
        <v>2206</v>
      </c>
      <c r="AO65" s="22" t="s">
        <v>2206</v>
      </c>
      <c r="AP65" s="22" t="s">
        <v>162</v>
      </c>
      <c r="AQ65" s="22" t="str">
        <f t="shared" si="29"/>
        <v>Microphytoplankton</v>
      </c>
      <c r="AR65" s="22">
        <v>0</v>
      </c>
      <c r="AS65" s="22">
        <v>0</v>
      </c>
      <c r="AT65" s="22">
        <v>0</v>
      </c>
      <c r="AU65" s="22">
        <v>0</v>
      </c>
      <c r="AV65" s="22">
        <v>0</v>
      </c>
      <c r="AW65" s="22">
        <v>0</v>
      </c>
      <c r="AX65" s="22">
        <v>0</v>
      </c>
      <c r="AY65" s="22">
        <v>1</v>
      </c>
      <c r="BH65" s="22">
        <f t="shared" si="2"/>
        <v>0.83948040351057518</v>
      </c>
    </row>
    <row r="66" spans="1:60" s="22" customFormat="1" ht="13">
      <c r="A66" s="21" t="s">
        <v>3279</v>
      </c>
      <c r="B66" s="22" t="s">
        <v>663</v>
      </c>
      <c r="C66" s="23" t="s">
        <v>2223</v>
      </c>
      <c r="D66" s="22" t="s">
        <v>3188</v>
      </c>
      <c r="E66" s="23" t="s">
        <v>3189</v>
      </c>
      <c r="F66" s="23" t="s">
        <v>3190</v>
      </c>
      <c r="G66" s="23" t="s">
        <v>3191</v>
      </c>
      <c r="H66" s="23" t="s">
        <v>3192</v>
      </c>
      <c r="I66" s="22" t="s">
        <v>3253</v>
      </c>
      <c r="J66" s="21" t="s">
        <v>3280</v>
      </c>
      <c r="K66" s="21"/>
      <c r="L66" s="21"/>
      <c r="N66" s="22" t="s">
        <v>3223</v>
      </c>
      <c r="O66" s="22" t="s">
        <v>3196</v>
      </c>
      <c r="P66" s="21">
        <v>90412</v>
      </c>
      <c r="Q66" s="21">
        <v>57</v>
      </c>
      <c r="R66" s="21">
        <v>44</v>
      </c>
      <c r="S66" s="21">
        <v>44</v>
      </c>
      <c r="T66" s="21" t="s">
        <v>281</v>
      </c>
      <c r="U66" s="21">
        <v>0.8</v>
      </c>
      <c r="V66" s="21">
        <v>0.8</v>
      </c>
      <c r="W66" s="24">
        <f t="shared" si="25"/>
        <v>30590.797878450176</v>
      </c>
      <c r="X66" s="24">
        <f t="shared" si="26"/>
        <v>46200.703999999998</v>
      </c>
      <c r="Y66" s="21">
        <v>1</v>
      </c>
      <c r="Z66" s="24">
        <f t="shared" si="27"/>
        <v>30590.797878450176</v>
      </c>
      <c r="AA66" s="24">
        <f t="shared" si="28"/>
        <v>46200.703999999998</v>
      </c>
      <c r="AB66" s="21"/>
      <c r="AC66" s="21"/>
      <c r="AD66" s="21"/>
      <c r="AE66" s="21"/>
      <c r="AF66" s="21"/>
      <c r="AG66" s="21"/>
      <c r="AH66" s="24"/>
      <c r="AI66" s="24"/>
      <c r="AJ66" s="21">
        <v>46200</v>
      </c>
      <c r="AK66" s="21">
        <v>57</v>
      </c>
      <c r="AL66" s="22" t="s">
        <v>161</v>
      </c>
      <c r="AM66" s="22">
        <v>0.11</v>
      </c>
      <c r="AN66" s="22" t="s">
        <v>2206</v>
      </c>
      <c r="AO66" s="22" t="s">
        <v>2206</v>
      </c>
      <c r="AP66" s="22" t="s">
        <v>162</v>
      </c>
      <c r="AQ66" s="22" t="str">
        <f t="shared" si="29"/>
        <v>Microphytoplankton</v>
      </c>
      <c r="AR66" s="22">
        <v>0</v>
      </c>
      <c r="AS66" s="22">
        <v>0</v>
      </c>
      <c r="AT66" s="22">
        <v>0</v>
      </c>
      <c r="AU66" s="22">
        <v>0</v>
      </c>
      <c r="AV66" s="22">
        <v>0</v>
      </c>
      <c r="AW66" s="22">
        <v>0</v>
      </c>
      <c r="AX66" s="22">
        <v>0</v>
      </c>
      <c r="AY66" s="22">
        <v>1</v>
      </c>
      <c r="BH66" s="22">
        <f t="shared" si="2"/>
        <v>1.5102811042580322</v>
      </c>
    </row>
    <row r="67" spans="1:60" s="22" customFormat="1" ht="13">
      <c r="A67" s="21" t="s">
        <v>3281</v>
      </c>
      <c r="B67" s="22" t="s">
        <v>663</v>
      </c>
      <c r="C67" s="23" t="s">
        <v>2223</v>
      </c>
      <c r="D67" s="22" t="s">
        <v>3188</v>
      </c>
      <c r="E67" s="23" t="s">
        <v>3189</v>
      </c>
      <c r="F67" s="23" t="s">
        <v>3190</v>
      </c>
      <c r="G67" s="23" t="s">
        <v>3191</v>
      </c>
      <c r="H67" s="23" t="s">
        <v>3192</v>
      </c>
      <c r="I67" s="22" t="s">
        <v>3253</v>
      </c>
      <c r="J67" s="21" t="s">
        <v>3280</v>
      </c>
      <c r="K67" s="21" t="s">
        <v>184</v>
      </c>
      <c r="L67" s="21" t="s">
        <v>3282</v>
      </c>
      <c r="N67" s="22" t="s">
        <v>3283</v>
      </c>
      <c r="O67" s="22" t="s">
        <v>3196</v>
      </c>
      <c r="P67" s="21">
        <v>90413</v>
      </c>
      <c r="Q67" s="21">
        <v>37</v>
      </c>
      <c r="R67" s="21">
        <v>35</v>
      </c>
      <c r="S67" s="21">
        <v>35</v>
      </c>
      <c r="T67" s="21" t="s">
        <v>281</v>
      </c>
      <c r="U67" s="21">
        <v>0.8</v>
      </c>
      <c r="V67" s="21">
        <v>0.8</v>
      </c>
      <c r="W67" s="24">
        <f t="shared" si="25"/>
        <v>15810.718002053629</v>
      </c>
      <c r="X67" s="24">
        <f t="shared" si="26"/>
        <v>18976.066666666669</v>
      </c>
      <c r="Y67" s="21">
        <v>1</v>
      </c>
      <c r="Z67" s="24">
        <f t="shared" si="27"/>
        <v>15810.718002053629</v>
      </c>
      <c r="AA67" s="24">
        <f t="shared" si="28"/>
        <v>18976.066666666669</v>
      </c>
      <c r="AB67" s="21"/>
      <c r="AC67" s="21"/>
      <c r="AD67" s="21"/>
      <c r="AE67" s="21"/>
      <c r="AF67" s="21"/>
      <c r="AG67" s="21"/>
      <c r="AH67" s="24"/>
      <c r="AI67" s="24"/>
      <c r="AJ67" s="21">
        <v>18976</v>
      </c>
      <c r="AK67" s="21">
        <v>37</v>
      </c>
      <c r="AL67" s="22" t="s">
        <v>161</v>
      </c>
      <c r="AM67" s="22">
        <v>0.11</v>
      </c>
      <c r="AN67" s="22" t="s">
        <v>2206</v>
      </c>
      <c r="AO67" s="22" t="s">
        <v>2206</v>
      </c>
      <c r="AP67" s="22" t="s">
        <v>162</v>
      </c>
      <c r="AQ67" s="22" t="str">
        <f t="shared" si="29"/>
        <v>Microphytoplankton</v>
      </c>
      <c r="AR67" s="22">
        <v>0</v>
      </c>
      <c r="AS67" s="22">
        <v>0</v>
      </c>
      <c r="AT67" s="22">
        <v>0</v>
      </c>
      <c r="AU67" s="22">
        <v>0</v>
      </c>
      <c r="AV67" s="22">
        <v>0</v>
      </c>
      <c r="AW67" s="22">
        <v>0</v>
      </c>
      <c r="AX67" s="22">
        <v>0</v>
      </c>
      <c r="AY67" s="22">
        <v>1</v>
      </c>
      <c r="BH67" s="22">
        <f t="shared" ref="BH67:BH114" si="30">X67/W67</f>
        <v>1.2002027146522947</v>
      </c>
    </row>
    <row r="68" spans="1:60" s="22" customFormat="1" ht="13">
      <c r="A68" s="21" t="s">
        <v>3335</v>
      </c>
      <c r="B68" s="22" t="s">
        <v>663</v>
      </c>
      <c r="C68" s="23" t="s">
        <v>2223</v>
      </c>
      <c r="D68" s="22" t="s">
        <v>3188</v>
      </c>
      <c r="E68" s="23" t="s">
        <v>3189</v>
      </c>
      <c r="F68" s="23" t="s">
        <v>3190</v>
      </c>
      <c r="G68" s="23" t="s">
        <v>3191</v>
      </c>
      <c r="H68" s="23" t="s">
        <v>3192</v>
      </c>
      <c r="I68" s="22" t="s">
        <v>3253</v>
      </c>
      <c r="J68" s="21" t="s">
        <v>211</v>
      </c>
      <c r="K68" s="21"/>
      <c r="L68" s="21"/>
      <c r="M68" s="22" t="s">
        <v>1</v>
      </c>
      <c r="N68" s="22" t="s">
        <v>2260</v>
      </c>
      <c r="O68" s="22" t="s">
        <v>3196</v>
      </c>
      <c r="P68" s="21">
        <v>90400</v>
      </c>
      <c r="Q68" s="21">
        <v>40</v>
      </c>
      <c r="R68" s="21">
        <v>40</v>
      </c>
      <c r="S68" s="21">
        <v>12</v>
      </c>
      <c r="T68" s="21" t="s">
        <v>281</v>
      </c>
      <c r="U68" s="21">
        <v>0.7</v>
      </c>
      <c r="V68" s="21">
        <v>0.7</v>
      </c>
      <c r="W68" s="24">
        <f t="shared" si="25"/>
        <v>15756.720681234388</v>
      </c>
      <c r="X68" s="24">
        <f t="shared" si="26"/>
        <v>7033.5999999999995</v>
      </c>
      <c r="Y68" s="21">
        <v>1</v>
      </c>
      <c r="Z68" s="24">
        <f t="shared" si="27"/>
        <v>15756.720681234388</v>
      </c>
      <c r="AA68" s="24">
        <f t="shared" si="28"/>
        <v>7033.5999999999995</v>
      </c>
      <c r="AB68" s="21"/>
      <c r="AC68" s="21"/>
      <c r="AD68" s="21"/>
      <c r="AE68" s="21"/>
      <c r="AF68" s="21"/>
      <c r="AG68" s="21"/>
      <c r="AH68" s="24"/>
      <c r="AI68" s="24"/>
      <c r="AJ68" s="21">
        <v>7037.2</v>
      </c>
      <c r="AK68" s="21">
        <v>40</v>
      </c>
      <c r="AL68" s="22" t="s">
        <v>161</v>
      </c>
      <c r="AM68" s="22">
        <v>0.11</v>
      </c>
      <c r="AN68" s="22" t="s">
        <v>2206</v>
      </c>
      <c r="AO68" s="22" t="s">
        <v>2206</v>
      </c>
      <c r="AP68" s="22" t="s">
        <v>162</v>
      </c>
      <c r="AQ68" s="22" t="str">
        <f t="shared" si="29"/>
        <v>Microphytoplankton</v>
      </c>
      <c r="AR68" s="22">
        <v>0</v>
      </c>
      <c r="AS68" s="22">
        <v>0</v>
      </c>
      <c r="AT68" s="22">
        <v>0</v>
      </c>
      <c r="AU68" s="22">
        <v>0</v>
      </c>
      <c r="AV68" s="22">
        <v>0</v>
      </c>
      <c r="AW68" s="22">
        <v>0</v>
      </c>
      <c r="AX68" s="22">
        <v>0</v>
      </c>
      <c r="AY68" s="22">
        <v>1</v>
      </c>
      <c r="BH68" s="22">
        <f t="shared" si="30"/>
        <v>0.44638729988891218</v>
      </c>
    </row>
    <row r="69" spans="1:60" s="22" customFormat="1" ht="13">
      <c r="A69" s="22" t="s">
        <v>3274</v>
      </c>
      <c r="B69" s="22" t="s">
        <v>663</v>
      </c>
      <c r="C69" s="23" t="s">
        <v>2223</v>
      </c>
      <c r="D69" s="22" t="s">
        <v>3188</v>
      </c>
      <c r="E69" s="23" t="s">
        <v>3189</v>
      </c>
      <c r="F69" s="23" t="s">
        <v>3190</v>
      </c>
      <c r="G69" s="23" t="s">
        <v>3191</v>
      </c>
      <c r="H69" s="23" t="s">
        <v>3192</v>
      </c>
      <c r="I69" s="22" t="s">
        <v>3253</v>
      </c>
      <c r="J69" s="22" t="s">
        <v>3275</v>
      </c>
      <c r="N69" s="22" t="s">
        <v>3276</v>
      </c>
      <c r="O69" s="22" t="s">
        <v>3196</v>
      </c>
      <c r="P69" s="21">
        <v>90407</v>
      </c>
      <c r="Q69" s="22">
        <v>31.5</v>
      </c>
      <c r="R69" s="22">
        <v>24</v>
      </c>
      <c r="S69" s="22">
        <v>10</v>
      </c>
      <c r="T69" s="22" t="s">
        <v>159</v>
      </c>
      <c r="U69" s="22">
        <v>1</v>
      </c>
      <c r="V69" s="22">
        <v>1</v>
      </c>
      <c r="W69" s="24">
        <f t="shared" si="25"/>
        <v>5497.742021965495</v>
      </c>
      <c r="X69" s="24">
        <f t="shared" si="26"/>
        <v>3956.3999999999996</v>
      </c>
      <c r="Y69" s="21">
        <v>1</v>
      </c>
      <c r="Z69" s="24">
        <f t="shared" si="27"/>
        <v>5497.742021965495</v>
      </c>
      <c r="AA69" s="24">
        <f t="shared" si="28"/>
        <v>3956.3999999999996</v>
      </c>
      <c r="AH69" s="25"/>
      <c r="AI69" s="25"/>
      <c r="AJ69" s="21">
        <v>3956.3999999999996</v>
      </c>
      <c r="AK69" s="21">
        <v>31.5</v>
      </c>
      <c r="AL69" s="22" t="s">
        <v>161</v>
      </c>
      <c r="AM69" s="22">
        <v>0.11</v>
      </c>
      <c r="AN69" s="22" t="s">
        <v>2206</v>
      </c>
      <c r="AO69" s="22" t="s">
        <v>2206</v>
      </c>
      <c r="AP69" s="22" t="s">
        <v>162</v>
      </c>
      <c r="AQ69" s="22" t="str">
        <f t="shared" si="29"/>
        <v>Microphytoplankton</v>
      </c>
      <c r="AR69" s="22">
        <v>0</v>
      </c>
      <c r="AS69" s="22">
        <v>0</v>
      </c>
      <c r="AT69" s="22">
        <v>0</v>
      </c>
      <c r="AU69" s="22">
        <v>0</v>
      </c>
      <c r="AV69" s="22">
        <v>0</v>
      </c>
      <c r="AW69" s="22">
        <v>0</v>
      </c>
      <c r="AX69" s="22">
        <v>0</v>
      </c>
      <c r="AY69" s="22">
        <v>1</v>
      </c>
      <c r="BH69" s="22">
        <f t="shared" si="30"/>
        <v>0.71964089697056188</v>
      </c>
    </row>
    <row r="70" spans="1:60" s="22" customFormat="1" ht="13">
      <c r="A70" s="21" t="s">
        <v>3316</v>
      </c>
      <c r="B70" s="22" t="s">
        <v>663</v>
      </c>
      <c r="C70" s="23" t="s">
        <v>2223</v>
      </c>
      <c r="D70" s="22" t="s">
        <v>3188</v>
      </c>
      <c r="E70" s="23" t="s">
        <v>3189</v>
      </c>
      <c r="F70" s="23" t="s">
        <v>3190</v>
      </c>
      <c r="G70" s="23" t="s">
        <v>3191</v>
      </c>
      <c r="H70" s="23" t="s">
        <v>3192</v>
      </c>
      <c r="I70" s="22" t="s">
        <v>3253</v>
      </c>
      <c r="J70" s="21" t="s">
        <v>3317</v>
      </c>
      <c r="K70" s="21"/>
      <c r="L70" s="21"/>
      <c r="N70" s="22" t="s">
        <v>189</v>
      </c>
      <c r="O70" s="22" t="s">
        <v>3196</v>
      </c>
      <c r="P70" s="21">
        <v>90490</v>
      </c>
      <c r="Q70" s="21">
        <v>40</v>
      </c>
      <c r="R70" s="21">
        <v>35</v>
      </c>
      <c r="S70" s="21">
        <v>20</v>
      </c>
      <c r="T70" s="21" t="s">
        <v>281</v>
      </c>
      <c r="U70" s="21">
        <v>1</v>
      </c>
      <c r="V70" s="21">
        <v>1</v>
      </c>
      <c r="W70" s="24">
        <f t="shared" si="25"/>
        <v>10980.478210529511</v>
      </c>
      <c r="X70" s="24">
        <f t="shared" si="26"/>
        <v>14653.333333333332</v>
      </c>
      <c r="Y70" s="21">
        <v>1</v>
      </c>
      <c r="Z70" s="24">
        <f t="shared" si="27"/>
        <v>10980.478210529511</v>
      </c>
      <c r="AA70" s="24">
        <f t="shared" si="28"/>
        <v>14653.333333333332</v>
      </c>
      <c r="AB70" s="21"/>
      <c r="AC70" s="21"/>
      <c r="AD70" s="21"/>
      <c r="AE70" s="21"/>
      <c r="AF70" s="21"/>
      <c r="AG70" s="21"/>
      <c r="AH70" s="24"/>
      <c r="AI70" s="24"/>
      <c r="AJ70" s="21">
        <v>14660.8</v>
      </c>
      <c r="AK70" s="21">
        <v>40</v>
      </c>
      <c r="AL70" s="22" t="s">
        <v>161</v>
      </c>
      <c r="AM70" s="22">
        <v>0.11</v>
      </c>
      <c r="AN70" s="22" t="s">
        <v>2206</v>
      </c>
      <c r="AO70" s="22" t="s">
        <v>2206</v>
      </c>
      <c r="AP70" s="22" t="s">
        <v>162</v>
      </c>
      <c r="AQ70" s="22" t="str">
        <f t="shared" si="29"/>
        <v>Microphytoplankton</v>
      </c>
      <c r="AR70" s="22">
        <v>0</v>
      </c>
      <c r="AS70" s="22">
        <v>0</v>
      </c>
      <c r="AT70" s="22">
        <v>0</v>
      </c>
      <c r="AU70" s="22">
        <v>0</v>
      </c>
      <c r="AV70" s="22">
        <v>0</v>
      </c>
      <c r="AW70" s="22">
        <v>0</v>
      </c>
      <c r="AX70" s="22">
        <v>0</v>
      </c>
      <c r="AY70" s="22">
        <v>1</v>
      </c>
      <c r="BH70" s="22">
        <f t="shared" si="30"/>
        <v>1.3344895415649394</v>
      </c>
    </row>
    <row r="71" spans="1:60" s="22" customFormat="1" ht="13">
      <c r="A71" s="22" t="s">
        <v>3295</v>
      </c>
      <c r="B71" s="22" t="s">
        <v>663</v>
      </c>
      <c r="C71" s="23" t="s">
        <v>2223</v>
      </c>
      <c r="D71" s="22" t="s">
        <v>3188</v>
      </c>
      <c r="E71" s="23" t="s">
        <v>3189</v>
      </c>
      <c r="F71" s="23" t="s">
        <v>3190</v>
      </c>
      <c r="G71" s="23" t="s">
        <v>3191</v>
      </c>
      <c r="H71" s="23" t="s">
        <v>3192</v>
      </c>
      <c r="I71" s="22" t="s">
        <v>3253</v>
      </c>
      <c r="J71" s="22" t="s">
        <v>3296</v>
      </c>
      <c r="N71" s="22" t="s">
        <v>3228</v>
      </c>
      <c r="O71" s="22" t="s">
        <v>3196</v>
      </c>
      <c r="P71" s="21">
        <v>90408</v>
      </c>
      <c r="Q71" s="22">
        <v>36.5</v>
      </c>
      <c r="R71" s="22">
        <v>37</v>
      </c>
      <c r="S71" s="22">
        <v>15</v>
      </c>
      <c r="T71" s="22" t="s">
        <v>159</v>
      </c>
      <c r="U71" s="22">
        <v>1</v>
      </c>
      <c r="V71" s="22">
        <v>1</v>
      </c>
      <c r="W71" s="24">
        <f t="shared" si="25"/>
        <v>9763.7845557494693</v>
      </c>
      <c r="X71" s="24">
        <f t="shared" si="26"/>
        <v>10601.424999999999</v>
      </c>
      <c r="Y71" s="21">
        <v>1</v>
      </c>
      <c r="Z71" s="24">
        <f t="shared" si="27"/>
        <v>9763.7845557494693</v>
      </c>
      <c r="AA71" s="24">
        <f t="shared" si="28"/>
        <v>10601.424999999999</v>
      </c>
      <c r="AH71" s="25"/>
      <c r="AI71" s="25"/>
      <c r="AJ71" s="21">
        <v>10601.424999999999</v>
      </c>
      <c r="AK71" s="21">
        <v>37</v>
      </c>
      <c r="AL71" s="22" t="s">
        <v>161</v>
      </c>
      <c r="AM71" s="22">
        <v>0.11</v>
      </c>
      <c r="AN71" s="22" t="s">
        <v>2206</v>
      </c>
      <c r="AO71" s="22" t="s">
        <v>2206</v>
      </c>
      <c r="AP71" s="22" t="s">
        <v>162</v>
      </c>
      <c r="AQ71" s="22" t="str">
        <f t="shared" si="29"/>
        <v>Microphytoplankton</v>
      </c>
      <c r="AR71" s="22">
        <v>0</v>
      </c>
      <c r="AS71" s="22">
        <v>0</v>
      </c>
      <c r="AT71" s="22">
        <v>0</v>
      </c>
      <c r="AU71" s="22">
        <v>0</v>
      </c>
      <c r="AV71" s="22">
        <v>0</v>
      </c>
      <c r="AW71" s="22">
        <v>0</v>
      </c>
      <c r="AX71" s="22">
        <v>0</v>
      </c>
      <c r="AY71" s="22">
        <v>1</v>
      </c>
      <c r="BH71" s="22">
        <f t="shared" si="30"/>
        <v>1.0857905497061875</v>
      </c>
    </row>
    <row r="72" spans="1:60" s="22" customFormat="1" ht="13">
      <c r="A72" s="21" t="s">
        <v>3364</v>
      </c>
      <c r="B72" s="22" t="s">
        <v>663</v>
      </c>
      <c r="C72" s="23" t="s">
        <v>2223</v>
      </c>
      <c r="D72" s="22" t="s">
        <v>3188</v>
      </c>
      <c r="E72" s="23" t="s">
        <v>3189</v>
      </c>
      <c r="F72" s="23" t="s">
        <v>3190</v>
      </c>
      <c r="G72" s="23" t="s">
        <v>3191</v>
      </c>
      <c r="H72" s="23" t="s">
        <v>3192</v>
      </c>
      <c r="I72" s="22" t="s">
        <v>3253</v>
      </c>
      <c r="J72" s="21" t="s">
        <v>3365</v>
      </c>
      <c r="K72" s="21"/>
      <c r="L72" s="21"/>
      <c r="N72" s="22" t="s">
        <v>189</v>
      </c>
      <c r="O72" s="22" t="s">
        <v>3196</v>
      </c>
      <c r="P72" s="21">
        <v>90491</v>
      </c>
      <c r="Q72" s="21">
        <v>70</v>
      </c>
      <c r="R72" s="21">
        <v>65</v>
      </c>
      <c r="S72" s="21">
        <v>40</v>
      </c>
      <c r="T72" s="21" t="s">
        <v>281</v>
      </c>
      <c r="U72" s="21">
        <v>1</v>
      </c>
      <c r="V72" s="21">
        <v>1</v>
      </c>
      <c r="W72" s="24">
        <f t="shared" si="25"/>
        <v>36458.550802741564</v>
      </c>
      <c r="X72" s="24">
        <f t="shared" si="26"/>
        <v>95246.666666666657</v>
      </c>
      <c r="Y72" s="21">
        <v>1</v>
      </c>
      <c r="Z72" s="24">
        <f t="shared" si="27"/>
        <v>36458.550802741564</v>
      </c>
      <c r="AA72" s="24">
        <f t="shared" si="28"/>
        <v>95246.666666666657</v>
      </c>
      <c r="AB72" s="21"/>
      <c r="AC72" s="21"/>
      <c r="AD72" s="21"/>
      <c r="AE72" s="21"/>
      <c r="AF72" s="21"/>
      <c r="AG72" s="21"/>
      <c r="AH72" s="24"/>
      <c r="AI72" s="24"/>
      <c r="AJ72" s="21">
        <v>95295</v>
      </c>
      <c r="AK72" s="21">
        <v>70</v>
      </c>
      <c r="AL72" s="22" t="s">
        <v>161</v>
      </c>
      <c r="AM72" s="22">
        <v>0.11</v>
      </c>
      <c r="AN72" s="22" t="s">
        <v>2206</v>
      </c>
      <c r="AO72" s="22" t="s">
        <v>2206</v>
      </c>
      <c r="AP72" s="22" t="s">
        <v>162</v>
      </c>
      <c r="AQ72" s="22" t="str">
        <f t="shared" si="29"/>
        <v>Microphytoplankton</v>
      </c>
      <c r="AR72" s="22">
        <v>0</v>
      </c>
      <c r="AS72" s="22">
        <v>0</v>
      </c>
      <c r="AT72" s="22">
        <v>0</v>
      </c>
      <c r="AU72" s="22">
        <v>0</v>
      </c>
      <c r="AV72" s="22">
        <v>0</v>
      </c>
      <c r="AW72" s="22">
        <v>0</v>
      </c>
      <c r="AX72" s="22">
        <v>0</v>
      </c>
      <c r="AY72" s="22">
        <v>1</v>
      </c>
      <c r="BH72" s="22">
        <f t="shared" si="30"/>
        <v>2.6124644169757953</v>
      </c>
    </row>
    <row r="73" spans="1:60" s="22" customFormat="1" ht="13">
      <c r="A73" s="21" t="s">
        <v>3297</v>
      </c>
      <c r="B73" s="22" t="s">
        <v>663</v>
      </c>
      <c r="C73" s="23" t="s">
        <v>2223</v>
      </c>
      <c r="D73" s="22" t="s">
        <v>3188</v>
      </c>
      <c r="E73" s="23" t="s">
        <v>3189</v>
      </c>
      <c r="F73" s="23" t="s">
        <v>3190</v>
      </c>
      <c r="G73" s="23" t="s">
        <v>3191</v>
      </c>
      <c r="H73" s="23" t="s">
        <v>3192</v>
      </c>
      <c r="I73" s="22" t="s">
        <v>3253</v>
      </c>
      <c r="J73" s="21" t="s">
        <v>3298</v>
      </c>
      <c r="K73" s="21"/>
      <c r="L73" s="21"/>
      <c r="N73" s="22" t="s">
        <v>3299</v>
      </c>
      <c r="O73" s="22" t="s">
        <v>3196</v>
      </c>
      <c r="P73" s="21">
        <v>90415</v>
      </c>
      <c r="Q73" s="21">
        <v>25</v>
      </c>
      <c r="R73" s="21">
        <v>23.5</v>
      </c>
      <c r="S73" s="21">
        <v>12</v>
      </c>
      <c r="T73" s="21" t="s">
        <v>281</v>
      </c>
      <c r="U73" s="21">
        <v>1</v>
      </c>
      <c r="V73" s="21">
        <v>1</v>
      </c>
      <c r="W73" s="24">
        <f t="shared" si="25"/>
        <v>4477.5979581272741</v>
      </c>
      <c r="X73" s="24">
        <f t="shared" si="26"/>
        <v>3689.5</v>
      </c>
      <c r="Y73" s="21">
        <v>1</v>
      </c>
      <c r="Z73" s="24">
        <f t="shared" si="27"/>
        <v>4477.5979581272741</v>
      </c>
      <c r="AA73" s="24">
        <f t="shared" si="28"/>
        <v>3689.5</v>
      </c>
      <c r="AB73" s="21"/>
      <c r="AC73" s="21"/>
      <c r="AD73" s="21"/>
      <c r="AE73" s="21"/>
      <c r="AF73" s="21"/>
      <c r="AG73" s="21"/>
      <c r="AH73" s="24"/>
      <c r="AI73" s="24"/>
      <c r="AJ73" s="21">
        <v>3691.4</v>
      </c>
      <c r="AK73" s="21">
        <v>25</v>
      </c>
      <c r="AL73" s="22" t="s">
        <v>161</v>
      </c>
      <c r="AM73" s="22">
        <v>0.11</v>
      </c>
      <c r="AN73" s="22" t="s">
        <v>2206</v>
      </c>
      <c r="AO73" s="22" t="s">
        <v>2206</v>
      </c>
      <c r="AP73" s="22" t="s">
        <v>162</v>
      </c>
      <c r="AQ73" s="22" t="str">
        <f t="shared" si="29"/>
        <v>Microphytoplankton</v>
      </c>
      <c r="AR73" s="22">
        <v>0</v>
      </c>
      <c r="AS73" s="22">
        <v>0</v>
      </c>
      <c r="AT73" s="22">
        <v>0</v>
      </c>
      <c r="AU73" s="22">
        <v>0</v>
      </c>
      <c r="AV73" s="22">
        <v>0</v>
      </c>
      <c r="AW73" s="22">
        <v>0</v>
      </c>
      <c r="AX73" s="22">
        <v>0</v>
      </c>
      <c r="AY73" s="22">
        <v>1</v>
      </c>
      <c r="BH73" s="22">
        <f t="shared" si="30"/>
        <v>0.82399090639730177</v>
      </c>
    </row>
    <row r="74" spans="1:60" s="22" customFormat="1" ht="13">
      <c r="A74" s="21" t="s">
        <v>3300</v>
      </c>
      <c r="B74" s="22" t="s">
        <v>663</v>
      </c>
      <c r="C74" s="23" t="s">
        <v>2223</v>
      </c>
      <c r="D74" s="22" t="s">
        <v>3188</v>
      </c>
      <c r="E74" s="23" t="s">
        <v>3189</v>
      </c>
      <c r="F74" s="23" t="s">
        <v>3190</v>
      </c>
      <c r="G74" s="23" t="s">
        <v>3191</v>
      </c>
      <c r="H74" s="23" t="s">
        <v>3192</v>
      </c>
      <c r="I74" s="22" t="s">
        <v>3253</v>
      </c>
      <c r="J74" s="21" t="s">
        <v>3298</v>
      </c>
      <c r="K74" s="21" t="s">
        <v>175</v>
      </c>
      <c r="L74" s="21" t="s">
        <v>1419</v>
      </c>
      <c r="N74" s="22" t="s">
        <v>3301</v>
      </c>
      <c r="O74" s="22" t="s">
        <v>3196</v>
      </c>
      <c r="P74" s="21">
        <v>90435</v>
      </c>
      <c r="Q74" s="21">
        <v>20</v>
      </c>
      <c r="R74" s="21">
        <v>15</v>
      </c>
      <c r="S74" s="21">
        <v>10</v>
      </c>
      <c r="T74" s="21" t="s">
        <v>159</v>
      </c>
      <c r="U74" s="21">
        <v>0.8</v>
      </c>
      <c r="V74" s="21">
        <v>0.8</v>
      </c>
      <c r="W74" s="24">
        <f t="shared" si="25"/>
        <v>3098.8052350184257</v>
      </c>
      <c r="X74" s="24">
        <f t="shared" si="26"/>
        <v>1256</v>
      </c>
      <c r="Y74" s="21">
        <v>1</v>
      </c>
      <c r="Z74" s="24">
        <f t="shared" si="27"/>
        <v>3098.8052350184257</v>
      </c>
      <c r="AA74" s="24">
        <f t="shared" si="28"/>
        <v>1256</v>
      </c>
      <c r="AB74" s="21"/>
      <c r="AC74" s="21"/>
      <c r="AD74" s="21"/>
      <c r="AE74" s="21"/>
      <c r="AF74" s="21"/>
      <c r="AG74" s="21"/>
      <c r="AH74" s="24"/>
      <c r="AI74" s="24"/>
      <c r="AJ74" s="21">
        <v>1256</v>
      </c>
      <c r="AK74" s="21">
        <v>20</v>
      </c>
      <c r="AL74" s="22" t="s">
        <v>161</v>
      </c>
      <c r="AM74" s="22">
        <v>0.11</v>
      </c>
      <c r="AN74" s="22" t="s">
        <v>2206</v>
      </c>
      <c r="AO74" s="22" t="s">
        <v>2206</v>
      </c>
      <c r="AP74" s="22" t="s">
        <v>162</v>
      </c>
      <c r="AQ74" s="22" t="str">
        <f t="shared" si="29"/>
        <v>Microphytoplankton</v>
      </c>
      <c r="AR74" s="22">
        <v>0</v>
      </c>
      <c r="AS74" s="22">
        <v>0</v>
      </c>
      <c r="AT74" s="22">
        <v>0</v>
      </c>
      <c r="AU74" s="22">
        <v>0</v>
      </c>
      <c r="AV74" s="22">
        <v>0</v>
      </c>
      <c r="AW74" s="22">
        <v>0</v>
      </c>
      <c r="AX74" s="22">
        <v>0</v>
      </c>
      <c r="AY74" s="22">
        <v>1</v>
      </c>
      <c r="BH74" s="22">
        <f t="shared" si="30"/>
        <v>0.40531750295449975</v>
      </c>
    </row>
    <row r="75" spans="1:60" s="22" customFormat="1" ht="13">
      <c r="A75" s="21" t="s">
        <v>3327</v>
      </c>
      <c r="B75" s="22" t="s">
        <v>663</v>
      </c>
      <c r="C75" s="23" t="s">
        <v>2223</v>
      </c>
      <c r="D75" s="22" t="s">
        <v>3188</v>
      </c>
      <c r="E75" s="23" t="s">
        <v>3189</v>
      </c>
      <c r="F75" s="23" t="s">
        <v>3190</v>
      </c>
      <c r="G75" s="23" t="s">
        <v>3191</v>
      </c>
      <c r="H75" s="23" t="s">
        <v>3192</v>
      </c>
      <c r="I75" s="22" t="s">
        <v>3253</v>
      </c>
      <c r="J75" s="21" t="s">
        <v>3328</v>
      </c>
      <c r="K75" s="21"/>
      <c r="L75" s="21"/>
      <c r="N75" s="22" t="s">
        <v>3329</v>
      </c>
      <c r="O75" s="22" t="s">
        <v>3196</v>
      </c>
      <c r="P75" s="21">
        <v>90495</v>
      </c>
      <c r="Q75" s="21">
        <v>52</v>
      </c>
      <c r="R75" s="21">
        <v>50</v>
      </c>
      <c r="S75" s="21">
        <v>30</v>
      </c>
      <c r="T75" s="21" t="s">
        <v>281</v>
      </c>
      <c r="U75" s="21">
        <v>0.7</v>
      </c>
      <c r="V75" s="21">
        <v>0.7</v>
      </c>
      <c r="W75" s="24">
        <f t="shared" si="25"/>
        <v>29541.448121600803</v>
      </c>
      <c r="X75" s="24">
        <f t="shared" si="26"/>
        <v>28573.999999999993</v>
      </c>
      <c r="Y75" s="21">
        <v>1</v>
      </c>
      <c r="Z75" s="24">
        <f t="shared" si="27"/>
        <v>29541.448121600803</v>
      </c>
      <c r="AA75" s="24">
        <f t="shared" si="28"/>
        <v>28573.999999999993</v>
      </c>
      <c r="AB75" s="21"/>
      <c r="AC75" s="21"/>
      <c r="AD75" s="21"/>
      <c r="AE75" s="21"/>
      <c r="AF75" s="21"/>
      <c r="AG75" s="21"/>
      <c r="AH75" s="24"/>
      <c r="AI75" s="24"/>
      <c r="AJ75" s="21">
        <v>31256</v>
      </c>
      <c r="AK75" s="21">
        <v>52</v>
      </c>
      <c r="AL75" s="22" t="s">
        <v>161</v>
      </c>
      <c r="AM75" s="22">
        <v>0.11</v>
      </c>
      <c r="AN75" s="22" t="s">
        <v>2206</v>
      </c>
      <c r="AO75" s="22" t="s">
        <v>2206</v>
      </c>
      <c r="AP75" s="22" t="s">
        <v>162</v>
      </c>
      <c r="AQ75" s="22" t="str">
        <f t="shared" si="29"/>
        <v>Microphytoplankton</v>
      </c>
      <c r="AR75" s="22">
        <v>0</v>
      </c>
      <c r="AS75" s="22">
        <v>0</v>
      </c>
      <c r="AT75" s="22">
        <v>0</v>
      </c>
      <c r="AU75" s="22">
        <v>0</v>
      </c>
      <c r="AV75" s="22">
        <v>0</v>
      </c>
      <c r="AW75" s="22">
        <v>0</v>
      </c>
      <c r="AX75" s="22">
        <v>0</v>
      </c>
      <c r="AY75" s="22">
        <v>1</v>
      </c>
      <c r="BH75" s="22">
        <f t="shared" si="30"/>
        <v>0.9672511612288428</v>
      </c>
    </row>
    <row r="76" spans="1:60" s="22" customFormat="1" ht="13">
      <c r="A76" s="21" t="s">
        <v>3346</v>
      </c>
      <c r="B76" s="22" t="s">
        <v>663</v>
      </c>
      <c r="C76" s="23" t="s">
        <v>2223</v>
      </c>
      <c r="D76" s="22" t="s">
        <v>3188</v>
      </c>
      <c r="E76" s="23" t="s">
        <v>3189</v>
      </c>
      <c r="F76" s="23" t="s">
        <v>3190</v>
      </c>
      <c r="G76" s="23" t="s">
        <v>3191</v>
      </c>
      <c r="H76" s="23" t="s">
        <v>3192</v>
      </c>
      <c r="I76" s="22" t="s">
        <v>3253</v>
      </c>
      <c r="J76" s="21" t="s">
        <v>3347</v>
      </c>
      <c r="K76" s="21"/>
      <c r="L76" s="21"/>
      <c r="N76" s="22" t="s">
        <v>3348</v>
      </c>
      <c r="O76" s="22" t="s">
        <v>3196</v>
      </c>
      <c r="P76" s="21">
        <v>90422</v>
      </c>
      <c r="Q76" s="21">
        <v>29</v>
      </c>
      <c r="R76" s="21">
        <v>26</v>
      </c>
      <c r="S76" s="21">
        <v>26</v>
      </c>
      <c r="T76" s="21" t="s">
        <v>281</v>
      </c>
      <c r="U76" s="21">
        <v>0.9</v>
      </c>
      <c r="V76" s="21">
        <v>0.9</v>
      </c>
      <c r="W76" s="24">
        <f t="shared" si="25"/>
        <v>8190.2992363294925</v>
      </c>
      <c r="X76" s="24">
        <f t="shared" si="26"/>
        <v>9233.4840000000004</v>
      </c>
      <c r="Y76" s="21">
        <v>1</v>
      </c>
      <c r="Z76" s="24">
        <f t="shared" si="27"/>
        <v>8190.2992363294925</v>
      </c>
      <c r="AA76" s="24">
        <f t="shared" si="28"/>
        <v>9233.4840000000004</v>
      </c>
      <c r="AB76" s="21"/>
      <c r="AC76" s="21"/>
      <c r="AD76" s="21"/>
      <c r="AE76" s="21"/>
      <c r="AF76" s="21"/>
      <c r="AG76" s="21"/>
      <c r="AH76" s="24"/>
      <c r="AI76" s="24"/>
      <c r="AJ76" s="21">
        <v>9233.5</v>
      </c>
      <c r="AK76" s="21">
        <v>29</v>
      </c>
      <c r="AL76" s="22" t="s">
        <v>161</v>
      </c>
      <c r="AM76" s="22">
        <v>0.11</v>
      </c>
      <c r="AN76" s="22" t="s">
        <v>2206</v>
      </c>
      <c r="AO76" s="22" t="s">
        <v>2206</v>
      </c>
      <c r="AP76" s="22" t="s">
        <v>162</v>
      </c>
      <c r="AQ76" s="22" t="str">
        <f t="shared" si="29"/>
        <v>Microphytoplankton</v>
      </c>
      <c r="AR76" s="22">
        <v>0</v>
      </c>
      <c r="AS76" s="22">
        <v>0</v>
      </c>
      <c r="AT76" s="22">
        <v>0</v>
      </c>
      <c r="AU76" s="22">
        <v>0</v>
      </c>
      <c r="AV76" s="22">
        <v>0</v>
      </c>
      <c r="AW76" s="22">
        <v>0</v>
      </c>
      <c r="AX76" s="22">
        <v>0</v>
      </c>
      <c r="AY76" s="22">
        <v>1</v>
      </c>
      <c r="BH76" s="22">
        <f t="shared" si="30"/>
        <v>1.1273683333868048</v>
      </c>
    </row>
    <row r="77" spans="1:60">
      <c r="BH77" s="22"/>
    </row>
    <row r="78" spans="1:60" s="22" customFormat="1" ht="13">
      <c r="A78" s="21" t="s">
        <v>3203</v>
      </c>
      <c r="B78" s="22" t="s">
        <v>663</v>
      </c>
      <c r="C78" s="23" t="s">
        <v>2223</v>
      </c>
      <c r="D78" s="22" t="s">
        <v>3188</v>
      </c>
      <c r="E78" s="23" t="s">
        <v>3189</v>
      </c>
      <c r="F78" s="23" t="s">
        <v>3190</v>
      </c>
      <c r="G78" s="23" t="s">
        <v>3191</v>
      </c>
      <c r="H78" s="23" t="s">
        <v>3200</v>
      </c>
      <c r="I78" s="22" t="s">
        <v>48</v>
      </c>
      <c r="J78" s="21" t="s">
        <v>2237</v>
      </c>
      <c r="K78" s="21"/>
      <c r="L78" s="21"/>
      <c r="N78" s="22" t="s">
        <v>3204</v>
      </c>
      <c r="O78" s="22" t="s">
        <v>3196</v>
      </c>
      <c r="P78" s="21">
        <v>90310</v>
      </c>
      <c r="Q78" s="21">
        <v>500</v>
      </c>
      <c r="R78" s="21">
        <v>5</v>
      </c>
      <c r="S78" s="21">
        <v>5</v>
      </c>
      <c r="T78" s="21" t="s">
        <v>160</v>
      </c>
      <c r="U78" s="21">
        <v>0.75</v>
      </c>
      <c r="V78" s="21">
        <v>0.75</v>
      </c>
      <c r="W78" s="24">
        <f t="shared" ref="W78:W86" si="31">3.14*R78*Q78+2*3.14*(S78/2)^2/V78</f>
        <v>7902.3333333333339</v>
      </c>
      <c r="X78" s="25">
        <f t="shared" ref="X78:X86" si="32">(3.14/4*R78^2*Q78)*U78</f>
        <v>7359.375</v>
      </c>
      <c r="Y78" s="21">
        <v>1</v>
      </c>
      <c r="Z78" s="24">
        <f t="shared" ref="Z78:Z88" si="33">Y78*W78</f>
        <v>7902.3333333333339</v>
      </c>
      <c r="AA78" s="24">
        <f t="shared" ref="AA78:AA88" si="34">Y78*X78</f>
        <v>7359.375</v>
      </c>
      <c r="AB78" s="21"/>
      <c r="AC78" s="21"/>
      <c r="AD78" s="21"/>
      <c r="AE78" s="21"/>
      <c r="AF78" s="21"/>
      <c r="AG78" s="21"/>
      <c r="AH78" s="24"/>
      <c r="AI78" s="24"/>
      <c r="AJ78" s="21">
        <v>7363.1</v>
      </c>
      <c r="AK78" s="21">
        <v>500</v>
      </c>
      <c r="AL78" s="22" t="s">
        <v>161</v>
      </c>
      <c r="AM78" s="22">
        <v>0.11</v>
      </c>
      <c r="AN78" s="22" t="s">
        <v>1517</v>
      </c>
      <c r="AO78" s="22" t="s">
        <v>1517</v>
      </c>
      <c r="AP78" s="22" t="s">
        <v>162</v>
      </c>
      <c r="AQ78" s="22" t="str">
        <f t="shared" ref="AQ78:AQ88" si="35">IF(AND($AK78&lt;20,AJ78&lt;10000),"Nanophytoplankton","Microphytoplankton")</f>
        <v>Microphytoplankton</v>
      </c>
      <c r="AR78" s="22">
        <v>0</v>
      </c>
      <c r="AS78" s="22">
        <v>0</v>
      </c>
      <c r="AT78" s="22">
        <v>0</v>
      </c>
      <c r="AU78" s="22">
        <v>0</v>
      </c>
      <c r="AV78" s="22">
        <v>0</v>
      </c>
      <c r="AW78" s="22">
        <v>0</v>
      </c>
      <c r="AX78" s="22">
        <v>0</v>
      </c>
      <c r="AY78" s="22">
        <v>1</v>
      </c>
      <c r="AZ78" s="22">
        <v>0</v>
      </c>
      <c r="BA78" s="22">
        <v>0</v>
      </c>
      <c r="BB78" s="22">
        <v>0</v>
      </c>
      <c r="BC78" s="22">
        <v>1</v>
      </c>
      <c r="BD78" s="22">
        <v>3</v>
      </c>
      <c r="BE78" s="22">
        <v>6</v>
      </c>
      <c r="BF78" s="22">
        <v>0</v>
      </c>
      <c r="BG78" s="22">
        <v>0</v>
      </c>
      <c r="BH78" s="22">
        <f t="shared" si="30"/>
        <v>0.93129139072847678</v>
      </c>
    </row>
    <row r="79" spans="1:60" s="22" customFormat="1" ht="13">
      <c r="A79" s="21" t="s">
        <v>3222</v>
      </c>
      <c r="B79" s="22" t="s">
        <v>663</v>
      </c>
      <c r="C79" s="23" t="s">
        <v>2223</v>
      </c>
      <c r="D79" s="22" t="s">
        <v>3188</v>
      </c>
      <c r="E79" s="23" t="s">
        <v>3189</v>
      </c>
      <c r="F79" s="23" t="s">
        <v>3190</v>
      </c>
      <c r="G79" s="23" t="s">
        <v>3191</v>
      </c>
      <c r="H79" s="23" t="s">
        <v>3200</v>
      </c>
      <c r="I79" s="22" t="s">
        <v>48</v>
      </c>
      <c r="J79" s="21" t="s">
        <v>1680</v>
      </c>
      <c r="K79" s="21"/>
      <c r="L79" s="21"/>
      <c r="N79" s="22" t="s">
        <v>3223</v>
      </c>
      <c r="O79" s="22" t="s">
        <v>3196</v>
      </c>
      <c r="P79" s="21">
        <v>90390</v>
      </c>
      <c r="Q79" s="21">
        <v>660</v>
      </c>
      <c r="R79" s="21">
        <v>95</v>
      </c>
      <c r="S79" s="21">
        <v>95</v>
      </c>
      <c r="T79" s="21" t="s">
        <v>160</v>
      </c>
      <c r="U79" s="21">
        <v>1</v>
      </c>
      <c r="V79" s="21">
        <v>1</v>
      </c>
      <c r="W79" s="24">
        <f t="shared" si="31"/>
        <v>211047.25</v>
      </c>
      <c r="X79" s="25">
        <f t="shared" si="32"/>
        <v>4675852.5</v>
      </c>
      <c r="Y79" s="21">
        <v>1</v>
      </c>
      <c r="Z79" s="24">
        <f t="shared" si="33"/>
        <v>211047.25</v>
      </c>
      <c r="AA79" s="24">
        <f t="shared" si="34"/>
        <v>4675852.5</v>
      </c>
      <c r="AB79" s="21"/>
      <c r="AC79" s="21"/>
      <c r="AD79" s="21"/>
      <c r="AE79" s="21"/>
      <c r="AF79" s="21"/>
      <c r="AG79" s="21"/>
      <c r="AH79" s="24"/>
      <c r="AI79" s="24"/>
      <c r="AJ79" s="21">
        <v>1559408.1</v>
      </c>
      <c r="AK79" s="21">
        <v>660</v>
      </c>
      <c r="AL79" s="22" t="s">
        <v>161</v>
      </c>
      <c r="AM79" s="22">
        <v>0.11</v>
      </c>
      <c r="AO79" s="22" t="s">
        <v>1517</v>
      </c>
      <c r="AP79" s="22" t="s">
        <v>162</v>
      </c>
      <c r="AQ79" s="22" t="str">
        <f t="shared" si="35"/>
        <v>Microphytoplankton</v>
      </c>
      <c r="AR79" s="22">
        <v>0</v>
      </c>
      <c r="AS79" s="22">
        <v>0</v>
      </c>
      <c r="AT79" s="22">
        <v>0</v>
      </c>
      <c r="AU79" s="22">
        <v>0</v>
      </c>
      <c r="AV79" s="22">
        <v>0</v>
      </c>
      <c r="AW79" s="22">
        <v>0</v>
      </c>
      <c r="AX79" s="22">
        <v>0</v>
      </c>
      <c r="AY79" s="22">
        <v>1</v>
      </c>
      <c r="BF79" s="22">
        <v>0</v>
      </c>
      <c r="BG79" s="22">
        <v>0</v>
      </c>
      <c r="BH79" s="22">
        <f t="shared" si="30"/>
        <v>22.155477031802121</v>
      </c>
    </row>
    <row r="80" spans="1:60" s="22" customFormat="1" ht="13">
      <c r="A80" s="21" t="s">
        <v>3214</v>
      </c>
      <c r="B80" s="22" t="s">
        <v>663</v>
      </c>
      <c r="C80" s="23" t="s">
        <v>2223</v>
      </c>
      <c r="D80" s="22" t="s">
        <v>3188</v>
      </c>
      <c r="E80" s="23" t="s">
        <v>3189</v>
      </c>
      <c r="F80" s="23" t="s">
        <v>3190</v>
      </c>
      <c r="G80" s="23" t="s">
        <v>3191</v>
      </c>
      <c r="H80" s="23" t="s">
        <v>3200</v>
      </c>
      <c r="I80" s="22" t="s">
        <v>48</v>
      </c>
      <c r="J80" s="21" t="s">
        <v>3206</v>
      </c>
      <c r="K80" s="21" t="s">
        <v>175</v>
      </c>
      <c r="L80" s="21" t="s">
        <v>3215</v>
      </c>
      <c r="N80" s="22" t="s">
        <v>3216</v>
      </c>
      <c r="O80" s="22" t="s">
        <v>3196</v>
      </c>
      <c r="P80" s="21">
        <v>90320</v>
      </c>
      <c r="Q80" s="21">
        <v>130</v>
      </c>
      <c r="R80" s="21">
        <v>3.5</v>
      </c>
      <c r="S80" s="21">
        <v>3.5</v>
      </c>
      <c r="T80" s="21" t="s">
        <v>160</v>
      </c>
      <c r="U80" s="21">
        <v>0.75</v>
      </c>
      <c r="V80" s="21">
        <v>0.75</v>
      </c>
      <c r="W80" s="24">
        <f t="shared" si="31"/>
        <v>1454.3433333333335</v>
      </c>
      <c r="X80" s="25">
        <f t="shared" si="32"/>
        <v>937.58437500000014</v>
      </c>
      <c r="Y80" s="21">
        <v>1</v>
      </c>
      <c r="Z80" s="24">
        <f t="shared" si="33"/>
        <v>1454.3433333333335</v>
      </c>
      <c r="AA80" s="24">
        <f t="shared" si="34"/>
        <v>937.58437500000014</v>
      </c>
      <c r="AB80" s="21"/>
      <c r="AC80" s="21"/>
      <c r="AD80" s="21"/>
      <c r="AE80" s="21"/>
      <c r="AF80" s="21"/>
      <c r="AG80" s="21"/>
      <c r="AH80" s="24"/>
      <c r="AI80" s="24"/>
      <c r="AJ80" s="21">
        <v>938.1</v>
      </c>
      <c r="AK80" s="21">
        <v>130</v>
      </c>
      <c r="AL80" s="22" t="s">
        <v>161</v>
      </c>
      <c r="AM80" s="22">
        <v>0.11</v>
      </c>
      <c r="AN80" s="22" t="s">
        <v>1517</v>
      </c>
      <c r="AO80" s="22" t="s">
        <v>1517</v>
      </c>
      <c r="AP80" s="22" t="s">
        <v>162</v>
      </c>
      <c r="AQ80" s="22" t="str">
        <f t="shared" si="35"/>
        <v>Microphytoplankton</v>
      </c>
      <c r="AR80" s="22">
        <v>0</v>
      </c>
      <c r="AS80" s="22">
        <v>0</v>
      </c>
      <c r="AT80" s="22">
        <v>0</v>
      </c>
      <c r="AU80" s="22">
        <v>0</v>
      </c>
      <c r="AV80" s="22">
        <v>0</v>
      </c>
      <c r="AW80" s="22">
        <v>0</v>
      </c>
      <c r="AX80" s="22">
        <v>0</v>
      </c>
      <c r="AY80" s="22">
        <v>1</v>
      </c>
      <c r="AZ80" s="22">
        <v>0</v>
      </c>
      <c r="BA80" s="22">
        <v>0</v>
      </c>
      <c r="BB80" s="22">
        <v>0</v>
      </c>
      <c r="BC80" s="22">
        <v>1</v>
      </c>
      <c r="BD80" s="22">
        <v>7</v>
      </c>
      <c r="BE80" s="22">
        <v>2</v>
      </c>
      <c r="BH80" s="22">
        <f t="shared" si="30"/>
        <v>0.64467884130982367</v>
      </c>
    </row>
    <row r="81" spans="1:60" s="22" customFormat="1" ht="13">
      <c r="A81" s="21" t="s">
        <v>3219</v>
      </c>
      <c r="B81" s="22" t="s">
        <v>663</v>
      </c>
      <c r="C81" s="23" t="s">
        <v>2223</v>
      </c>
      <c r="D81" s="22" t="s">
        <v>3188</v>
      </c>
      <c r="E81" s="23" t="s">
        <v>3189</v>
      </c>
      <c r="F81" s="23" t="s">
        <v>3190</v>
      </c>
      <c r="G81" s="23" t="s">
        <v>3191</v>
      </c>
      <c r="H81" s="23" t="s">
        <v>3200</v>
      </c>
      <c r="I81" s="22" t="s">
        <v>48</v>
      </c>
      <c r="J81" s="21" t="s">
        <v>3220</v>
      </c>
      <c r="K81" s="21"/>
      <c r="L81" s="21"/>
      <c r="N81" s="22" t="s">
        <v>694</v>
      </c>
      <c r="O81" s="22" t="s">
        <v>3196</v>
      </c>
      <c r="P81" s="21">
        <v>90311</v>
      </c>
      <c r="Q81" s="22">
        <v>125</v>
      </c>
      <c r="R81" s="22">
        <v>5</v>
      </c>
      <c r="S81" s="22">
        <v>5</v>
      </c>
      <c r="T81" s="21" t="s">
        <v>160</v>
      </c>
      <c r="U81" s="22">
        <v>0.8</v>
      </c>
      <c r="V81" s="22">
        <v>0.8</v>
      </c>
      <c r="W81" s="24">
        <f t="shared" si="31"/>
        <v>2011.5625000000002</v>
      </c>
      <c r="X81" s="25">
        <f t="shared" si="32"/>
        <v>1962.5</v>
      </c>
      <c r="Y81" s="21">
        <v>1</v>
      </c>
      <c r="Z81" s="24">
        <f t="shared" si="33"/>
        <v>2011.5625000000002</v>
      </c>
      <c r="AA81" s="24">
        <f t="shared" si="34"/>
        <v>1962.5</v>
      </c>
      <c r="AH81" s="25"/>
      <c r="AI81" s="25"/>
      <c r="AJ81" s="21">
        <v>2500</v>
      </c>
      <c r="AK81" s="21">
        <v>110</v>
      </c>
      <c r="AL81" s="22" t="s">
        <v>161</v>
      </c>
      <c r="AM81" s="22">
        <v>0.11</v>
      </c>
      <c r="AO81" s="22" t="s">
        <v>1517</v>
      </c>
      <c r="AP81" s="22" t="s">
        <v>162</v>
      </c>
      <c r="AQ81" s="22" t="str">
        <f t="shared" si="35"/>
        <v>Microphytoplankton</v>
      </c>
      <c r="AR81" s="22">
        <v>0</v>
      </c>
      <c r="AS81" s="22">
        <v>0</v>
      </c>
      <c r="AT81" s="22">
        <v>0</v>
      </c>
      <c r="AU81" s="22">
        <v>0</v>
      </c>
      <c r="AV81" s="22">
        <v>0</v>
      </c>
      <c r="AW81" s="22">
        <v>0</v>
      </c>
      <c r="AX81" s="22">
        <v>0</v>
      </c>
      <c r="AY81" s="22">
        <v>1</v>
      </c>
      <c r="BH81" s="22">
        <f t="shared" si="30"/>
        <v>0.97560975609756084</v>
      </c>
    </row>
    <row r="82" spans="1:60" s="22" customFormat="1" ht="13">
      <c r="A82" s="21" t="s">
        <v>3221</v>
      </c>
      <c r="B82" s="22" t="s">
        <v>663</v>
      </c>
      <c r="C82" s="23" t="s">
        <v>2223</v>
      </c>
      <c r="D82" s="22" t="s">
        <v>3188</v>
      </c>
      <c r="E82" s="23" t="s">
        <v>3189</v>
      </c>
      <c r="F82" s="23" t="s">
        <v>3190</v>
      </c>
      <c r="G82" s="23" t="s">
        <v>3191</v>
      </c>
      <c r="H82" s="23" t="s">
        <v>3200</v>
      </c>
      <c r="I82" s="22" t="s">
        <v>48</v>
      </c>
      <c r="J82" s="21" t="s">
        <v>2610</v>
      </c>
      <c r="K82" s="21"/>
      <c r="L82" s="21"/>
      <c r="N82" s="22" t="s">
        <v>694</v>
      </c>
      <c r="O82" s="22" t="s">
        <v>3196</v>
      </c>
      <c r="P82" s="21">
        <v>90313</v>
      </c>
      <c r="Q82" s="22">
        <v>255</v>
      </c>
      <c r="R82" s="22">
        <v>18</v>
      </c>
      <c r="S82" s="22">
        <v>18</v>
      </c>
      <c r="T82" s="21" t="s">
        <v>160</v>
      </c>
      <c r="U82" s="22">
        <v>0.8</v>
      </c>
      <c r="V82" s="22">
        <v>0.8</v>
      </c>
      <c r="W82" s="24">
        <f t="shared" si="31"/>
        <v>15048.45</v>
      </c>
      <c r="X82" s="25">
        <f t="shared" si="32"/>
        <v>51885.360000000008</v>
      </c>
      <c r="Y82" s="21">
        <v>1</v>
      </c>
      <c r="Z82" s="24">
        <f t="shared" si="33"/>
        <v>15048.45</v>
      </c>
      <c r="AA82" s="24">
        <f t="shared" si="34"/>
        <v>51885.360000000008</v>
      </c>
      <c r="AH82" s="25"/>
      <c r="AI82" s="25"/>
      <c r="AJ82" s="21">
        <v>65000</v>
      </c>
      <c r="AK82" s="21">
        <v>260</v>
      </c>
      <c r="AL82" s="22" t="s">
        <v>161</v>
      </c>
      <c r="AM82" s="22">
        <v>0.11</v>
      </c>
      <c r="AO82" s="22" t="s">
        <v>1517</v>
      </c>
      <c r="AP82" s="22" t="s">
        <v>162</v>
      </c>
      <c r="AQ82" s="22" t="str">
        <f t="shared" si="35"/>
        <v>Microphytoplankton</v>
      </c>
      <c r="AR82" s="22">
        <v>0</v>
      </c>
      <c r="AS82" s="22">
        <v>0</v>
      </c>
      <c r="AT82" s="22">
        <v>0</v>
      </c>
      <c r="AU82" s="22">
        <v>0</v>
      </c>
      <c r="AV82" s="22">
        <v>0</v>
      </c>
      <c r="AW82" s="22">
        <v>0</v>
      </c>
      <c r="AX82" s="22">
        <v>0</v>
      </c>
      <c r="AY82" s="22">
        <v>1</v>
      </c>
      <c r="BH82" s="22">
        <f t="shared" si="30"/>
        <v>3.4478873239436623</v>
      </c>
    </row>
    <row r="83" spans="1:60" s="22" customFormat="1" ht="13">
      <c r="A83" s="21" t="s">
        <v>3224</v>
      </c>
      <c r="B83" s="22" t="s">
        <v>663</v>
      </c>
      <c r="C83" s="23" t="s">
        <v>2223</v>
      </c>
      <c r="D83" s="22" t="s">
        <v>3188</v>
      </c>
      <c r="E83" s="23" t="s">
        <v>3189</v>
      </c>
      <c r="F83" s="23" t="s">
        <v>3190</v>
      </c>
      <c r="G83" s="23" t="s">
        <v>3191</v>
      </c>
      <c r="H83" s="23" t="s">
        <v>3200</v>
      </c>
      <c r="I83" s="22" t="s">
        <v>48</v>
      </c>
      <c r="J83" s="21" t="s">
        <v>222</v>
      </c>
      <c r="K83" s="21"/>
      <c r="L83" s="21"/>
      <c r="N83" s="22" t="s">
        <v>3225</v>
      </c>
      <c r="O83" s="22" t="s">
        <v>3196</v>
      </c>
      <c r="P83" s="21">
        <v>90360</v>
      </c>
      <c r="Q83" s="21">
        <v>220</v>
      </c>
      <c r="R83" s="21">
        <v>5</v>
      </c>
      <c r="S83" s="21">
        <v>5</v>
      </c>
      <c r="T83" s="21" t="s">
        <v>160</v>
      </c>
      <c r="U83" s="21">
        <v>0.9</v>
      </c>
      <c r="V83" s="21">
        <v>0.9</v>
      </c>
      <c r="W83" s="24">
        <f t="shared" si="31"/>
        <v>3497.6111111111118</v>
      </c>
      <c r="X83" s="25">
        <f t="shared" si="32"/>
        <v>3885.75</v>
      </c>
      <c r="Y83" s="21">
        <v>1</v>
      </c>
      <c r="Z83" s="24">
        <f t="shared" si="33"/>
        <v>3497.6111111111118</v>
      </c>
      <c r="AA83" s="24">
        <f t="shared" si="34"/>
        <v>3885.75</v>
      </c>
      <c r="AB83" s="21"/>
      <c r="AC83" s="21"/>
      <c r="AD83" s="21"/>
      <c r="AE83" s="21"/>
      <c r="AF83" s="21"/>
      <c r="AG83" s="21"/>
      <c r="AH83" s="24"/>
      <c r="AI83" s="24"/>
      <c r="AJ83" s="21">
        <v>3887.7</v>
      </c>
      <c r="AK83" s="21">
        <v>220</v>
      </c>
      <c r="AL83" s="22" t="s">
        <v>161</v>
      </c>
      <c r="AM83" s="22">
        <v>0.11</v>
      </c>
      <c r="AO83" s="22" t="s">
        <v>1517</v>
      </c>
      <c r="AP83" s="22" t="s">
        <v>162</v>
      </c>
      <c r="AQ83" s="22" t="str">
        <f t="shared" si="35"/>
        <v>Microphytoplankton</v>
      </c>
      <c r="AR83" s="22">
        <v>0</v>
      </c>
      <c r="AS83" s="22">
        <v>0</v>
      </c>
      <c r="AT83" s="22">
        <v>0</v>
      </c>
      <c r="AU83" s="22">
        <v>0</v>
      </c>
      <c r="AV83" s="22">
        <v>0</v>
      </c>
      <c r="AW83" s="22">
        <v>0</v>
      </c>
      <c r="AX83" s="22">
        <v>0</v>
      </c>
      <c r="AY83" s="22">
        <v>1</v>
      </c>
      <c r="BH83" s="22">
        <f t="shared" si="30"/>
        <v>1.1109725685785534</v>
      </c>
    </row>
    <row r="84" spans="1:60" s="22" customFormat="1" ht="13">
      <c r="A84" s="21" t="s">
        <v>3229</v>
      </c>
      <c r="B84" s="22" t="s">
        <v>663</v>
      </c>
      <c r="C84" s="23" t="s">
        <v>2223</v>
      </c>
      <c r="D84" s="22" t="s">
        <v>3188</v>
      </c>
      <c r="E84" s="23" t="s">
        <v>3189</v>
      </c>
      <c r="F84" s="23" t="s">
        <v>3190</v>
      </c>
      <c r="G84" s="23" t="s">
        <v>3191</v>
      </c>
      <c r="H84" s="23" t="s">
        <v>3200</v>
      </c>
      <c r="I84" s="22" t="s">
        <v>48</v>
      </c>
      <c r="J84" s="21" t="s">
        <v>176</v>
      </c>
      <c r="K84" s="21"/>
      <c r="L84" s="21"/>
      <c r="N84" s="22" t="s">
        <v>167</v>
      </c>
      <c r="O84" s="22" t="s">
        <v>3196</v>
      </c>
      <c r="P84" s="21">
        <v>90395</v>
      </c>
      <c r="Q84" s="21">
        <v>167.5</v>
      </c>
      <c r="R84" s="21">
        <v>5.2</v>
      </c>
      <c r="S84" s="21">
        <v>5.2</v>
      </c>
      <c r="T84" s="21" t="s">
        <v>160</v>
      </c>
      <c r="U84" s="21">
        <v>0.7</v>
      </c>
      <c r="V84" s="21">
        <v>0.7</v>
      </c>
      <c r="W84" s="24">
        <f t="shared" si="31"/>
        <v>2795.5868571428578</v>
      </c>
      <c r="X84" s="25">
        <f t="shared" si="32"/>
        <v>2488.7954</v>
      </c>
      <c r="Y84" s="21">
        <v>1</v>
      </c>
      <c r="Z84" s="24">
        <f t="shared" si="33"/>
        <v>2795.5868571428578</v>
      </c>
      <c r="AA84" s="24">
        <f t="shared" si="34"/>
        <v>2488.7954</v>
      </c>
      <c r="AB84" s="21"/>
      <c r="AC84" s="21"/>
      <c r="AD84" s="21"/>
      <c r="AE84" s="21"/>
      <c r="AF84" s="21"/>
      <c r="AG84" s="21"/>
      <c r="AH84" s="24"/>
      <c r="AI84" s="24"/>
      <c r="AJ84" s="21">
        <v>3170</v>
      </c>
      <c r="AK84" s="21">
        <v>167.5</v>
      </c>
      <c r="AL84" s="22" t="s">
        <v>161</v>
      </c>
      <c r="AM84" s="22">
        <v>0.11</v>
      </c>
      <c r="AO84" s="22" t="s">
        <v>1517</v>
      </c>
      <c r="AP84" s="22" t="s">
        <v>162</v>
      </c>
      <c r="AQ84" s="22" t="str">
        <f t="shared" si="35"/>
        <v>Microphytoplankton</v>
      </c>
      <c r="AR84" s="22">
        <v>0</v>
      </c>
      <c r="AS84" s="22">
        <v>0</v>
      </c>
      <c r="AT84" s="22">
        <v>0</v>
      </c>
      <c r="AU84" s="22">
        <v>0</v>
      </c>
      <c r="AV84" s="22">
        <v>0</v>
      </c>
      <c r="AW84" s="22">
        <v>0</v>
      </c>
      <c r="AX84" s="22">
        <v>0</v>
      </c>
      <c r="AY84" s="22">
        <v>1</v>
      </c>
      <c r="BH84" s="22">
        <f t="shared" si="30"/>
        <v>0.89025865665415083</v>
      </c>
    </row>
    <row r="85" spans="1:60" s="22" customFormat="1" ht="13">
      <c r="A85" s="21" t="s">
        <v>3199</v>
      </c>
      <c r="B85" s="22" t="s">
        <v>663</v>
      </c>
      <c r="C85" s="23" t="s">
        <v>2223</v>
      </c>
      <c r="D85" s="22" t="s">
        <v>3188</v>
      </c>
      <c r="E85" s="23" t="s">
        <v>3189</v>
      </c>
      <c r="F85" s="23" t="s">
        <v>3190</v>
      </c>
      <c r="G85" s="23" t="s">
        <v>3191</v>
      </c>
      <c r="H85" s="23" t="s">
        <v>3200</v>
      </c>
      <c r="I85" s="22" t="s">
        <v>48</v>
      </c>
      <c r="J85" s="21" t="s">
        <v>3201</v>
      </c>
      <c r="K85" s="21"/>
      <c r="L85" s="21"/>
      <c r="N85" s="22" t="s">
        <v>3202</v>
      </c>
      <c r="O85" s="22" t="s">
        <v>3196</v>
      </c>
      <c r="P85" s="21">
        <v>90290</v>
      </c>
      <c r="Q85" s="21">
        <v>540</v>
      </c>
      <c r="R85" s="21">
        <v>40</v>
      </c>
      <c r="S85" s="21">
        <v>40</v>
      </c>
      <c r="T85" s="21" t="s">
        <v>160</v>
      </c>
      <c r="U85" s="21">
        <v>1</v>
      </c>
      <c r="V85" s="21">
        <v>1</v>
      </c>
      <c r="W85" s="24">
        <f t="shared" si="31"/>
        <v>70336</v>
      </c>
      <c r="X85" s="25">
        <f t="shared" si="32"/>
        <v>678240</v>
      </c>
      <c r="Y85" s="21">
        <v>1</v>
      </c>
      <c r="Z85" s="24">
        <f t="shared" si="33"/>
        <v>70336</v>
      </c>
      <c r="AA85" s="24">
        <f t="shared" si="34"/>
        <v>678240</v>
      </c>
      <c r="AB85" s="21"/>
      <c r="AC85" s="21"/>
      <c r="AD85" s="21"/>
      <c r="AE85" s="21"/>
      <c r="AF85" s="21"/>
      <c r="AG85" s="21"/>
      <c r="AH85" s="24"/>
      <c r="AI85" s="24"/>
      <c r="AJ85" s="21">
        <v>452389.3</v>
      </c>
      <c r="AK85" s="21">
        <v>540</v>
      </c>
      <c r="AL85" s="22" t="s">
        <v>161</v>
      </c>
      <c r="AM85" s="22">
        <v>0.11</v>
      </c>
      <c r="AO85" s="22" t="s">
        <v>1517</v>
      </c>
      <c r="AP85" s="22" t="s">
        <v>162</v>
      </c>
      <c r="AQ85" s="22" t="str">
        <f t="shared" si="35"/>
        <v>Microphytoplankton</v>
      </c>
      <c r="AR85" s="22">
        <v>0</v>
      </c>
      <c r="AS85" s="22">
        <v>0</v>
      </c>
      <c r="AT85" s="22">
        <v>0</v>
      </c>
      <c r="AU85" s="22">
        <v>0</v>
      </c>
      <c r="AV85" s="22">
        <v>0</v>
      </c>
      <c r="AW85" s="22">
        <v>0</v>
      </c>
      <c r="AX85" s="22">
        <v>0</v>
      </c>
      <c r="AY85" s="22">
        <v>1</v>
      </c>
      <c r="BH85" s="22">
        <f t="shared" si="30"/>
        <v>9.6428571428571423</v>
      </c>
    </row>
    <row r="86" spans="1:60" s="22" customFormat="1" ht="13">
      <c r="A86" s="21" t="s">
        <v>3237</v>
      </c>
      <c r="B86" s="22" t="s">
        <v>663</v>
      </c>
      <c r="C86" s="23" t="s">
        <v>2223</v>
      </c>
      <c r="D86" s="22" t="s">
        <v>3188</v>
      </c>
      <c r="E86" s="23" t="s">
        <v>3189</v>
      </c>
      <c r="F86" s="23" t="s">
        <v>3190</v>
      </c>
      <c r="G86" s="23" t="s">
        <v>3191</v>
      </c>
      <c r="H86" s="23" t="s">
        <v>3200</v>
      </c>
      <c r="I86" s="22" t="s">
        <v>48</v>
      </c>
      <c r="J86" s="21" t="s">
        <v>1914</v>
      </c>
      <c r="K86" s="21"/>
      <c r="L86" s="21"/>
      <c r="N86" s="22" t="s">
        <v>228</v>
      </c>
      <c r="O86" s="22" t="s">
        <v>3196</v>
      </c>
      <c r="P86" s="21">
        <v>90280</v>
      </c>
      <c r="Q86" s="21">
        <v>100</v>
      </c>
      <c r="R86" s="21">
        <v>15</v>
      </c>
      <c r="S86" s="21">
        <v>15</v>
      </c>
      <c r="T86" s="21" t="s">
        <v>160</v>
      </c>
      <c r="U86" s="21">
        <v>1.2</v>
      </c>
      <c r="V86" s="21">
        <v>1.2</v>
      </c>
      <c r="W86" s="24">
        <f t="shared" si="31"/>
        <v>5004.375</v>
      </c>
      <c r="X86" s="25">
        <f t="shared" si="32"/>
        <v>21195</v>
      </c>
      <c r="Y86" s="21">
        <v>1</v>
      </c>
      <c r="Z86" s="24">
        <f t="shared" si="33"/>
        <v>5004.375</v>
      </c>
      <c r="AA86" s="24">
        <f t="shared" si="34"/>
        <v>21195</v>
      </c>
      <c r="AB86" s="21"/>
      <c r="AC86" s="21"/>
      <c r="AD86" s="21"/>
      <c r="AE86" s="21"/>
      <c r="AF86" s="21"/>
      <c r="AG86" s="21"/>
      <c r="AH86" s="24"/>
      <c r="AI86" s="24"/>
      <c r="AJ86" s="21">
        <v>7068.6</v>
      </c>
      <c r="AK86" s="21">
        <v>100</v>
      </c>
      <c r="AL86" s="22" t="s">
        <v>161</v>
      </c>
      <c r="AM86" s="22">
        <v>0.11</v>
      </c>
      <c r="AO86" s="22" t="s">
        <v>1517</v>
      </c>
      <c r="AP86" s="22" t="s">
        <v>162</v>
      </c>
      <c r="AQ86" s="22" t="str">
        <f t="shared" si="35"/>
        <v>Microphytoplankton</v>
      </c>
      <c r="AR86" s="22">
        <v>0</v>
      </c>
      <c r="AS86" s="22">
        <v>0</v>
      </c>
      <c r="AT86" s="22">
        <v>0</v>
      </c>
      <c r="AU86" s="22">
        <v>0</v>
      </c>
      <c r="AV86" s="22">
        <v>0</v>
      </c>
      <c r="AW86" s="22">
        <v>0</v>
      </c>
      <c r="AX86" s="22">
        <v>0</v>
      </c>
      <c r="AY86" s="22">
        <v>1</v>
      </c>
      <c r="BH86" s="22">
        <f t="shared" si="30"/>
        <v>4.2352941176470589</v>
      </c>
    </row>
    <row r="87" spans="1:60" s="22" customFormat="1" ht="13">
      <c r="A87" s="22" t="s">
        <v>3238</v>
      </c>
      <c r="B87" s="22" t="s">
        <v>663</v>
      </c>
      <c r="C87" s="23" t="s">
        <v>2223</v>
      </c>
      <c r="D87" s="22" t="s">
        <v>3188</v>
      </c>
      <c r="E87" s="23" t="s">
        <v>3189</v>
      </c>
      <c r="F87" s="23" t="s">
        <v>3190</v>
      </c>
      <c r="G87" s="23" t="s">
        <v>3191</v>
      </c>
      <c r="H87" s="23" t="s">
        <v>3200</v>
      </c>
      <c r="I87" s="22" t="s">
        <v>48</v>
      </c>
      <c r="J87" s="22" t="s">
        <v>3239</v>
      </c>
      <c r="N87" s="22" t="s">
        <v>3207</v>
      </c>
      <c r="O87" s="22" t="s">
        <v>3196</v>
      </c>
      <c r="P87" s="21">
        <v>90316</v>
      </c>
      <c r="Q87" s="22">
        <v>300</v>
      </c>
      <c r="R87" s="22">
        <v>7.5</v>
      </c>
      <c r="S87" s="22">
        <v>7.5</v>
      </c>
      <c r="T87" s="22" t="s">
        <v>874</v>
      </c>
      <c r="U87" s="22">
        <v>1</v>
      </c>
      <c r="V87" s="22">
        <v>1</v>
      </c>
      <c r="W87" s="24">
        <f>(4*3.14*(((Q87^1.6*R87^1.6+Q87^1.6*S87^1.6+R87^1.6+S87^1.6)/3)^(1/1.6)))*(1/V87)</f>
        <v>21935.354094871433</v>
      </c>
      <c r="X87" s="24">
        <f>3.14/12*R87*S87*Q87*U87</f>
        <v>4415.625</v>
      </c>
      <c r="Y87" s="21">
        <v>1</v>
      </c>
      <c r="Z87" s="24">
        <f t="shared" si="33"/>
        <v>21935.354094871433</v>
      </c>
      <c r="AA87" s="24">
        <f t="shared" si="34"/>
        <v>4415.625</v>
      </c>
      <c r="AH87" s="25"/>
      <c r="AI87" s="25"/>
      <c r="AJ87" s="21">
        <v>4415.625</v>
      </c>
      <c r="AK87" s="21">
        <v>300</v>
      </c>
      <c r="AL87" s="22" t="s">
        <v>161</v>
      </c>
      <c r="AM87" s="22">
        <v>0.11</v>
      </c>
      <c r="AO87" s="22" t="s">
        <v>1517</v>
      </c>
      <c r="AP87" s="22" t="s">
        <v>162</v>
      </c>
      <c r="AQ87" s="22" t="str">
        <f t="shared" si="35"/>
        <v>Microphytoplankton</v>
      </c>
      <c r="AR87" s="22">
        <v>0</v>
      </c>
      <c r="AS87" s="22">
        <v>0</v>
      </c>
      <c r="AT87" s="22">
        <v>0</v>
      </c>
      <c r="AU87" s="22">
        <v>0</v>
      </c>
      <c r="AV87" s="22">
        <v>0</v>
      </c>
      <c r="AW87" s="22">
        <v>0</v>
      </c>
      <c r="AX87" s="22">
        <v>0</v>
      </c>
      <c r="AY87" s="22">
        <v>1</v>
      </c>
      <c r="BH87" s="22">
        <f t="shared" si="30"/>
        <v>0.20130174242468188</v>
      </c>
    </row>
    <row r="88" spans="1:60" s="22" customFormat="1" ht="13">
      <c r="A88" s="21" t="s">
        <v>3240</v>
      </c>
      <c r="B88" s="22" t="s">
        <v>663</v>
      </c>
      <c r="C88" s="23" t="s">
        <v>2223</v>
      </c>
      <c r="D88" s="22" t="s">
        <v>3188</v>
      </c>
      <c r="E88" s="23" t="s">
        <v>3189</v>
      </c>
      <c r="F88" s="23" t="s">
        <v>3190</v>
      </c>
      <c r="G88" s="23" t="s">
        <v>3191</v>
      </c>
      <c r="H88" s="23" t="s">
        <v>3200</v>
      </c>
      <c r="I88" s="22" t="s">
        <v>48</v>
      </c>
      <c r="J88" s="21" t="s">
        <v>211</v>
      </c>
      <c r="K88" s="21"/>
      <c r="L88" s="21"/>
      <c r="M88" s="22" t="s">
        <v>1</v>
      </c>
      <c r="N88" s="22" t="s">
        <v>3241</v>
      </c>
      <c r="O88" s="22" t="s">
        <v>3196</v>
      </c>
      <c r="P88" s="21">
        <v>90300</v>
      </c>
      <c r="Q88" s="21">
        <v>175</v>
      </c>
      <c r="R88" s="21">
        <v>28</v>
      </c>
      <c r="S88" s="21">
        <v>28</v>
      </c>
      <c r="T88" s="21" t="s">
        <v>160</v>
      </c>
      <c r="U88" s="21">
        <v>1</v>
      </c>
      <c r="V88" s="21">
        <v>1</v>
      </c>
      <c r="W88" s="24">
        <f>3.14*R88*Q88+2*3.14*(S88/2)^2/V88</f>
        <v>16616.88</v>
      </c>
      <c r="X88" s="25">
        <f>(3.14/4*R88^2*Q88)*U88</f>
        <v>107702.00000000001</v>
      </c>
      <c r="Y88" s="21">
        <v>1</v>
      </c>
      <c r="Z88" s="24">
        <f t="shared" si="33"/>
        <v>16616.88</v>
      </c>
      <c r="AA88" s="24">
        <f t="shared" si="34"/>
        <v>107702.00000000001</v>
      </c>
      <c r="AB88" s="21"/>
      <c r="AC88" s="21"/>
      <c r="AD88" s="21"/>
      <c r="AE88" s="21"/>
      <c r="AF88" s="21"/>
      <c r="AG88" s="21"/>
      <c r="AH88" s="24"/>
      <c r="AI88" s="24"/>
      <c r="AJ88" s="21">
        <v>71837.8</v>
      </c>
      <c r="AK88" s="21">
        <v>175</v>
      </c>
      <c r="AL88" s="22" t="s">
        <v>161</v>
      </c>
      <c r="AM88" s="22">
        <v>0.11</v>
      </c>
      <c r="AO88" s="22" t="s">
        <v>1517</v>
      </c>
      <c r="AP88" s="22" t="s">
        <v>162</v>
      </c>
      <c r="AQ88" s="22" t="str">
        <f t="shared" si="35"/>
        <v>Microphytoplankton</v>
      </c>
      <c r="AR88" s="22">
        <v>0</v>
      </c>
      <c r="AS88" s="22">
        <v>0</v>
      </c>
      <c r="AT88" s="22">
        <v>0</v>
      </c>
      <c r="AU88" s="22">
        <v>0</v>
      </c>
      <c r="AV88" s="22">
        <v>0</v>
      </c>
      <c r="AW88" s="22">
        <v>0</v>
      </c>
      <c r="AX88" s="22">
        <v>0</v>
      </c>
      <c r="AY88" s="22">
        <v>1</v>
      </c>
      <c r="BH88" s="22">
        <f t="shared" si="30"/>
        <v>6.4814814814814818</v>
      </c>
    </row>
    <row r="89" spans="1:60">
      <c r="BH89" s="22"/>
    </row>
    <row r="90" spans="1:60" s="22" customFormat="1" ht="13">
      <c r="A90" s="21" t="s">
        <v>707</v>
      </c>
      <c r="B90" s="22" t="s">
        <v>663</v>
      </c>
      <c r="C90" s="22" t="s">
        <v>664</v>
      </c>
      <c r="D90" s="22" t="s">
        <v>665</v>
      </c>
      <c r="E90" s="22" t="s">
        <v>666</v>
      </c>
      <c r="F90" s="22" t="s">
        <v>667</v>
      </c>
      <c r="G90" s="22" t="s">
        <v>668</v>
      </c>
      <c r="H90" s="22" t="s">
        <v>669</v>
      </c>
      <c r="I90" s="22" t="s">
        <v>702</v>
      </c>
      <c r="J90" s="22" t="s">
        <v>708</v>
      </c>
      <c r="N90" s="22" t="s">
        <v>709</v>
      </c>
      <c r="O90" s="21" t="s">
        <v>672</v>
      </c>
      <c r="P90" s="21">
        <v>20120</v>
      </c>
      <c r="Q90" s="21">
        <v>35</v>
      </c>
      <c r="R90" s="21">
        <v>25</v>
      </c>
      <c r="S90" s="21">
        <v>17</v>
      </c>
      <c r="T90" s="21" t="s">
        <v>281</v>
      </c>
      <c r="U90" s="21">
        <v>0.8</v>
      </c>
      <c r="V90" s="21">
        <v>0.8</v>
      </c>
      <c r="W90" s="24">
        <f>(4*3.14*(((Q90^1.6*R90^1.6+Q90^1.6*S90^1.6+R90^1.6+S90^1.6)/3)^(1/1.6)))*(1/V90)</f>
        <v>9072.7999721319411</v>
      </c>
      <c r="X90" s="24">
        <f>3.14/6*Q90*R90*S90*U90</f>
        <v>6227.6666666666679</v>
      </c>
      <c r="Y90" s="21">
        <v>1</v>
      </c>
      <c r="Z90" s="24">
        <f>Y90*W90</f>
        <v>9072.7999721319411</v>
      </c>
      <c r="AA90" s="24">
        <f>Y90*X90</f>
        <v>6227.6666666666679</v>
      </c>
      <c r="AB90" s="21"/>
      <c r="AC90" s="21"/>
      <c r="AD90" s="21"/>
      <c r="AE90" s="21"/>
      <c r="AF90" s="21" t="s">
        <v>247</v>
      </c>
      <c r="AG90" s="21"/>
      <c r="AH90" s="24"/>
      <c r="AI90" s="24"/>
      <c r="AJ90" s="21">
        <v>6230.8</v>
      </c>
      <c r="AK90" s="21">
        <v>35</v>
      </c>
      <c r="AL90" s="22" t="s">
        <v>161</v>
      </c>
      <c r="AM90" s="22">
        <v>0.13</v>
      </c>
      <c r="AO90" s="22" t="s">
        <v>331</v>
      </c>
      <c r="AP90" s="22" t="s">
        <v>673</v>
      </c>
      <c r="AQ90" s="22" t="str">
        <f>IF(AND($AK90&lt;20,AJ90&lt;10000),"Nanophytoplankton","Microphytoplankton")</f>
        <v>Microphytoplankton</v>
      </c>
      <c r="AR90" s="22">
        <v>1</v>
      </c>
      <c r="AS90" s="22">
        <v>1</v>
      </c>
      <c r="AT90" s="22">
        <v>0</v>
      </c>
      <c r="AU90" s="22">
        <v>0</v>
      </c>
      <c r="AV90" s="22">
        <v>0</v>
      </c>
      <c r="AW90" s="22">
        <v>0</v>
      </c>
      <c r="AX90" s="22">
        <v>1</v>
      </c>
      <c r="AY90" s="22">
        <v>0</v>
      </c>
      <c r="BH90" s="22">
        <f t="shared" si="30"/>
        <v>0.68641066548315854</v>
      </c>
    </row>
    <row r="91" spans="1:60">
      <c r="BH91" s="22"/>
    </row>
    <row r="92" spans="1:60">
      <c r="BH92" s="22"/>
    </row>
    <row r="93" spans="1:60">
      <c r="BH93" s="22"/>
    </row>
    <row r="94" spans="1:60">
      <c r="BH94" s="22"/>
    </row>
    <row r="95" spans="1:60">
      <c r="BH95" s="22"/>
    </row>
    <row r="96" spans="1:60">
      <c r="BH96" s="22"/>
    </row>
    <row r="97" spans="1:60" s="22" customFormat="1" ht="13">
      <c r="A97" s="21" t="s">
        <v>1225</v>
      </c>
      <c r="B97" s="22" t="s">
        <v>663</v>
      </c>
      <c r="C97" s="23" t="s">
        <v>822</v>
      </c>
      <c r="D97" s="23" t="s">
        <v>965</v>
      </c>
      <c r="E97" s="22" t="s">
        <v>991</v>
      </c>
      <c r="F97" s="23" t="s">
        <v>1200</v>
      </c>
      <c r="G97" s="23" t="s">
        <v>1201</v>
      </c>
      <c r="H97" s="22" t="s">
        <v>1202</v>
      </c>
      <c r="I97" s="22" t="s">
        <v>1203</v>
      </c>
      <c r="J97" s="22" t="s">
        <v>211</v>
      </c>
      <c r="M97" s="22" t="s">
        <v>1</v>
      </c>
      <c r="N97" s="22" t="s">
        <v>1226</v>
      </c>
      <c r="O97" s="22" t="s">
        <v>962</v>
      </c>
      <c r="P97" s="21">
        <v>50500</v>
      </c>
      <c r="Q97" s="21">
        <v>15</v>
      </c>
      <c r="R97" s="21">
        <v>10</v>
      </c>
      <c r="S97" s="21">
        <v>10</v>
      </c>
      <c r="T97" s="22" t="s">
        <v>281</v>
      </c>
      <c r="U97" s="21">
        <v>1</v>
      </c>
      <c r="V97" s="22">
        <v>1</v>
      </c>
      <c r="W97" s="24">
        <f>(4*3.14*(((Q97^1.6*R97^1.6+Q97^1.6*S97^1.6+R97^1.6+S97^1.6)/3)^(1/1.6)))*(1/V97)</f>
        <v>1474.2275035908667</v>
      </c>
      <c r="X97" s="24">
        <f>3.14/6*Q97*R97*S97*U97</f>
        <v>785</v>
      </c>
      <c r="Y97" s="21">
        <v>1</v>
      </c>
      <c r="Z97" s="24">
        <f t="shared" ref="Z97:Z102" si="36">Y97*W97</f>
        <v>1474.2275035908667</v>
      </c>
      <c r="AA97" s="24">
        <f t="shared" ref="AA97:AA102" si="37">Y97*X97</f>
        <v>785</v>
      </c>
      <c r="AB97" s="21"/>
      <c r="AC97" s="21"/>
      <c r="AD97" s="21"/>
      <c r="AE97" s="21"/>
      <c r="AF97" s="21" t="s">
        <v>247</v>
      </c>
      <c r="AG97" s="21"/>
      <c r="AH97" s="24"/>
      <c r="AI97" s="24"/>
      <c r="AJ97" s="21">
        <v>785.4</v>
      </c>
      <c r="AK97" s="21">
        <v>15</v>
      </c>
      <c r="AL97" s="22" t="s">
        <v>161</v>
      </c>
      <c r="AM97" s="22">
        <v>0.11</v>
      </c>
      <c r="AN97" s="22" t="s">
        <v>1057</v>
      </c>
      <c r="AO97" s="22" t="s">
        <v>1057</v>
      </c>
      <c r="AP97" s="22" t="s">
        <v>963</v>
      </c>
      <c r="AQ97" s="22" t="str">
        <f t="shared" ref="AQ97:AQ102" si="38">IF(AND($AK97&lt;20,AJ97&lt;10000),"Nanophytoplankton","Microphytoplankton")</f>
        <v>Nanophytoplankton</v>
      </c>
      <c r="AR97" s="22">
        <v>1</v>
      </c>
      <c r="AS97" s="22">
        <v>1</v>
      </c>
      <c r="AT97" s="22">
        <v>0</v>
      </c>
      <c r="AU97" s="22">
        <v>0</v>
      </c>
      <c r="AV97" s="22">
        <v>0</v>
      </c>
      <c r="AW97" s="22">
        <v>0</v>
      </c>
      <c r="AX97" s="22">
        <v>1</v>
      </c>
      <c r="AY97" s="22">
        <v>0</v>
      </c>
      <c r="BF97" s="22">
        <v>0</v>
      </c>
      <c r="BG97" s="22">
        <v>1</v>
      </c>
      <c r="BH97" s="22">
        <f t="shared" si="30"/>
        <v>0.53248226483899341</v>
      </c>
    </row>
    <row r="98" spans="1:60" s="22" customFormat="1" ht="13">
      <c r="A98" s="21" t="s">
        <v>1227</v>
      </c>
      <c r="B98" s="22" t="s">
        <v>663</v>
      </c>
      <c r="C98" s="23" t="s">
        <v>822</v>
      </c>
      <c r="D98" s="23" t="s">
        <v>965</v>
      </c>
      <c r="E98" s="22" t="s">
        <v>991</v>
      </c>
      <c r="F98" s="23" t="s">
        <v>1200</v>
      </c>
      <c r="G98" s="23" t="s">
        <v>1201</v>
      </c>
      <c r="H98" s="22" t="s">
        <v>1202</v>
      </c>
      <c r="I98" s="22" t="s">
        <v>1203</v>
      </c>
      <c r="J98" s="22" t="s">
        <v>314</v>
      </c>
      <c r="M98" s="22" t="s">
        <v>1</v>
      </c>
      <c r="N98" s="22" t="s">
        <v>1226</v>
      </c>
      <c r="O98" s="22" t="s">
        <v>962</v>
      </c>
      <c r="P98" s="21">
        <v>50501</v>
      </c>
      <c r="Q98" s="21">
        <v>43</v>
      </c>
      <c r="R98" s="21">
        <v>13</v>
      </c>
      <c r="S98" s="21">
        <v>13</v>
      </c>
      <c r="T98" s="22" t="s">
        <v>159</v>
      </c>
      <c r="U98" s="21">
        <v>1</v>
      </c>
      <c r="V98" s="22">
        <v>1</v>
      </c>
      <c r="W98" s="24">
        <f>(4*3.14*(((Q98^1.6*R98^1.6+Q98^1.6*S98^1.6+R98^1.6+S98^1.6)/3)^(1/1.6)))*(1/V98)</f>
        <v>5457.6348499890228</v>
      </c>
      <c r="X98" s="24">
        <f>3.14/6*Q98*R98*S98*U98</f>
        <v>3803.0633333333335</v>
      </c>
      <c r="Y98" s="21">
        <v>1</v>
      </c>
      <c r="Z98" s="24">
        <f t="shared" si="36"/>
        <v>5457.6348499890228</v>
      </c>
      <c r="AA98" s="24">
        <f t="shared" si="37"/>
        <v>3803.0633333333335</v>
      </c>
      <c r="AB98" s="21"/>
      <c r="AC98" s="21"/>
      <c r="AD98" s="21"/>
      <c r="AE98" s="21"/>
      <c r="AF98" s="21" t="s">
        <v>247</v>
      </c>
      <c r="AG98" s="21"/>
      <c r="AH98" s="24"/>
      <c r="AI98" s="24"/>
      <c r="AJ98" s="21">
        <v>3827.2866666666669</v>
      </c>
      <c r="AK98" s="21">
        <v>43</v>
      </c>
      <c r="AL98" s="22" t="s">
        <v>1228</v>
      </c>
      <c r="AM98" s="22">
        <v>0.11</v>
      </c>
      <c r="AN98" s="22" t="s">
        <v>1057</v>
      </c>
      <c r="AO98" s="22" t="s">
        <v>1057</v>
      </c>
      <c r="AP98" s="22" t="s">
        <v>963</v>
      </c>
      <c r="AQ98" s="22" t="str">
        <f t="shared" si="38"/>
        <v>Microphytoplankton</v>
      </c>
      <c r="AR98" s="22">
        <v>1</v>
      </c>
      <c r="AS98" s="22">
        <v>1</v>
      </c>
      <c r="AT98" s="22">
        <v>0</v>
      </c>
      <c r="AU98" s="22">
        <v>0</v>
      </c>
      <c r="AV98" s="22">
        <v>0</v>
      </c>
      <c r="AW98" s="22">
        <v>0</v>
      </c>
      <c r="AX98" s="22">
        <v>1</v>
      </c>
      <c r="AY98" s="22">
        <v>0</v>
      </c>
      <c r="BF98" s="22">
        <v>0</v>
      </c>
      <c r="BG98" s="22">
        <v>1</v>
      </c>
      <c r="BH98" s="22">
        <f t="shared" si="30"/>
        <v>0.69683359877786311</v>
      </c>
    </row>
    <row r="99" spans="1:60" s="22" customFormat="1" ht="13">
      <c r="A99" s="21" t="s">
        <v>1229</v>
      </c>
      <c r="B99" s="22" t="s">
        <v>663</v>
      </c>
      <c r="C99" s="23" t="s">
        <v>822</v>
      </c>
      <c r="D99" s="23" t="s">
        <v>965</v>
      </c>
      <c r="E99" s="22" t="s">
        <v>991</v>
      </c>
      <c r="F99" s="23" t="s">
        <v>1200</v>
      </c>
      <c r="G99" s="23" t="s">
        <v>1201</v>
      </c>
      <c r="H99" s="22" t="s">
        <v>1202</v>
      </c>
      <c r="I99" s="22" t="s">
        <v>1203</v>
      </c>
      <c r="J99" s="22" t="s">
        <v>455</v>
      </c>
      <c r="M99" s="22" t="s">
        <v>1</v>
      </c>
      <c r="N99" s="22" t="s">
        <v>1226</v>
      </c>
      <c r="O99" s="22" t="s">
        <v>962</v>
      </c>
      <c r="P99" s="21">
        <v>50502</v>
      </c>
      <c r="Q99" s="21">
        <v>7</v>
      </c>
      <c r="R99" s="21">
        <v>7</v>
      </c>
      <c r="S99" s="21">
        <v>7</v>
      </c>
      <c r="T99" s="22" t="s">
        <v>246</v>
      </c>
      <c r="U99" s="21">
        <v>1</v>
      </c>
      <c r="V99" s="22">
        <v>0.3</v>
      </c>
      <c r="W99" s="25">
        <f>4*3.14*(R99/2)*(Q99/2)/V99</f>
        <v>512.86666666666679</v>
      </c>
      <c r="X99" s="25">
        <f>(3.14/6*(Q99*S99*R99))*U99</f>
        <v>179.50333333333333</v>
      </c>
      <c r="Y99" s="21">
        <v>1</v>
      </c>
      <c r="Z99" s="24">
        <f t="shared" si="36"/>
        <v>512.86666666666679</v>
      </c>
      <c r="AA99" s="24">
        <f t="shared" si="37"/>
        <v>179.50333333333333</v>
      </c>
      <c r="AB99" s="21"/>
      <c r="AC99" s="21"/>
      <c r="AD99" s="21"/>
      <c r="AE99" s="21"/>
      <c r="AF99" s="21"/>
      <c r="AG99" s="21"/>
      <c r="AH99" s="24"/>
      <c r="AI99" s="24"/>
      <c r="AJ99" s="21">
        <v>179.5</v>
      </c>
      <c r="AK99" s="21">
        <v>7</v>
      </c>
      <c r="AL99" s="22" t="s">
        <v>1230</v>
      </c>
      <c r="AM99" s="22">
        <v>0.11</v>
      </c>
      <c r="AN99" s="22" t="s">
        <v>1057</v>
      </c>
      <c r="AO99" s="22" t="s">
        <v>1057</v>
      </c>
      <c r="AP99" s="22" t="s">
        <v>963</v>
      </c>
      <c r="AQ99" s="22" t="str">
        <f t="shared" si="38"/>
        <v>Nanophytoplankton</v>
      </c>
      <c r="AR99" s="22">
        <v>1</v>
      </c>
      <c r="AS99" s="22">
        <v>1</v>
      </c>
      <c r="AT99" s="22">
        <v>0</v>
      </c>
      <c r="AU99" s="22">
        <v>0</v>
      </c>
      <c r="AV99" s="22">
        <v>0</v>
      </c>
      <c r="AW99" s="22">
        <v>0</v>
      </c>
      <c r="AX99" s="22">
        <v>1</v>
      </c>
      <c r="AY99" s="22">
        <v>0</v>
      </c>
      <c r="BF99" s="22">
        <v>0</v>
      </c>
      <c r="BG99" s="22">
        <v>1</v>
      </c>
      <c r="BH99" s="22">
        <f t="shared" si="30"/>
        <v>0.34999999999999992</v>
      </c>
    </row>
    <row r="100" spans="1:60" s="22" customFormat="1" ht="13">
      <c r="A100" s="21" t="s">
        <v>1199</v>
      </c>
      <c r="B100" s="22" t="s">
        <v>663</v>
      </c>
      <c r="C100" s="23" t="s">
        <v>822</v>
      </c>
      <c r="D100" s="23" t="s">
        <v>965</v>
      </c>
      <c r="E100" s="22" t="s">
        <v>991</v>
      </c>
      <c r="F100" s="23" t="s">
        <v>1200</v>
      </c>
      <c r="G100" s="23" t="s">
        <v>1201</v>
      </c>
      <c r="H100" s="22" t="s">
        <v>1202</v>
      </c>
      <c r="I100" s="22" t="s">
        <v>1203</v>
      </c>
      <c r="J100" s="22" t="s">
        <v>1204</v>
      </c>
      <c r="N100" s="22" t="s">
        <v>1205</v>
      </c>
      <c r="O100" s="22" t="s">
        <v>962</v>
      </c>
      <c r="P100" s="21">
        <v>50510</v>
      </c>
      <c r="Q100" s="21">
        <v>31</v>
      </c>
      <c r="R100" s="21">
        <v>15</v>
      </c>
      <c r="S100" s="21">
        <v>15</v>
      </c>
      <c r="T100" s="22" t="s">
        <v>281</v>
      </c>
      <c r="U100" s="21">
        <v>1</v>
      </c>
      <c r="V100" s="22">
        <v>1</v>
      </c>
      <c r="W100" s="24">
        <f>(4*3.14*(((Q100^1.6*R100^1.6+Q100^1.6*S100^1.6+R100^1.6+S100^1.6)/3)^(1/1.6)))*(1/V100)</f>
        <v>4544.6329249199853</v>
      </c>
      <c r="X100" s="24">
        <f>3.14/6*Q100*R100*S100*U100</f>
        <v>3650.25</v>
      </c>
      <c r="Y100" s="21">
        <v>1</v>
      </c>
      <c r="Z100" s="24">
        <f t="shared" si="36"/>
        <v>4544.6329249199853</v>
      </c>
      <c r="AA100" s="24">
        <f t="shared" si="37"/>
        <v>3650.25</v>
      </c>
      <c r="AB100" s="21"/>
      <c r="AC100" s="21"/>
      <c r="AD100" s="21"/>
      <c r="AE100" s="21"/>
      <c r="AF100" s="21" t="s">
        <v>247</v>
      </c>
      <c r="AG100" s="21"/>
      <c r="AH100" s="24"/>
      <c r="AI100" s="24"/>
      <c r="AJ100" s="21">
        <v>3652.1</v>
      </c>
      <c r="AK100" s="21">
        <v>31</v>
      </c>
      <c r="AL100" s="22" t="s">
        <v>161</v>
      </c>
      <c r="AM100" s="22">
        <v>0.11</v>
      </c>
      <c r="AN100" s="22" t="s">
        <v>1057</v>
      </c>
      <c r="AO100" s="22" t="s">
        <v>1057</v>
      </c>
      <c r="AP100" s="22" t="s">
        <v>963</v>
      </c>
      <c r="AQ100" s="22" t="str">
        <f t="shared" si="38"/>
        <v>Microphytoplankton</v>
      </c>
      <c r="AR100" s="22">
        <v>1</v>
      </c>
      <c r="AS100" s="22">
        <v>1</v>
      </c>
      <c r="AT100" s="22">
        <v>0</v>
      </c>
      <c r="AU100" s="22">
        <v>0</v>
      </c>
      <c r="AV100" s="22">
        <v>0</v>
      </c>
      <c r="AW100" s="22">
        <v>0</v>
      </c>
      <c r="AX100" s="22">
        <v>1</v>
      </c>
      <c r="AY100" s="22">
        <v>0</v>
      </c>
      <c r="AZ100" s="22">
        <v>0</v>
      </c>
      <c r="BA100" s="22">
        <v>0</v>
      </c>
      <c r="BB100" s="22">
        <v>1</v>
      </c>
      <c r="BC100" s="22">
        <v>3</v>
      </c>
      <c r="BD100" s="22">
        <v>4</v>
      </c>
      <c r="BE100" s="22">
        <v>2</v>
      </c>
      <c r="BH100" s="22">
        <f t="shared" si="30"/>
        <v>0.80320018366813817</v>
      </c>
    </row>
    <row r="101" spans="1:60" s="22" customFormat="1" ht="13">
      <c r="A101" s="21" t="s">
        <v>1206</v>
      </c>
      <c r="B101" s="22" t="s">
        <v>663</v>
      </c>
      <c r="C101" s="23" t="s">
        <v>822</v>
      </c>
      <c r="D101" s="23" t="s">
        <v>965</v>
      </c>
      <c r="E101" s="22" t="s">
        <v>991</v>
      </c>
      <c r="F101" s="23" t="s">
        <v>1200</v>
      </c>
      <c r="G101" s="23" t="s">
        <v>1201</v>
      </c>
      <c r="H101" s="22" t="s">
        <v>1202</v>
      </c>
      <c r="I101" s="22" t="s">
        <v>1203</v>
      </c>
      <c r="J101" s="22" t="s">
        <v>1207</v>
      </c>
      <c r="N101" s="22" t="s">
        <v>1208</v>
      </c>
      <c r="O101" s="22" t="s">
        <v>962</v>
      </c>
      <c r="P101" s="21">
        <v>50520</v>
      </c>
      <c r="Q101" s="21">
        <v>40</v>
      </c>
      <c r="R101" s="21">
        <v>5</v>
      </c>
      <c r="S101" s="21">
        <v>5</v>
      </c>
      <c r="T101" s="22" t="s">
        <v>281</v>
      </c>
      <c r="U101" s="21">
        <v>0.6</v>
      </c>
      <c r="V101" s="21">
        <v>0.6</v>
      </c>
      <c r="W101" s="24">
        <f>(4*3.14*(((Q101^1.6*R101^1.6+Q101^1.6*S101^1.6+R101^1.6+S101^1.6)/3)^(1/1.6)))*(1/V101)</f>
        <v>3255.0096080756221</v>
      </c>
      <c r="X101" s="24">
        <f>3.14/6*Q101*R101*S101*U101</f>
        <v>314</v>
      </c>
      <c r="Y101" s="21">
        <v>1</v>
      </c>
      <c r="Z101" s="24">
        <f t="shared" si="36"/>
        <v>3255.0096080756221</v>
      </c>
      <c r="AA101" s="24">
        <f t="shared" si="37"/>
        <v>314</v>
      </c>
      <c r="AB101" s="21"/>
      <c r="AC101" s="21"/>
      <c r="AD101" s="21"/>
      <c r="AE101" s="21"/>
      <c r="AF101" s="21" t="s">
        <v>247</v>
      </c>
      <c r="AG101" s="21"/>
      <c r="AH101" s="24"/>
      <c r="AI101" s="24"/>
      <c r="AJ101" s="21">
        <v>314.2</v>
      </c>
      <c r="AK101" s="21">
        <v>40</v>
      </c>
      <c r="AL101" s="22" t="s">
        <v>161</v>
      </c>
      <c r="AM101" s="22">
        <v>0.11</v>
      </c>
      <c r="AN101" s="22" t="s">
        <v>1057</v>
      </c>
      <c r="AO101" s="22" t="s">
        <v>1057</v>
      </c>
      <c r="AP101" s="22" t="s">
        <v>963</v>
      </c>
      <c r="AQ101" s="22" t="str">
        <f t="shared" si="38"/>
        <v>Microphytoplankton</v>
      </c>
      <c r="AR101" s="22">
        <v>1</v>
      </c>
      <c r="AS101" s="22">
        <v>1</v>
      </c>
      <c r="AT101" s="22">
        <v>0</v>
      </c>
      <c r="AU101" s="22">
        <v>0</v>
      </c>
      <c r="AV101" s="22">
        <v>0</v>
      </c>
      <c r="AW101" s="22">
        <v>0</v>
      </c>
      <c r="AX101" s="22">
        <v>1</v>
      </c>
      <c r="AY101" s="22">
        <v>0</v>
      </c>
      <c r="AZ101" s="22">
        <v>0</v>
      </c>
      <c r="BA101" s="22">
        <v>0</v>
      </c>
      <c r="BB101" s="22">
        <v>2</v>
      </c>
      <c r="BC101" s="22">
        <v>3</v>
      </c>
      <c r="BD101" s="22">
        <v>3</v>
      </c>
      <c r="BE101" s="22">
        <v>2</v>
      </c>
      <c r="BH101" s="22">
        <f t="shared" si="30"/>
        <v>9.6466689136944936E-2</v>
      </c>
    </row>
    <row r="102" spans="1:60" s="22" customFormat="1" ht="13">
      <c r="A102" s="21" t="s">
        <v>1209</v>
      </c>
      <c r="B102" s="22" t="s">
        <v>663</v>
      </c>
      <c r="C102" s="23" t="s">
        <v>822</v>
      </c>
      <c r="D102" s="23" t="s">
        <v>965</v>
      </c>
      <c r="E102" s="22" t="s">
        <v>991</v>
      </c>
      <c r="F102" s="23" t="s">
        <v>1200</v>
      </c>
      <c r="G102" s="23" t="s">
        <v>1201</v>
      </c>
      <c r="H102" s="22" t="s">
        <v>1202</v>
      </c>
      <c r="I102" s="22" t="s">
        <v>1203</v>
      </c>
      <c r="J102" s="22" t="s">
        <v>1210</v>
      </c>
      <c r="N102" s="22" t="s">
        <v>1211</v>
      </c>
      <c r="O102" s="22" t="s">
        <v>962</v>
      </c>
      <c r="P102" s="21">
        <v>50580</v>
      </c>
      <c r="Q102" s="21">
        <v>35</v>
      </c>
      <c r="R102" s="21">
        <v>14</v>
      </c>
      <c r="S102" s="21">
        <v>14</v>
      </c>
      <c r="T102" s="21" t="s">
        <v>977</v>
      </c>
      <c r="U102" s="21">
        <v>1</v>
      </c>
      <c r="V102" s="22">
        <v>1</v>
      </c>
      <c r="W102" s="24">
        <f>(4*3.14*(((Q102^1.6*R102^1.6+Q102^1.6*S102^1.6+R102^1.6+S102^1.6)/3)^(1/1.6)))*(1/V102)</f>
        <v>4786.8056261383617</v>
      </c>
      <c r="X102" s="24">
        <f>3.14/12*Q102*R102*S102*U102</f>
        <v>1795.0333333333333</v>
      </c>
      <c r="Y102" s="21">
        <v>1</v>
      </c>
      <c r="Z102" s="24">
        <f t="shared" si="36"/>
        <v>4786.8056261383617</v>
      </c>
      <c r="AA102" s="24">
        <f t="shared" si="37"/>
        <v>1795.0333333333333</v>
      </c>
      <c r="AB102" s="21"/>
      <c r="AC102" s="21"/>
      <c r="AD102" s="21"/>
      <c r="AE102" s="21"/>
      <c r="AF102" s="21" t="s">
        <v>247</v>
      </c>
      <c r="AG102" s="21"/>
      <c r="AH102" s="24"/>
      <c r="AI102" s="24"/>
      <c r="AJ102" s="21">
        <v>2154.04</v>
      </c>
      <c r="AK102" s="21">
        <v>35</v>
      </c>
      <c r="AL102" s="22" t="s">
        <v>161</v>
      </c>
      <c r="AM102" s="22">
        <v>0.11</v>
      </c>
      <c r="AN102" s="22" t="s">
        <v>1057</v>
      </c>
      <c r="AO102" s="22" t="s">
        <v>1057</v>
      </c>
      <c r="AP102" s="22" t="s">
        <v>963</v>
      </c>
      <c r="AQ102" s="22" t="str">
        <f t="shared" si="38"/>
        <v>Microphytoplankton</v>
      </c>
      <c r="AR102" s="22">
        <v>1</v>
      </c>
      <c r="AS102" s="22">
        <v>1</v>
      </c>
      <c r="AT102" s="22">
        <v>0</v>
      </c>
      <c r="AU102" s="22">
        <v>0</v>
      </c>
      <c r="AV102" s="22">
        <v>0</v>
      </c>
      <c r="AW102" s="22">
        <v>0</v>
      </c>
      <c r="AX102" s="22">
        <v>1</v>
      </c>
      <c r="AY102" s="22">
        <v>0</v>
      </c>
      <c r="BH102" s="22">
        <f t="shared" si="30"/>
        <v>0.37499607745331254</v>
      </c>
    </row>
    <row r="103" spans="1:60">
      <c r="BH103" s="22"/>
    </row>
    <row r="104" spans="1:60">
      <c r="BH104" s="22"/>
    </row>
    <row r="105" spans="1:60">
      <c r="BH105" s="22"/>
    </row>
    <row r="106" spans="1:60">
      <c r="BH106" s="22"/>
    </row>
    <row r="107" spans="1:60" s="22" customFormat="1" ht="13">
      <c r="A107" s="21" t="s">
        <v>3417</v>
      </c>
      <c r="B107" s="22" t="s">
        <v>663</v>
      </c>
      <c r="C107" s="23" t="s">
        <v>2223</v>
      </c>
      <c r="D107" s="22" t="s">
        <v>3188</v>
      </c>
      <c r="E107" s="23" t="s">
        <v>3189</v>
      </c>
      <c r="F107" s="23" t="s">
        <v>3190</v>
      </c>
      <c r="G107" s="23" t="s">
        <v>3191</v>
      </c>
      <c r="H107" s="23" t="s">
        <v>3192</v>
      </c>
      <c r="I107" s="22" t="s">
        <v>3418</v>
      </c>
      <c r="J107" s="21" t="s">
        <v>3419</v>
      </c>
      <c r="K107" s="21"/>
      <c r="L107" s="21"/>
      <c r="N107" s="22" t="s">
        <v>3207</v>
      </c>
      <c r="O107" s="22" t="s">
        <v>3196</v>
      </c>
      <c r="P107" s="21">
        <v>90670</v>
      </c>
      <c r="Q107" s="21">
        <v>23</v>
      </c>
      <c r="R107" s="21">
        <v>23</v>
      </c>
      <c r="S107" s="21">
        <v>23</v>
      </c>
      <c r="T107" s="21" t="s">
        <v>281</v>
      </c>
      <c r="U107" s="21">
        <v>1</v>
      </c>
      <c r="V107" s="21">
        <v>1</v>
      </c>
      <c r="W107" s="24">
        <f>(4*3.14*(((Q107^1.6*R107^1.6+Q107^1.6*S107^1.6+R107^1.6+S107^1.6)/3)^(1/1.6)))*(1/V107)</f>
        <v>5178.2235861748914</v>
      </c>
      <c r="X107" s="24">
        <f>3.14/6*Q107*R107*S107*U107</f>
        <v>6367.3966666666674</v>
      </c>
      <c r="Y107" s="21">
        <v>1</v>
      </c>
      <c r="Z107" s="24">
        <f t="shared" ref="Z107:Z112" si="39">Y107*W107</f>
        <v>5178.2235861748914</v>
      </c>
      <c r="AA107" s="24">
        <f t="shared" ref="AA107:AA112" si="40">Y107*X107</f>
        <v>6367.3966666666674</v>
      </c>
      <c r="AB107" s="21"/>
      <c r="AC107" s="21"/>
      <c r="AD107" s="21"/>
      <c r="AE107" s="21"/>
      <c r="AF107" s="21"/>
      <c r="AG107" s="21"/>
      <c r="AH107" s="24"/>
      <c r="AI107" s="24"/>
      <c r="AJ107" s="21">
        <v>5000</v>
      </c>
      <c r="AK107" s="21">
        <v>30</v>
      </c>
      <c r="AL107" s="22" t="s">
        <v>161</v>
      </c>
      <c r="AM107" s="22">
        <v>0.11</v>
      </c>
      <c r="AO107" s="22" t="s">
        <v>2206</v>
      </c>
      <c r="AP107" s="22" t="s">
        <v>162</v>
      </c>
      <c r="AQ107" s="22" t="str">
        <f t="shared" ref="AQ107:AQ112" si="41">IF(AND($AK107&lt;20,AJ107&lt;10000),"Nanophytoplankton","Microphytoplankton")</f>
        <v>Microphytoplankton</v>
      </c>
      <c r="AR107" s="22">
        <v>0</v>
      </c>
      <c r="AS107" s="22">
        <v>0</v>
      </c>
      <c r="AT107" s="22">
        <v>0</v>
      </c>
      <c r="AU107" s="22">
        <v>0</v>
      </c>
      <c r="AV107" s="22">
        <v>0</v>
      </c>
      <c r="AW107" s="22">
        <v>0</v>
      </c>
      <c r="AX107" s="22">
        <v>0</v>
      </c>
      <c r="AY107" s="22">
        <v>1</v>
      </c>
      <c r="BF107" s="22">
        <v>0</v>
      </c>
      <c r="BG107" s="22">
        <v>0</v>
      </c>
      <c r="BH107" s="22">
        <f t="shared" si="30"/>
        <v>1.2296488478532863</v>
      </c>
    </row>
    <row r="108" spans="1:60" s="22" customFormat="1" ht="13">
      <c r="A108" s="21" t="s">
        <v>3428</v>
      </c>
      <c r="B108" s="22" t="s">
        <v>663</v>
      </c>
      <c r="C108" s="23" t="s">
        <v>2223</v>
      </c>
      <c r="D108" s="22" t="s">
        <v>3188</v>
      </c>
      <c r="E108" s="23" t="s">
        <v>3189</v>
      </c>
      <c r="F108" s="23" t="s">
        <v>3190</v>
      </c>
      <c r="G108" s="23" t="s">
        <v>3191</v>
      </c>
      <c r="H108" s="23" t="s">
        <v>3192</v>
      </c>
      <c r="I108" s="22" t="s">
        <v>3418</v>
      </c>
      <c r="J108" s="21" t="s">
        <v>3429</v>
      </c>
      <c r="K108" s="21"/>
      <c r="L108" s="21"/>
      <c r="N108" s="22" t="s">
        <v>3430</v>
      </c>
      <c r="O108" s="22" t="s">
        <v>3196</v>
      </c>
      <c r="P108" s="21">
        <v>90600</v>
      </c>
      <c r="Q108" s="21">
        <v>24</v>
      </c>
      <c r="R108" s="21">
        <v>24</v>
      </c>
      <c r="S108" s="21">
        <v>24</v>
      </c>
      <c r="T108" s="21" t="s">
        <v>281</v>
      </c>
      <c r="U108" s="21">
        <v>2</v>
      </c>
      <c r="V108" s="21">
        <v>2</v>
      </c>
      <c r="W108" s="24">
        <f>(4*3.14*(((Q108^1.6*R108^1.6+Q108^1.6*S108^1.6+R108^1.6+S108^1.6)/3)^(1/1.6)))*(1/V108)</f>
        <v>2818.3827894092865</v>
      </c>
      <c r="X108" s="24">
        <f>3.14/6*Q108*R108*S108*U108</f>
        <v>14469.119999999997</v>
      </c>
      <c r="Y108" s="21">
        <v>1</v>
      </c>
      <c r="Z108" s="24">
        <f t="shared" si="39"/>
        <v>2818.3827894092865</v>
      </c>
      <c r="AA108" s="24">
        <f t="shared" si="40"/>
        <v>14469.119999999997</v>
      </c>
      <c r="AB108" s="21"/>
      <c r="AC108" s="21"/>
      <c r="AD108" s="21"/>
      <c r="AE108" s="21"/>
      <c r="AF108" s="21"/>
      <c r="AG108" s="21"/>
      <c r="AH108" s="24"/>
      <c r="AI108" s="24"/>
      <c r="AJ108" s="21">
        <v>14476.5</v>
      </c>
      <c r="AK108" s="21">
        <v>65</v>
      </c>
      <c r="AL108" s="22" t="s">
        <v>161</v>
      </c>
      <c r="AM108" s="22">
        <v>0.11</v>
      </c>
      <c r="AO108" s="22" t="s">
        <v>2206</v>
      </c>
      <c r="AP108" s="22" t="s">
        <v>162</v>
      </c>
      <c r="AQ108" s="22" t="str">
        <f t="shared" si="41"/>
        <v>Microphytoplankton</v>
      </c>
      <c r="AR108" s="22">
        <v>0</v>
      </c>
      <c r="AS108" s="22">
        <v>0</v>
      </c>
      <c r="AT108" s="22">
        <v>0</v>
      </c>
      <c r="AU108" s="22">
        <v>0</v>
      </c>
      <c r="AV108" s="22">
        <v>0</v>
      </c>
      <c r="AW108" s="22">
        <v>0</v>
      </c>
      <c r="AX108" s="22">
        <v>0</v>
      </c>
      <c r="AY108" s="22">
        <v>1</v>
      </c>
      <c r="AZ108" s="22">
        <v>0</v>
      </c>
      <c r="BA108" s="22">
        <v>0</v>
      </c>
      <c r="BB108" s="22">
        <v>0</v>
      </c>
      <c r="BC108" s="22">
        <v>3</v>
      </c>
      <c r="BD108" s="22">
        <v>6</v>
      </c>
      <c r="BE108" s="22">
        <v>1</v>
      </c>
      <c r="BF108" s="22">
        <v>0</v>
      </c>
      <c r="BG108" s="22">
        <v>0</v>
      </c>
      <c r="BH108" s="22">
        <f t="shared" si="30"/>
        <v>5.1338377648242117</v>
      </c>
    </row>
    <row r="109" spans="1:60" s="22" customFormat="1" ht="13">
      <c r="A109" s="22" t="s">
        <v>3453</v>
      </c>
      <c r="B109" s="22" t="s">
        <v>663</v>
      </c>
      <c r="C109" s="23" t="s">
        <v>2223</v>
      </c>
      <c r="D109" s="22" t="s">
        <v>3188</v>
      </c>
      <c r="E109" s="23" t="s">
        <v>3189</v>
      </c>
      <c r="F109" s="23" t="s">
        <v>3190</v>
      </c>
      <c r="G109" s="23" t="s">
        <v>3191</v>
      </c>
      <c r="H109" s="23" t="s">
        <v>3192</v>
      </c>
      <c r="I109" s="22" t="s">
        <v>3418</v>
      </c>
      <c r="J109" s="22" t="s">
        <v>3454</v>
      </c>
      <c r="N109" s="22" t="s">
        <v>3019</v>
      </c>
      <c r="O109" s="22" t="s">
        <v>3196</v>
      </c>
      <c r="P109" s="22">
        <v>90664</v>
      </c>
      <c r="Q109" s="22">
        <v>65</v>
      </c>
      <c r="R109" s="22">
        <v>65</v>
      </c>
      <c r="S109" s="22">
        <v>65</v>
      </c>
      <c r="T109" s="22" t="s">
        <v>281</v>
      </c>
      <c r="U109" s="22">
        <v>0.1</v>
      </c>
      <c r="V109" s="22">
        <v>0.1</v>
      </c>
      <c r="W109" s="24">
        <f>(4*3.14*(((Q109^1.6*R109^1.6+Q109^1.6*S109^1.6+R109^1.6+S109^1.6)/3)^(1/1.6)))*(1/V109)</f>
        <v>412192.70063034986</v>
      </c>
      <c r="X109" s="24">
        <f>3.14/6*Q109*R109*S109*U109</f>
        <v>14372.04166666667</v>
      </c>
      <c r="Y109" s="21">
        <v>1</v>
      </c>
      <c r="Z109" s="24">
        <f t="shared" si="39"/>
        <v>412192.70063034986</v>
      </c>
      <c r="AA109" s="24">
        <f t="shared" si="40"/>
        <v>14372.04166666667</v>
      </c>
      <c r="AE109" s="21"/>
      <c r="AF109" s="21"/>
      <c r="AG109" s="21"/>
      <c r="AH109" s="24"/>
      <c r="AI109" s="24"/>
      <c r="AJ109" s="21">
        <v>14372.04166666667</v>
      </c>
      <c r="AK109" s="21">
        <v>65</v>
      </c>
      <c r="AL109" s="22" t="s">
        <v>161</v>
      </c>
      <c r="AM109" s="22">
        <v>0.11</v>
      </c>
      <c r="AN109" s="22" t="s">
        <v>1517</v>
      </c>
      <c r="AO109" s="22" t="s">
        <v>1517</v>
      </c>
      <c r="AP109" s="22" t="s">
        <v>162</v>
      </c>
      <c r="AQ109" s="22" t="str">
        <f t="shared" si="41"/>
        <v>Microphytoplankton</v>
      </c>
      <c r="AR109" s="22">
        <v>0</v>
      </c>
      <c r="AS109" s="22">
        <v>0</v>
      </c>
      <c r="AT109" s="22">
        <v>0</v>
      </c>
      <c r="AU109" s="22">
        <v>0</v>
      </c>
      <c r="AV109" s="22">
        <v>0</v>
      </c>
      <c r="AW109" s="22">
        <v>0</v>
      </c>
      <c r="AX109" s="22">
        <v>0</v>
      </c>
      <c r="AY109" s="22">
        <v>1</v>
      </c>
      <c r="BF109" s="22">
        <v>0</v>
      </c>
      <c r="BG109" s="22">
        <v>0</v>
      </c>
      <c r="BH109" s="22">
        <f t="shared" si="30"/>
        <v>3.48672881511198E-2</v>
      </c>
    </row>
    <row r="110" spans="1:60" s="22" customFormat="1" ht="13">
      <c r="A110" s="22" t="s">
        <v>3450</v>
      </c>
      <c r="B110" s="22" t="s">
        <v>663</v>
      </c>
      <c r="C110" s="23" t="s">
        <v>2223</v>
      </c>
      <c r="D110" s="22" t="s">
        <v>3188</v>
      </c>
      <c r="E110" s="23" t="s">
        <v>3189</v>
      </c>
      <c r="F110" s="23" t="s">
        <v>3190</v>
      </c>
      <c r="G110" s="23" t="s">
        <v>3191</v>
      </c>
      <c r="H110" s="23" t="s">
        <v>3192</v>
      </c>
      <c r="I110" s="22" t="s">
        <v>3418</v>
      </c>
      <c r="J110" s="22" t="s">
        <v>3451</v>
      </c>
      <c r="N110" s="22" t="s">
        <v>3452</v>
      </c>
      <c r="O110" s="22" t="s">
        <v>3196</v>
      </c>
      <c r="P110" s="22">
        <v>90663</v>
      </c>
      <c r="Q110" s="22">
        <v>20</v>
      </c>
      <c r="R110" s="22">
        <v>20</v>
      </c>
      <c r="S110" s="22">
        <v>10</v>
      </c>
      <c r="T110" s="22" t="s">
        <v>281</v>
      </c>
      <c r="U110" s="22">
        <v>1.5</v>
      </c>
      <c r="V110" s="22">
        <v>1.5</v>
      </c>
      <c r="W110" s="24">
        <f>(4*3.14*(((Q110^1.6*R110^1.6+Q110^1.6*S110^1.6+R110^1.6+S110^1.6)/3)^(1/1.6)))*(1/V110)</f>
        <v>2024.7883196007392</v>
      </c>
      <c r="X110" s="24">
        <f>3.14/6*Q110*R110*S110*U110</f>
        <v>3140</v>
      </c>
      <c r="Y110" s="21">
        <v>1</v>
      </c>
      <c r="Z110" s="24">
        <f t="shared" si="39"/>
        <v>2024.7883196007392</v>
      </c>
      <c r="AA110" s="24">
        <f t="shared" si="40"/>
        <v>3140</v>
      </c>
      <c r="AE110" s="21"/>
      <c r="AF110" s="21"/>
      <c r="AG110" s="21"/>
      <c r="AH110" s="24"/>
      <c r="AI110" s="24"/>
      <c r="AJ110" s="21">
        <v>6279.9999999999991</v>
      </c>
      <c r="AK110" s="21">
        <v>20</v>
      </c>
      <c r="AL110" s="22" t="s">
        <v>161</v>
      </c>
      <c r="AM110" s="22">
        <v>0.11</v>
      </c>
      <c r="AO110" s="22" t="s">
        <v>2206</v>
      </c>
      <c r="AP110" s="22" t="s">
        <v>162</v>
      </c>
      <c r="AQ110" s="22" t="str">
        <f t="shared" si="41"/>
        <v>Microphytoplankton</v>
      </c>
      <c r="AR110" s="22">
        <v>0</v>
      </c>
      <c r="AS110" s="22">
        <v>0</v>
      </c>
      <c r="AT110" s="22">
        <v>0</v>
      </c>
      <c r="AU110" s="22">
        <v>0</v>
      </c>
      <c r="AV110" s="22">
        <v>0</v>
      </c>
      <c r="AW110" s="22">
        <v>0</v>
      </c>
      <c r="AX110" s="22">
        <v>0</v>
      </c>
      <c r="AY110" s="22">
        <v>1</v>
      </c>
      <c r="BF110" s="22">
        <v>0</v>
      </c>
      <c r="BG110" s="22">
        <v>0</v>
      </c>
      <c r="BH110" s="22">
        <f t="shared" si="30"/>
        <v>1.5507793923955298</v>
      </c>
    </row>
    <row r="111" spans="1:60" s="22" customFormat="1" ht="13">
      <c r="A111" s="21" t="s">
        <v>3420</v>
      </c>
      <c r="B111" s="22" t="s">
        <v>663</v>
      </c>
      <c r="C111" s="23" t="s">
        <v>2223</v>
      </c>
      <c r="D111" s="22" t="s">
        <v>3188</v>
      </c>
      <c r="E111" s="23" t="s">
        <v>3189</v>
      </c>
      <c r="F111" s="23" t="s">
        <v>3190</v>
      </c>
      <c r="G111" s="23" t="s">
        <v>3191</v>
      </c>
      <c r="H111" s="23" t="s">
        <v>3192</v>
      </c>
      <c r="I111" s="22" t="s">
        <v>3418</v>
      </c>
      <c r="J111" s="21" t="s">
        <v>3421</v>
      </c>
      <c r="K111" s="21"/>
      <c r="L111" s="21"/>
      <c r="N111" s="22" t="s">
        <v>3422</v>
      </c>
      <c r="O111" s="22" t="s">
        <v>3196</v>
      </c>
      <c r="P111" s="21">
        <v>90673</v>
      </c>
      <c r="Q111" s="21">
        <v>30</v>
      </c>
      <c r="R111" s="21">
        <v>27</v>
      </c>
      <c r="S111" s="21">
        <v>27</v>
      </c>
      <c r="T111" s="21" t="s">
        <v>330</v>
      </c>
      <c r="U111" s="21">
        <v>0.5</v>
      </c>
      <c r="V111" s="21">
        <v>0.5</v>
      </c>
      <c r="W111" s="25">
        <f>(Q111*R111*2+Q111*S111*2+R111*S111*2)/V111</f>
        <v>9396</v>
      </c>
      <c r="X111" s="25">
        <f>Q111*R111*S111*U111</f>
        <v>10935</v>
      </c>
      <c r="Y111" s="21">
        <v>1</v>
      </c>
      <c r="Z111" s="24">
        <f t="shared" si="39"/>
        <v>9396</v>
      </c>
      <c r="AA111" s="24">
        <f t="shared" si="40"/>
        <v>10935</v>
      </c>
      <c r="AB111" s="21"/>
      <c r="AC111" s="21"/>
      <c r="AD111" s="21"/>
      <c r="AE111" s="21"/>
      <c r="AF111" s="21"/>
      <c r="AG111" s="21"/>
      <c r="AH111" s="24"/>
      <c r="AI111" s="24"/>
      <c r="AJ111" s="21">
        <v>10935</v>
      </c>
      <c r="AK111" s="21">
        <v>30</v>
      </c>
      <c r="AL111" s="22" t="s">
        <v>161</v>
      </c>
      <c r="AM111" s="22">
        <v>0.11</v>
      </c>
      <c r="AO111" s="22" t="s">
        <v>2206</v>
      </c>
      <c r="AP111" s="22" t="s">
        <v>162</v>
      </c>
      <c r="AQ111" s="22" t="str">
        <f t="shared" si="41"/>
        <v>Microphytoplankton</v>
      </c>
      <c r="AR111" s="22">
        <v>0</v>
      </c>
      <c r="AS111" s="22">
        <v>0</v>
      </c>
      <c r="AT111" s="22">
        <v>0</v>
      </c>
      <c r="AU111" s="22">
        <v>0</v>
      </c>
      <c r="AV111" s="22">
        <v>0</v>
      </c>
      <c r="AW111" s="22">
        <v>0</v>
      </c>
      <c r="AX111" s="22">
        <v>0</v>
      </c>
      <c r="AY111" s="22">
        <v>1</v>
      </c>
      <c r="BH111" s="22">
        <f t="shared" si="30"/>
        <v>1.1637931034482758</v>
      </c>
    </row>
    <row r="112" spans="1:60" s="22" customFormat="1" ht="13">
      <c r="A112" s="22" t="s">
        <v>3446</v>
      </c>
      <c r="B112" s="22" t="s">
        <v>663</v>
      </c>
      <c r="C112" s="23" t="s">
        <v>2223</v>
      </c>
      <c r="D112" s="22" t="s">
        <v>3188</v>
      </c>
      <c r="E112" s="23" t="s">
        <v>3189</v>
      </c>
      <c r="F112" s="23" t="s">
        <v>3190</v>
      </c>
      <c r="G112" s="23" t="s">
        <v>3191</v>
      </c>
      <c r="H112" s="23" t="s">
        <v>3192</v>
      </c>
      <c r="I112" s="22" t="s">
        <v>3418</v>
      </c>
      <c r="J112" s="22" t="s">
        <v>3447</v>
      </c>
      <c r="N112" s="22" t="s">
        <v>501</v>
      </c>
      <c r="O112" s="22" t="s">
        <v>3196</v>
      </c>
      <c r="P112" s="22">
        <v>90661</v>
      </c>
      <c r="Q112" s="22">
        <v>12.5</v>
      </c>
      <c r="R112" s="22">
        <v>16</v>
      </c>
      <c r="S112" s="22">
        <v>5</v>
      </c>
      <c r="T112" s="22" t="s">
        <v>281</v>
      </c>
      <c r="U112" s="22">
        <v>1.5</v>
      </c>
      <c r="V112" s="22">
        <v>1.5</v>
      </c>
      <c r="W112" s="24">
        <f>(4*3.14*(((Q112^1.6*R112^1.6+Q112^1.6*S112^1.6+R112^1.6+S112^1.6)/3)^(1/1.6)))*(1/V112)</f>
        <v>932.59019829194369</v>
      </c>
      <c r="X112" s="24">
        <f>3.14/6*Q112*R112*S112*U112</f>
        <v>784.99999999999989</v>
      </c>
      <c r="Y112" s="21">
        <v>1</v>
      </c>
      <c r="Z112" s="24">
        <f t="shared" si="39"/>
        <v>932.59019829194369</v>
      </c>
      <c r="AA112" s="24">
        <f t="shared" si="40"/>
        <v>784.99999999999989</v>
      </c>
      <c r="AE112" s="21"/>
      <c r="AF112" s="21"/>
      <c r="AG112" s="21"/>
      <c r="AH112" s="24"/>
      <c r="AI112" s="24"/>
      <c r="AJ112" s="21">
        <v>2512</v>
      </c>
      <c r="AK112" s="21">
        <v>16</v>
      </c>
      <c r="AL112" s="22" t="s">
        <v>161</v>
      </c>
      <c r="AM112" s="22">
        <v>0.11</v>
      </c>
      <c r="AO112" s="22" t="s">
        <v>2206</v>
      </c>
      <c r="AP112" s="22" t="s">
        <v>162</v>
      </c>
      <c r="AQ112" s="22" t="str">
        <f t="shared" si="41"/>
        <v>Nanophytoplankton</v>
      </c>
      <c r="AR112" s="22">
        <v>0</v>
      </c>
      <c r="AS112" s="22">
        <v>0</v>
      </c>
      <c r="AT112" s="22">
        <v>0</v>
      </c>
      <c r="AU112" s="22">
        <v>0</v>
      </c>
      <c r="AV112" s="22">
        <v>0</v>
      </c>
      <c r="AW112" s="22">
        <v>0</v>
      </c>
      <c r="AX112" s="22">
        <v>0</v>
      </c>
      <c r="AY112" s="22">
        <v>1</v>
      </c>
      <c r="BH112" s="22">
        <f t="shared" si="30"/>
        <v>0.84174163682798941</v>
      </c>
    </row>
    <row r="113" spans="1:60">
      <c r="BH113" s="22"/>
    </row>
    <row r="114" spans="1:60" s="22" customFormat="1" ht="13">
      <c r="A114" s="21" t="s">
        <v>2278</v>
      </c>
      <c r="B114" s="22" t="s">
        <v>663</v>
      </c>
      <c r="C114" s="22" t="s">
        <v>2223</v>
      </c>
      <c r="D114" s="22" t="s">
        <v>2224</v>
      </c>
      <c r="E114" s="23" t="s">
        <v>63</v>
      </c>
      <c r="F114" s="23" t="s">
        <v>2225</v>
      </c>
      <c r="G114" s="23" t="s">
        <v>2226</v>
      </c>
      <c r="H114" s="22" t="s">
        <v>2279</v>
      </c>
      <c r="I114" s="22" t="s">
        <v>2280</v>
      </c>
      <c r="J114" s="22" t="s">
        <v>2281</v>
      </c>
      <c r="N114" s="22" t="s">
        <v>413</v>
      </c>
      <c r="O114" s="22" t="s">
        <v>2229</v>
      </c>
      <c r="P114" s="21">
        <v>81910</v>
      </c>
      <c r="Q114" s="21">
        <v>9</v>
      </c>
      <c r="R114" s="21">
        <v>4.5</v>
      </c>
      <c r="S114" s="21">
        <v>4.5</v>
      </c>
      <c r="T114" s="21" t="s">
        <v>281</v>
      </c>
      <c r="U114" s="21">
        <v>1</v>
      </c>
      <c r="V114" s="22">
        <v>1</v>
      </c>
      <c r="W114" s="24">
        <f>(4*3.14*(((Q114^1.6*R114^1.6+Q114^1.6*S114^1.6+R114^1.6+S114^1.6)/3)^(1/1.6)))*(1/V114)</f>
        <v>402.1055221400822</v>
      </c>
      <c r="X114" s="24">
        <f>3.14/6*Q114*R114*S114*U114</f>
        <v>95.377499999999998</v>
      </c>
      <c r="Y114" s="21">
        <v>32</v>
      </c>
      <c r="Z114" s="24">
        <f>Y114*W114</f>
        <v>12867.37670848263</v>
      </c>
      <c r="AA114" s="24">
        <f>Y114*X114</f>
        <v>3052.08</v>
      </c>
      <c r="AB114" s="21">
        <v>60</v>
      </c>
      <c r="AC114" s="21">
        <v>30</v>
      </c>
      <c r="AD114" s="21">
        <v>30</v>
      </c>
      <c r="AE114" s="21" t="s">
        <v>159</v>
      </c>
      <c r="AF114" s="21">
        <v>0.9</v>
      </c>
      <c r="AG114" s="21">
        <v>1.2</v>
      </c>
      <c r="AH114" s="24">
        <f>(4*3.14*(((AB114^1.6*AC114^1.6+AB114^1.6*AD114^1.6+AC114^1.6+AD114^1.6)/3)^(1/1.6)))*(1/AG114)</f>
        <v>14635.629193901632</v>
      </c>
      <c r="AI114" s="24">
        <f>3.14/6*AB114*AC114*AD114*AF114</f>
        <v>25434</v>
      </c>
      <c r="AJ114" s="21">
        <v>1750</v>
      </c>
      <c r="AK114" s="21">
        <v>50</v>
      </c>
      <c r="AL114" s="22" t="s">
        <v>161</v>
      </c>
      <c r="AM114" s="22">
        <v>0.16</v>
      </c>
      <c r="AN114" s="22" t="s">
        <v>2282</v>
      </c>
      <c r="AO114" s="22" t="s">
        <v>2282</v>
      </c>
      <c r="AP114" s="22" t="s">
        <v>230</v>
      </c>
      <c r="AQ114" s="22" t="str">
        <f>IF(AND($AK114&lt;20,AJ114&lt;10000),"Nanophytoplankton","Microphytoplankton")</f>
        <v>Microphytoplankton</v>
      </c>
      <c r="AR114" s="22">
        <v>0</v>
      </c>
      <c r="AS114" s="22">
        <v>0</v>
      </c>
      <c r="AT114" s="22">
        <v>0</v>
      </c>
      <c r="AU114" s="22">
        <v>1</v>
      </c>
      <c r="AV114" s="22">
        <v>0</v>
      </c>
      <c r="AW114" s="22">
        <v>0</v>
      </c>
      <c r="AX114" s="22">
        <v>0</v>
      </c>
      <c r="AY114" s="22">
        <v>1</v>
      </c>
      <c r="AZ114" s="22">
        <v>1</v>
      </c>
      <c r="BA114" s="22">
        <v>5</v>
      </c>
      <c r="BB114" s="22">
        <v>3</v>
      </c>
      <c r="BC114" s="22">
        <v>1</v>
      </c>
      <c r="BD114" s="22">
        <v>0</v>
      </c>
      <c r="BE114" s="22">
        <v>0</v>
      </c>
      <c r="BH114" s="22">
        <f t="shared" si="30"/>
        <v>0.2371952006338604</v>
      </c>
    </row>
    <row r="115" spans="1:60">
      <c r="BH115" s="22"/>
    </row>
    <row r="116" spans="1:60">
      <c r="BH116" s="22"/>
    </row>
    <row r="117" spans="1:60">
      <c r="BH117" s="22"/>
    </row>
    <row r="118" spans="1:60">
      <c r="BH118" s="22"/>
    </row>
    <row r="119" spans="1:60">
      <c r="BH119" s="22"/>
    </row>
    <row r="120" spans="1:60">
      <c r="BH120" s="22"/>
    </row>
    <row r="121" spans="1:60">
      <c r="BH121" s="22"/>
    </row>
    <row r="122" spans="1:60">
      <c r="BH122" s="22"/>
    </row>
    <row r="123" spans="1:60">
      <c r="BH123" s="22"/>
    </row>
    <row r="124" spans="1:60">
      <c r="BH124" s="22"/>
    </row>
    <row r="125" spans="1:60">
      <c r="BH125" s="22"/>
    </row>
    <row r="126" spans="1:60">
      <c r="BH126" s="22"/>
    </row>
    <row r="127" spans="1:60">
      <c r="BH127" s="22"/>
    </row>
    <row r="128" spans="1:60">
      <c r="BH128" s="22"/>
    </row>
    <row r="129" spans="60:60">
      <c r="BH129" s="22"/>
    </row>
    <row r="130" spans="60:60">
      <c r="BH130" s="22"/>
    </row>
    <row r="131" spans="60:60">
      <c r="BH131" s="22"/>
    </row>
    <row r="132" spans="60:60">
      <c r="BH132" s="22"/>
    </row>
    <row r="133" spans="60:60">
      <c r="BH133" s="22"/>
    </row>
    <row r="134" spans="60:60">
      <c r="BH134" s="22"/>
    </row>
    <row r="135" spans="60:60">
      <c r="BH135" s="22"/>
    </row>
    <row r="136" spans="60:60">
      <c r="BH136" s="22"/>
    </row>
    <row r="137" spans="60:60">
      <c r="BH137" s="22"/>
    </row>
    <row r="138" spans="60:60">
      <c r="BH138" s="22"/>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5E736-F8D0-E547-8CA4-CFC7E1358E89}">
  <dimension ref="A1:BH265"/>
  <sheetViews>
    <sheetView topLeftCell="W96" zoomScale="69" workbookViewId="0">
      <selection activeCell="AM121" sqref="AM121"/>
    </sheetView>
  </sheetViews>
  <sheetFormatPr baseColWidth="10" defaultRowHeight="16"/>
  <cols>
    <col min="1" max="1" width="28" customWidth="1"/>
  </cols>
  <sheetData>
    <row r="1" spans="1:60"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c r="BF1" s="70" t="s">
        <v>3572</v>
      </c>
      <c r="BG1" s="71" t="s">
        <v>3575</v>
      </c>
      <c r="BH1" s="70" t="s">
        <v>3723</v>
      </c>
    </row>
    <row r="2" spans="1:60" s="22" customFormat="1" ht="14">
      <c r="A2" s="21" t="s">
        <v>218</v>
      </c>
      <c r="B2" s="22" t="s">
        <v>149</v>
      </c>
      <c r="C2" s="22" t="s">
        <v>150</v>
      </c>
      <c r="D2" s="23" t="s">
        <v>151</v>
      </c>
      <c r="E2" s="22" t="s">
        <v>61</v>
      </c>
      <c r="F2" s="22" t="s">
        <v>152</v>
      </c>
      <c r="G2" s="20" t="s">
        <v>164</v>
      </c>
      <c r="H2" s="26" t="s">
        <v>165</v>
      </c>
      <c r="I2" s="22" t="s">
        <v>33</v>
      </c>
      <c r="J2" s="22" t="s">
        <v>219</v>
      </c>
      <c r="N2" s="22" t="s">
        <v>220</v>
      </c>
      <c r="O2" s="22" t="s">
        <v>158</v>
      </c>
      <c r="P2" s="21">
        <v>10810</v>
      </c>
      <c r="Q2" s="21">
        <v>5</v>
      </c>
      <c r="R2" s="21">
        <v>5</v>
      </c>
      <c r="S2" s="21">
        <v>5</v>
      </c>
      <c r="T2" s="21" t="s">
        <v>159</v>
      </c>
      <c r="U2" s="21">
        <v>1</v>
      </c>
      <c r="V2" s="21">
        <v>1</v>
      </c>
      <c r="W2" s="24">
        <f>(4*3.14*(((Q2^1.6*R2^1.6+Q2^1.6*S2^1.6+R2^1.6+S2^1.6)/3)^(1/1.6)))*(1/V2)</f>
        <v>255.14798814971115</v>
      </c>
      <c r="X2" s="24">
        <f>3.14/6*Q2*R2*S2*U2</f>
        <v>65.416666666666671</v>
      </c>
      <c r="Y2" s="21">
        <f>AB2/5</f>
        <v>20</v>
      </c>
      <c r="Z2" s="24">
        <f>Y2*W2</f>
        <v>5102.9597629942227</v>
      </c>
      <c r="AA2" s="24">
        <f>Y2*X2</f>
        <v>1308.3333333333335</v>
      </c>
      <c r="AB2" s="21">
        <v>100</v>
      </c>
      <c r="AC2" s="21">
        <v>5</v>
      </c>
      <c r="AD2" s="21">
        <v>5</v>
      </c>
      <c r="AE2" s="21" t="s">
        <v>160</v>
      </c>
      <c r="AF2" s="21">
        <v>1</v>
      </c>
      <c r="AG2" s="21">
        <v>1</v>
      </c>
      <c r="AH2" s="24">
        <f>3.14*AC2*AB2+2*3.14*(AD2/2)^2/AG2</f>
        <v>1609.25</v>
      </c>
      <c r="AI2" s="25">
        <f>(3.14/4*AC2^2*AB2)*AF2</f>
        <v>1962.5</v>
      </c>
      <c r="AJ2" s="21">
        <v>1963</v>
      </c>
      <c r="AK2" s="21">
        <v>100</v>
      </c>
      <c r="AL2" s="22" t="s">
        <v>161</v>
      </c>
      <c r="AM2" s="22">
        <v>0.22</v>
      </c>
      <c r="AN2" s="22" t="s">
        <v>168</v>
      </c>
      <c r="AO2" s="22" t="s">
        <v>168</v>
      </c>
      <c r="AP2" s="22" t="s">
        <v>169</v>
      </c>
      <c r="AQ2" s="22" t="str">
        <f>IF(AND($AK2&lt;20,AJ2&lt;10000),"Nanophytoplankton","Microphytoplankton")</f>
        <v>Microphytoplankton</v>
      </c>
      <c r="AR2" s="22">
        <v>0</v>
      </c>
      <c r="AS2" s="22">
        <v>0</v>
      </c>
      <c r="AT2" s="22">
        <v>0</v>
      </c>
      <c r="AU2" s="22">
        <v>1</v>
      </c>
      <c r="AV2" s="22">
        <v>1</v>
      </c>
      <c r="AW2" s="22">
        <v>0</v>
      </c>
      <c r="AX2" s="22">
        <v>0</v>
      </c>
      <c r="AY2" s="22">
        <v>1</v>
      </c>
      <c r="AZ2" s="22">
        <v>0</v>
      </c>
      <c r="BA2" s="22">
        <v>0</v>
      </c>
      <c r="BB2" s="22">
        <v>0</v>
      </c>
      <c r="BC2" s="22">
        <v>1</v>
      </c>
      <c r="BD2" s="22">
        <v>4</v>
      </c>
      <c r="BE2" s="22">
        <v>5</v>
      </c>
      <c r="BH2" s="22">
        <f>X2/W2</f>
        <v>0.25638715453355898</v>
      </c>
    </row>
    <row r="3" spans="1:60" ht="17">
      <c r="A3" s="53" t="s">
        <v>3599</v>
      </c>
      <c r="E3" s="22" t="s">
        <v>61</v>
      </c>
      <c r="I3" t="s">
        <v>32</v>
      </c>
      <c r="Q3">
        <v>5</v>
      </c>
      <c r="R3">
        <v>4</v>
      </c>
      <c r="S3">
        <v>4</v>
      </c>
      <c r="U3">
        <v>1</v>
      </c>
      <c r="V3">
        <v>1</v>
      </c>
      <c r="W3" s="24">
        <f>(4*3.14*(((Q3^1.6*R3^1.6+Q3^1.6*S3^1.6+R3^1.6+S3^1.6)/3)^(1/1.6)))*(1/V3)</f>
        <v>204.11839051976884</v>
      </c>
      <c r="X3" s="24">
        <f>3.14/6*Q3*R3*S3*U3</f>
        <v>41.866666666666667</v>
      </c>
      <c r="Y3">
        <v>1</v>
      </c>
      <c r="AM3" s="22">
        <v>0.22</v>
      </c>
      <c r="BH3" s="22">
        <f t="shared" ref="BH3:BH66" si="0">X3/W3</f>
        <v>0.20510972362684726</v>
      </c>
    </row>
    <row r="4" spans="1:60" s="22" customFormat="1" ht="13">
      <c r="A4" s="22" t="s">
        <v>237</v>
      </c>
      <c r="B4" s="22" t="s">
        <v>149</v>
      </c>
      <c r="C4" s="22" t="s">
        <v>150</v>
      </c>
      <c r="D4" s="23" t="s">
        <v>151</v>
      </c>
      <c r="E4" s="22" t="s">
        <v>61</v>
      </c>
      <c r="F4" s="22" t="s">
        <v>152</v>
      </c>
      <c r="G4" s="22" t="s">
        <v>60</v>
      </c>
      <c r="H4" s="22" t="s">
        <v>226</v>
      </c>
      <c r="I4" s="22" t="s">
        <v>34</v>
      </c>
      <c r="J4" s="22" t="s">
        <v>238</v>
      </c>
      <c r="N4" s="22" t="s">
        <v>239</v>
      </c>
      <c r="O4" s="22" t="s">
        <v>158</v>
      </c>
      <c r="P4" s="22">
        <v>10670</v>
      </c>
      <c r="Q4" s="21">
        <v>0.75</v>
      </c>
      <c r="R4" s="21">
        <v>0.75</v>
      </c>
      <c r="S4" s="21">
        <v>0.75</v>
      </c>
      <c r="T4" s="21" t="s">
        <v>159</v>
      </c>
      <c r="U4" s="21">
        <v>1</v>
      </c>
      <c r="V4" s="21">
        <v>1</v>
      </c>
      <c r="W4" s="24">
        <f>(4*3.14*(((Q4^1.6*R4^1.6+Q4^1.6*S4^1.6+R4^1.6+S4^1.6)/3)^(1/1.6)))*(1/V4)</f>
        <v>9.9264553816794727</v>
      </c>
      <c r="X4" s="24">
        <f>3.14/6*Q4*R4*S4*U4</f>
        <v>0.22078124999999996</v>
      </c>
      <c r="Y4" s="21">
        <v>4000</v>
      </c>
      <c r="Z4" s="24">
        <f t="shared" ref="Z4:Z9" si="1">Y4*W4</f>
        <v>39705.821526717889</v>
      </c>
      <c r="AA4" s="24">
        <f t="shared" ref="AA4:AA9" si="2">Y4*X4</f>
        <v>883.12499999999977</v>
      </c>
      <c r="AB4" s="21">
        <v>70</v>
      </c>
      <c r="AC4" s="21">
        <v>70</v>
      </c>
      <c r="AD4" s="21">
        <v>70</v>
      </c>
      <c r="AE4" s="21" t="s">
        <v>159</v>
      </c>
      <c r="AF4" s="21">
        <v>0.1</v>
      </c>
      <c r="AG4" s="22">
        <v>1</v>
      </c>
      <c r="AH4" s="24">
        <f>(4*3.14*(((AB4^1.6*AC4^1.6+AB4^1.6*AD4^1.6+AC4^1.6+AD4^1.6)/3)^(1/1.6)))*(1/AG4)</f>
        <v>47800.40306583116</v>
      </c>
      <c r="AI4" s="24">
        <f>3.14/6*AB4*AC4*AD4*AF4</f>
        <v>17950.333333333336</v>
      </c>
      <c r="AJ4" s="21">
        <v>17950.333333333332</v>
      </c>
      <c r="AK4" s="21">
        <v>70</v>
      </c>
      <c r="AL4" s="22" t="s">
        <v>161</v>
      </c>
      <c r="AM4" s="22">
        <v>0.22</v>
      </c>
      <c r="AN4" s="22" t="s">
        <v>229</v>
      </c>
      <c r="AO4" s="22" t="s">
        <v>229</v>
      </c>
      <c r="AP4" s="22" t="s">
        <v>230</v>
      </c>
      <c r="AQ4" s="22" t="str">
        <f t="shared" ref="AQ4:AQ9" si="3">IF(AND($AK4&lt;20,AJ4&lt;10000),"Nanophytoplankton","Microphytoplankton")</f>
        <v>Microphytoplankton</v>
      </c>
      <c r="AR4" s="22">
        <v>0</v>
      </c>
      <c r="AS4" s="22">
        <v>0</v>
      </c>
      <c r="AT4" s="22">
        <v>0</v>
      </c>
      <c r="AU4" s="22">
        <v>1</v>
      </c>
      <c r="AV4" s="22">
        <v>0</v>
      </c>
      <c r="AW4" s="22">
        <v>0</v>
      </c>
      <c r="AX4" s="22">
        <v>0</v>
      </c>
      <c r="AY4" s="22">
        <v>1</v>
      </c>
      <c r="BH4" s="22">
        <f t="shared" si="0"/>
        <v>2.2241700739166131E-2</v>
      </c>
    </row>
    <row r="5" spans="1:60" s="22" customFormat="1" ht="13">
      <c r="A5" s="22" t="s">
        <v>240</v>
      </c>
      <c r="B5" s="22" t="s">
        <v>149</v>
      </c>
      <c r="C5" s="22" t="s">
        <v>150</v>
      </c>
      <c r="D5" s="23" t="s">
        <v>151</v>
      </c>
      <c r="E5" s="22" t="s">
        <v>61</v>
      </c>
      <c r="F5" s="22" t="s">
        <v>152</v>
      </c>
      <c r="G5" s="22" t="s">
        <v>60</v>
      </c>
      <c r="H5" s="22" t="s">
        <v>226</v>
      </c>
      <c r="I5" s="22" t="s">
        <v>34</v>
      </c>
      <c r="J5" s="22" t="s">
        <v>238</v>
      </c>
      <c r="K5" s="22" t="s">
        <v>241</v>
      </c>
      <c r="L5" s="22" t="s">
        <v>242</v>
      </c>
      <c r="N5" s="22" t="s">
        <v>243</v>
      </c>
      <c r="O5" s="22" t="s">
        <v>158</v>
      </c>
      <c r="P5" s="22">
        <v>10673</v>
      </c>
      <c r="Q5" s="21">
        <v>0.75</v>
      </c>
      <c r="R5" s="21">
        <v>0.75</v>
      </c>
      <c r="S5" s="21">
        <v>0.75</v>
      </c>
      <c r="T5" s="21" t="s">
        <v>159</v>
      </c>
      <c r="U5" s="21">
        <v>1</v>
      </c>
      <c r="V5" s="21">
        <v>1</v>
      </c>
      <c r="W5" s="24">
        <f>(4*3.14*(((Q5^1.6*R5^1.6+Q5^1.6*S5^1.6+R5^1.6+S5^1.6)/3)^(1/1.6)))*(1/V5)</f>
        <v>9.9264553816794727</v>
      </c>
      <c r="X5" s="24">
        <f>3.14/6*Q5*R5*S5*U5</f>
        <v>0.22078124999999996</v>
      </c>
      <c r="Y5" s="21">
        <v>20</v>
      </c>
      <c r="Z5" s="24">
        <f t="shared" si="1"/>
        <v>198.52910763358946</v>
      </c>
      <c r="AA5" s="24">
        <f t="shared" si="2"/>
        <v>4.4156249999999995</v>
      </c>
      <c r="AB5" s="21">
        <v>10</v>
      </c>
      <c r="AC5" s="21">
        <v>10</v>
      </c>
      <c r="AD5" s="21">
        <v>10</v>
      </c>
      <c r="AE5" s="21" t="s">
        <v>159</v>
      </c>
      <c r="AF5" s="21">
        <v>0.1</v>
      </c>
      <c r="AG5" s="22">
        <v>1</v>
      </c>
      <c r="AH5" s="24">
        <f>(4*3.14*(((AB5^1.6*AC5^1.6+AB5^1.6*AD5^1.6+AC5^1.6+AD5^1.6)/3)^(1/1.6)))*(1/AG5)</f>
        <v>990.0713501282612</v>
      </c>
      <c r="AI5" s="24">
        <f>3.14/6*AB5*AC5*AD5*AF5</f>
        <v>52.333333333333343</v>
      </c>
      <c r="AJ5" s="21">
        <v>52.333333333333343</v>
      </c>
      <c r="AK5" s="21">
        <v>10</v>
      </c>
      <c r="AL5" s="22" t="s">
        <v>161</v>
      </c>
      <c r="AM5" s="22">
        <v>0.22</v>
      </c>
      <c r="AN5" s="22" t="s">
        <v>229</v>
      </c>
      <c r="AO5" s="22" t="s">
        <v>229</v>
      </c>
      <c r="AP5" s="22" t="s">
        <v>230</v>
      </c>
      <c r="AQ5" s="22" t="str">
        <f t="shared" si="3"/>
        <v>Nanophytoplankton</v>
      </c>
      <c r="AR5" s="22">
        <v>0</v>
      </c>
      <c r="AS5" s="22">
        <v>0</v>
      </c>
      <c r="AT5" s="22">
        <v>0</v>
      </c>
      <c r="AU5" s="22">
        <v>1</v>
      </c>
      <c r="AV5" s="22">
        <v>0</v>
      </c>
      <c r="AW5" s="22">
        <v>0</v>
      </c>
      <c r="AX5" s="22">
        <v>0</v>
      </c>
      <c r="AY5" s="22">
        <v>1</v>
      </c>
      <c r="BH5" s="22">
        <f t="shared" si="0"/>
        <v>2.2241700739166131E-2</v>
      </c>
    </row>
    <row r="6" spans="1:60" s="22" customFormat="1" ht="13">
      <c r="A6" s="22" t="s">
        <v>244</v>
      </c>
      <c r="B6" s="22" t="s">
        <v>149</v>
      </c>
      <c r="C6" s="22" t="s">
        <v>150</v>
      </c>
      <c r="D6" s="23" t="s">
        <v>151</v>
      </c>
      <c r="E6" s="22" t="s">
        <v>61</v>
      </c>
      <c r="F6" s="22" t="s">
        <v>152</v>
      </c>
      <c r="G6" s="22" t="s">
        <v>60</v>
      </c>
      <c r="H6" s="22" t="s">
        <v>226</v>
      </c>
      <c r="I6" s="22" t="s">
        <v>34</v>
      </c>
      <c r="J6" s="22" t="s">
        <v>238</v>
      </c>
      <c r="K6" s="22" t="s">
        <v>184</v>
      </c>
      <c r="L6" s="22" t="s">
        <v>245</v>
      </c>
      <c r="N6" s="22" t="s">
        <v>243</v>
      </c>
      <c r="O6" s="22" t="s">
        <v>158</v>
      </c>
      <c r="P6" s="21">
        <v>10671</v>
      </c>
      <c r="Q6" s="21">
        <v>0.75</v>
      </c>
      <c r="R6" s="21">
        <v>0.75</v>
      </c>
      <c r="S6" s="21">
        <v>0.75</v>
      </c>
      <c r="T6" s="21" t="s">
        <v>246</v>
      </c>
      <c r="U6" s="21">
        <v>1</v>
      </c>
      <c r="V6" s="21">
        <v>1</v>
      </c>
      <c r="W6" s="25">
        <f>4*3.14*(R6/2)*(Q6/2)/V6</f>
        <v>1.7662499999999999</v>
      </c>
      <c r="X6" s="25">
        <f>(3.14/6*(Q6*S6*R6))*U6</f>
        <v>0.22078124999999998</v>
      </c>
      <c r="Y6" s="22">
        <v>1</v>
      </c>
      <c r="Z6" s="24">
        <f t="shared" si="1"/>
        <v>1.7662499999999999</v>
      </c>
      <c r="AA6" s="24">
        <f t="shared" si="2"/>
        <v>0.22078124999999998</v>
      </c>
      <c r="AF6" s="21" t="s">
        <v>247</v>
      </c>
      <c r="AH6" s="25"/>
      <c r="AI6" s="25"/>
      <c r="AJ6" s="21">
        <v>0.22078124999999998</v>
      </c>
      <c r="AK6" s="21">
        <v>0.75</v>
      </c>
      <c r="AL6" s="22" t="s">
        <v>161</v>
      </c>
      <c r="AM6" s="22">
        <v>0.22</v>
      </c>
      <c r="AN6" s="22" t="s">
        <v>229</v>
      </c>
      <c r="AO6" s="22" t="s">
        <v>229</v>
      </c>
      <c r="AP6" s="22" t="s">
        <v>230</v>
      </c>
      <c r="AQ6" s="22" t="str">
        <f t="shared" si="3"/>
        <v>Nanophytoplankton</v>
      </c>
      <c r="AR6" s="22">
        <v>0</v>
      </c>
      <c r="AS6" s="22">
        <v>0</v>
      </c>
      <c r="AT6" s="22">
        <v>0</v>
      </c>
      <c r="AU6" s="22">
        <v>1</v>
      </c>
      <c r="AV6" s="22">
        <v>0</v>
      </c>
      <c r="AW6" s="22">
        <v>0</v>
      </c>
      <c r="AX6" s="22">
        <v>0</v>
      </c>
      <c r="AY6" s="22">
        <v>1</v>
      </c>
      <c r="BH6" s="22">
        <f t="shared" si="0"/>
        <v>0.125</v>
      </c>
    </row>
    <row r="7" spans="1:60" s="22" customFormat="1" ht="13">
      <c r="A7" s="22" t="s">
        <v>248</v>
      </c>
      <c r="B7" s="22" t="s">
        <v>149</v>
      </c>
      <c r="C7" s="22" t="s">
        <v>150</v>
      </c>
      <c r="D7" s="23" t="s">
        <v>151</v>
      </c>
      <c r="E7" s="22" t="s">
        <v>61</v>
      </c>
      <c r="F7" s="22" t="s">
        <v>152</v>
      </c>
      <c r="G7" s="22" t="s">
        <v>60</v>
      </c>
      <c r="H7" s="22" t="s">
        <v>226</v>
      </c>
      <c r="I7" s="22" t="s">
        <v>34</v>
      </c>
      <c r="J7" s="22" t="s">
        <v>249</v>
      </c>
      <c r="N7" s="22" t="s">
        <v>239</v>
      </c>
      <c r="O7" s="22" t="s">
        <v>158</v>
      </c>
      <c r="P7" s="22">
        <v>11711</v>
      </c>
      <c r="Q7" s="21">
        <v>2</v>
      </c>
      <c r="R7" s="21">
        <v>2</v>
      </c>
      <c r="S7" s="21">
        <v>2</v>
      </c>
      <c r="T7" s="21" t="s">
        <v>159</v>
      </c>
      <c r="U7" s="21">
        <v>1</v>
      </c>
      <c r="V7" s="21">
        <v>1</v>
      </c>
      <c r="W7" s="24">
        <f t="shared" ref="W7:W13" si="4">(4*3.14*(((Q7^1.6*R7^1.6+Q7^1.6*S7^1.6+R7^1.6+S7^1.6)/3)^(1/1.6)))*(1/V7)</f>
        <v>46.59880302207403</v>
      </c>
      <c r="X7" s="24">
        <f t="shared" ref="X7:X13" si="5">3.14/6*Q7*R7*S7*U7</f>
        <v>4.1866666666666665</v>
      </c>
      <c r="Y7" s="21">
        <v>75</v>
      </c>
      <c r="Z7" s="24">
        <f t="shared" si="1"/>
        <v>3494.9102266555524</v>
      </c>
      <c r="AA7" s="24">
        <f t="shared" si="2"/>
        <v>314</v>
      </c>
      <c r="AB7" s="21">
        <v>15</v>
      </c>
      <c r="AC7" s="21">
        <v>15</v>
      </c>
      <c r="AD7" s="21">
        <v>15</v>
      </c>
      <c r="AE7" s="21" t="s">
        <v>159</v>
      </c>
      <c r="AF7" s="21">
        <v>0.1</v>
      </c>
      <c r="AG7" s="22">
        <v>1</v>
      </c>
      <c r="AH7" s="24">
        <f>(4*3.14*(((AB7^1.6*AC7^1.6+AB7^1.6*AD7^1.6+AC7^1.6+AD7^1.6)/3)^(1/1.6)))*(1/AG7)</f>
        <v>2211.3412553863004</v>
      </c>
      <c r="AI7" s="24">
        <f>3.14/6*AB7*AC7*AD7*AF7</f>
        <v>176.625</v>
      </c>
      <c r="AJ7" s="21">
        <v>314.2</v>
      </c>
      <c r="AK7" s="21">
        <v>15</v>
      </c>
      <c r="AL7" s="22" t="s">
        <v>161</v>
      </c>
      <c r="AM7" s="22">
        <v>0.22</v>
      </c>
      <c r="AN7" s="22" t="s">
        <v>229</v>
      </c>
      <c r="AO7" s="22" t="s">
        <v>229</v>
      </c>
      <c r="AP7" s="22" t="s">
        <v>230</v>
      </c>
      <c r="AQ7" s="22" t="str">
        <f t="shared" si="3"/>
        <v>Nanophytoplankton</v>
      </c>
      <c r="AR7" s="22">
        <v>0</v>
      </c>
      <c r="AS7" s="22">
        <v>0</v>
      </c>
      <c r="AT7" s="22">
        <v>0</v>
      </c>
      <c r="AU7" s="22">
        <v>1</v>
      </c>
      <c r="AV7" s="22">
        <v>0</v>
      </c>
      <c r="AW7" s="22">
        <v>0</v>
      </c>
      <c r="AX7" s="22">
        <v>0</v>
      </c>
      <c r="AY7" s="22">
        <v>1</v>
      </c>
      <c r="BH7" s="22">
        <f t="shared" si="0"/>
        <v>8.9844940108942853E-2</v>
      </c>
    </row>
    <row r="8" spans="1:60" s="22" customFormat="1" ht="13">
      <c r="A8" s="22" t="s">
        <v>250</v>
      </c>
      <c r="B8" s="22" t="s">
        <v>149</v>
      </c>
      <c r="C8" s="22" t="s">
        <v>150</v>
      </c>
      <c r="D8" s="23" t="s">
        <v>151</v>
      </c>
      <c r="E8" s="22" t="s">
        <v>61</v>
      </c>
      <c r="F8" s="22" t="s">
        <v>152</v>
      </c>
      <c r="G8" s="22" t="s">
        <v>60</v>
      </c>
      <c r="H8" s="22" t="s">
        <v>226</v>
      </c>
      <c r="I8" s="22" t="s">
        <v>34</v>
      </c>
      <c r="J8" s="22" t="s">
        <v>249</v>
      </c>
      <c r="K8" s="22" t="s">
        <v>241</v>
      </c>
      <c r="L8" s="22" t="s">
        <v>242</v>
      </c>
      <c r="N8" s="22" t="s">
        <v>251</v>
      </c>
      <c r="O8" s="22" t="s">
        <v>158</v>
      </c>
      <c r="P8" s="22">
        <v>11713</v>
      </c>
      <c r="Q8" s="21">
        <v>2</v>
      </c>
      <c r="R8" s="21">
        <v>2</v>
      </c>
      <c r="S8" s="21">
        <v>2</v>
      </c>
      <c r="T8" s="21" t="s">
        <v>159</v>
      </c>
      <c r="U8" s="21">
        <v>1</v>
      </c>
      <c r="V8" s="21">
        <v>1</v>
      </c>
      <c r="W8" s="24">
        <f t="shared" si="4"/>
        <v>46.59880302207403</v>
      </c>
      <c r="X8" s="24">
        <f t="shared" si="5"/>
        <v>4.1866666666666665</v>
      </c>
      <c r="Y8" s="21">
        <v>35</v>
      </c>
      <c r="Z8" s="24">
        <f t="shared" si="1"/>
        <v>1630.9581057725911</v>
      </c>
      <c r="AA8" s="24">
        <f t="shared" si="2"/>
        <v>146.53333333333333</v>
      </c>
      <c r="AB8" s="21">
        <v>10</v>
      </c>
      <c r="AC8" s="21">
        <v>10</v>
      </c>
      <c r="AD8" s="21">
        <v>10</v>
      </c>
      <c r="AE8" s="21" t="s">
        <v>159</v>
      </c>
      <c r="AF8" s="21">
        <v>0.1</v>
      </c>
      <c r="AG8" s="22">
        <v>1</v>
      </c>
      <c r="AH8" s="24">
        <f>(4*3.14*(((AB8^1.6*AC8^1.6+AB8^1.6*AD8^1.6+AC8^1.6+AD8^1.6)/3)^(1/1.6)))*(1/AG8)</f>
        <v>990.0713501282612</v>
      </c>
      <c r="AI8" s="24">
        <f>3.14/6*AB8*AC8*AD8*AF8</f>
        <v>52.333333333333343</v>
      </c>
      <c r="AJ8" s="21">
        <v>157</v>
      </c>
      <c r="AK8" s="21">
        <v>10</v>
      </c>
      <c r="AL8" s="22" t="s">
        <v>252</v>
      </c>
      <c r="AM8" s="22">
        <v>0.22</v>
      </c>
      <c r="AN8" s="22" t="s">
        <v>229</v>
      </c>
      <c r="AO8" s="22" t="s">
        <v>229</v>
      </c>
      <c r="AP8" s="22" t="s">
        <v>230</v>
      </c>
      <c r="AQ8" s="22" t="str">
        <f t="shared" si="3"/>
        <v>Nanophytoplankton</v>
      </c>
      <c r="AR8" s="22">
        <v>0</v>
      </c>
      <c r="AS8" s="22">
        <v>0</v>
      </c>
      <c r="AT8" s="22">
        <v>0</v>
      </c>
      <c r="AU8" s="22">
        <v>1</v>
      </c>
      <c r="AV8" s="22">
        <v>0</v>
      </c>
      <c r="AW8" s="22">
        <v>0</v>
      </c>
      <c r="AX8" s="22">
        <v>0</v>
      </c>
      <c r="AY8" s="22">
        <v>1</v>
      </c>
      <c r="BH8" s="22">
        <f t="shared" si="0"/>
        <v>8.9844940108942853E-2</v>
      </c>
    </row>
    <row r="9" spans="1:60" s="22" customFormat="1" ht="13">
      <c r="A9" s="21" t="s">
        <v>253</v>
      </c>
      <c r="B9" s="22" t="s">
        <v>149</v>
      </c>
      <c r="C9" s="22" t="s">
        <v>150</v>
      </c>
      <c r="D9" s="23" t="s">
        <v>151</v>
      </c>
      <c r="E9" s="22" t="s">
        <v>61</v>
      </c>
      <c r="F9" s="22" t="s">
        <v>152</v>
      </c>
      <c r="G9" s="22" t="s">
        <v>60</v>
      </c>
      <c r="H9" s="22" t="s">
        <v>226</v>
      </c>
      <c r="I9" s="22" t="s">
        <v>34</v>
      </c>
      <c r="J9" s="22" t="s">
        <v>249</v>
      </c>
      <c r="K9" s="22" t="s">
        <v>175</v>
      </c>
      <c r="L9" s="22" t="s">
        <v>235</v>
      </c>
      <c r="N9" s="22" t="s">
        <v>254</v>
      </c>
      <c r="O9" s="22" t="s">
        <v>158</v>
      </c>
      <c r="P9" s="21">
        <v>10220</v>
      </c>
      <c r="Q9" s="21">
        <v>2</v>
      </c>
      <c r="R9" s="21">
        <v>2</v>
      </c>
      <c r="S9" s="21">
        <v>2</v>
      </c>
      <c r="T9" s="21" t="s">
        <v>159</v>
      </c>
      <c r="U9" s="21">
        <v>1</v>
      </c>
      <c r="V9" s="21">
        <v>1</v>
      </c>
      <c r="W9" s="24">
        <f t="shared" si="4"/>
        <v>46.59880302207403</v>
      </c>
      <c r="X9" s="24">
        <f t="shared" si="5"/>
        <v>4.1866666666666665</v>
      </c>
      <c r="Y9" s="21">
        <v>1250</v>
      </c>
      <c r="Z9" s="24">
        <f t="shared" si="1"/>
        <v>58248.503777592538</v>
      </c>
      <c r="AA9" s="24">
        <f t="shared" si="2"/>
        <v>5233.333333333333</v>
      </c>
      <c r="AB9" s="21">
        <v>50</v>
      </c>
      <c r="AC9" s="21">
        <v>50</v>
      </c>
      <c r="AD9" s="21">
        <v>50</v>
      </c>
      <c r="AE9" s="21" t="s">
        <v>159</v>
      </c>
      <c r="AF9" s="21">
        <v>0.1</v>
      </c>
      <c r="AG9" s="22">
        <v>1</v>
      </c>
      <c r="AH9" s="24">
        <f>(4*3.14*(((AB9^1.6*AC9^1.6+AB9^1.6*AD9^1.6+AC9^1.6+AD9^1.6)/3)^(1/1.6)))*(1/AG9)</f>
        <v>24400.082151651244</v>
      </c>
      <c r="AI9" s="24">
        <f>3.14/6*AB9*AC9*AD9*AF9</f>
        <v>6541.666666666667</v>
      </c>
      <c r="AJ9" s="21">
        <v>5240</v>
      </c>
      <c r="AK9" s="21">
        <v>100</v>
      </c>
      <c r="AL9" s="22" t="s">
        <v>161</v>
      </c>
      <c r="AM9" s="22">
        <v>0.22</v>
      </c>
      <c r="AN9" s="22" t="s">
        <v>229</v>
      </c>
      <c r="AO9" s="22" t="s">
        <v>229</v>
      </c>
      <c r="AP9" s="22" t="s">
        <v>230</v>
      </c>
      <c r="AQ9" s="22" t="str">
        <f t="shared" si="3"/>
        <v>Microphytoplankton</v>
      </c>
      <c r="AR9" s="22">
        <v>0</v>
      </c>
      <c r="AS9" s="22">
        <v>0</v>
      </c>
      <c r="AT9" s="22">
        <v>0</v>
      </c>
      <c r="AU9" s="22">
        <v>1</v>
      </c>
      <c r="AV9" s="22">
        <v>0</v>
      </c>
      <c r="AW9" s="22">
        <v>0</v>
      </c>
      <c r="AX9" s="22">
        <v>0</v>
      </c>
      <c r="AY9" s="22">
        <v>1</v>
      </c>
      <c r="BH9" s="22">
        <f t="shared" si="0"/>
        <v>8.9844940108942853E-2</v>
      </c>
    </row>
    <row r="10" spans="1:60" s="22" customFormat="1" ht="13">
      <c r="A10" s="21" t="s">
        <v>305</v>
      </c>
      <c r="B10" s="22" t="s">
        <v>149</v>
      </c>
      <c r="C10" s="22" t="s">
        <v>150</v>
      </c>
      <c r="D10" s="23" t="s">
        <v>151</v>
      </c>
      <c r="E10" s="22" t="s">
        <v>61</v>
      </c>
      <c r="F10" s="22" t="s">
        <v>152</v>
      </c>
      <c r="G10" s="22" t="s">
        <v>60</v>
      </c>
      <c r="H10" s="22" t="s">
        <v>293</v>
      </c>
      <c r="I10" s="22" t="s">
        <v>294</v>
      </c>
      <c r="J10" s="22" t="s">
        <v>306</v>
      </c>
      <c r="K10" s="22" t="s">
        <v>241</v>
      </c>
      <c r="L10" s="22" t="s">
        <v>242</v>
      </c>
      <c r="N10" s="22" t="s">
        <v>307</v>
      </c>
      <c r="O10" s="22" t="s">
        <v>158</v>
      </c>
      <c r="P10" s="21">
        <v>13023</v>
      </c>
      <c r="Q10" s="21">
        <v>3</v>
      </c>
      <c r="R10" s="21">
        <v>1.5</v>
      </c>
      <c r="S10" s="21">
        <v>1.5</v>
      </c>
      <c r="T10" s="21" t="s">
        <v>159</v>
      </c>
      <c r="U10" s="27">
        <v>1</v>
      </c>
      <c r="V10" s="21">
        <v>1</v>
      </c>
      <c r="W10" s="24">
        <f t="shared" si="4"/>
        <v>48.453350622962667</v>
      </c>
      <c r="X10" s="24">
        <f t="shared" si="5"/>
        <v>3.5324999999999993</v>
      </c>
      <c r="Y10" s="21">
        <v>10</v>
      </c>
      <c r="Z10" s="24">
        <f>Y10*W10</f>
        <v>484.53350622962665</v>
      </c>
      <c r="AA10" s="24">
        <f>Y10*X10</f>
        <v>35.324999999999996</v>
      </c>
      <c r="AB10" s="21">
        <v>10</v>
      </c>
      <c r="AC10" s="21">
        <v>10</v>
      </c>
      <c r="AD10" s="21">
        <v>10</v>
      </c>
      <c r="AE10" s="21" t="s">
        <v>159</v>
      </c>
      <c r="AF10" s="21">
        <v>0.1</v>
      </c>
      <c r="AG10" s="22">
        <v>1</v>
      </c>
      <c r="AH10" s="24">
        <f>(4*3.14*(((AB10^1.6*AC10^1.6+AB10^1.6*AD10^1.6+AC10^1.6+AD10^1.6)/3)^(1/1.6)))*(1/AG10)</f>
        <v>990.0713501282612</v>
      </c>
      <c r="AI10" s="24">
        <f>3.14/6*AB10*AC10*AD10*AF10</f>
        <v>52.333333333333343</v>
      </c>
      <c r="AJ10" s="21">
        <v>52.333333333333343</v>
      </c>
      <c r="AK10" s="21">
        <v>10</v>
      </c>
      <c r="AL10" s="22" t="s">
        <v>161</v>
      </c>
      <c r="AM10" s="22">
        <v>0.22</v>
      </c>
      <c r="AN10" s="22" t="s">
        <v>229</v>
      </c>
      <c r="AO10" s="22" t="s">
        <v>229</v>
      </c>
      <c r="AP10" s="22" t="s">
        <v>230</v>
      </c>
      <c r="AQ10" s="22" t="str">
        <f>IF(AND($AK10&lt;20,AJ10&lt;10000),"Nanophytoplankton","Microphytoplankton")</f>
        <v>Nanophytoplankton</v>
      </c>
      <c r="AR10" s="22">
        <v>0</v>
      </c>
      <c r="AS10" s="22">
        <v>0</v>
      </c>
      <c r="AT10" s="22">
        <v>0</v>
      </c>
      <c r="AU10" s="22">
        <v>1</v>
      </c>
      <c r="AV10" s="22">
        <v>0</v>
      </c>
      <c r="AW10" s="22">
        <v>0</v>
      </c>
      <c r="AX10" s="22">
        <v>0</v>
      </c>
      <c r="AY10" s="22">
        <v>1</v>
      </c>
      <c r="BH10" s="22">
        <f t="shared" si="0"/>
        <v>7.290517486577909E-2</v>
      </c>
    </row>
    <row r="11" spans="1:60" s="22" customFormat="1" ht="13">
      <c r="A11" s="21" t="s">
        <v>2353</v>
      </c>
      <c r="B11" s="22" t="s">
        <v>663</v>
      </c>
      <c r="C11" s="22" t="s">
        <v>2223</v>
      </c>
      <c r="D11" s="22" t="s">
        <v>2224</v>
      </c>
      <c r="E11" s="23" t="s">
        <v>63</v>
      </c>
      <c r="F11" s="23" t="s">
        <v>2225</v>
      </c>
      <c r="G11" s="23" t="s">
        <v>2284</v>
      </c>
      <c r="H11" s="23" t="s">
        <v>2285</v>
      </c>
      <c r="I11" s="22" t="s">
        <v>45</v>
      </c>
      <c r="J11" s="38" t="s">
        <v>1990</v>
      </c>
      <c r="K11" s="38"/>
      <c r="L11" s="38"/>
      <c r="N11" s="22" t="s">
        <v>2354</v>
      </c>
      <c r="O11" s="22" t="s">
        <v>2229</v>
      </c>
      <c r="P11" s="21">
        <v>80111</v>
      </c>
      <c r="Q11" s="21">
        <v>16</v>
      </c>
      <c r="R11" s="21">
        <v>15</v>
      </c>
      <c r="S11" s="21">
        <v>15</v>
      </c>
      <c r="T11" s="21" t="s">
        <v>281</v>
      </c>
      <c r="U11" s="21">
        <v>1</v>
      </c>
      <c r="V11" s="22">
        <v>1</v>
      </c>
      <c r="W11" s="24">
        <f t="shared" si="4"/>
        <v>2356.8891580659561</v>
      </c>
      <c r="X11" s="24">
        <f t="shared" si="5"/>
        <v>1884</v>
      </c>
      <c r="Y11" s="21">
        <v>1</v>
      </c>
      <c r="Z11" s="24">
        <f>Y11*W11</f>
        <v>2356.8891580659561</v>
      </c>
      <c r="AA11" s="24">
        <f>Y11*X11</f>
        <v>1884</v>
      </c>
      <c r="AB11" s="21"/>
      <c r="AC11" s="21"/>
      <c r="AD11" s="21"/>
      <c r="AE11" s="21"/>
      <c r="AF11" s="21"/>
      <c r="AG11" s="21"/>
      <c r="AH11" s="24"/>
      <c r="AI11" s="24"/>
      <c r="AJ11" s="21">
        <v>1884</v>
      </c>
      <c r="AK11" s="21">
        <v>16</v>
      </c>
      <c r="AL11" s="38" t="s">
        <v>2343</v>
      </c>
      <c r="AM11" s="22">
        <v>0.16</v>
      </c>
      <c r="AN11" s="38"/>
      <c r="AO11" s="22" t="s">
        <v>830</v>
      </c>
      <c r="AP11" s="22" t="s">
        <v>673</v>
      </c>
      <c r="AQ11" s="22" t="str">
        <f>IF(AND($AK11&lt;20,AJ11&lt;10000),"Nanophytoplankton","Microphytoplankton")</f>
        <v>Nanophytoplankton</v>
      </c>
      <c r="AR11" s="22">
        <v>1</v>
      </c>
      <c r="AS11" s="22">
        <v>1</v>
      </c>
      <c r="AT11" s="22">
        <v>0</v>
      </c>
      <c r="AU11" s="22">
        <v>0</v>
      </c>
      <c r="AV11" s="22">
        <v>0</v>
      </c>
      <c r="AW11" s="22">
        <v>0</v>
      </c>
      <c r="AX11" s="22">
        <v>0</v>
      </c>
      <c r="AY11" s="22">
        <v>1</v>
      </c>
      <c r="BH11" s="22">
        <f t="shared" si="0"/>
        <v>0.79935876218548818</v>
      </c>
    </row>
    <row r="12" spans="1:60" s="22" customFormat="1" ht="13">
      <c r="A12" s="21" t="s">
        <v>2355</v>
      </c>
      <c r="B12" s="22" t="s">
        <v>663</v>
      </c>
      <c r="C12" s="22" t="s">
        <v>2223</v>
      </c>
      <c r="D12" s="22" t="s">
        <v>2224</v>
      </c>
      <c r="E12" s="23" t="s">
        <v>63</v>
      </c>
      <c r="F12" s="23" t="s">
        <v>2225</v>
      </c>
      <c r="G12" s="23" t="s">
        <v>2284</v>
      </c>
      <c r="H12" s="23" t="s">
        <v>2285</v>
      </c>
      <c r="I12" s="22" t="s">
        <v>45</v>
      </c>
      <c r="J12" s="38" t="s">
        <v>211</v>
      </c>
      <c r="K12" s="38"/>
      <c r="L12" s="38"/>
      <c r="M12" s="22" t="s">
        <v>1</v>
      </c>
      <c r="N12" s="22" t="s">
        <v>694</v>
      </c>
      <c r="O12" s="22" t="s">
        <v>2229</v>
      </c>
      <c r="P12" s="21">
        <v>80100</v>
      </c>
      <c r="Q12" s="22">
        <v>18</v>
      </c>
      <c r="R12" s="22">
        <v>18</v>
      </c>
      <c r="S12" s="22">
        <v>18</v>
      </c>
      <c r="T12" s="22" t="s">
        <v>281</v>
      </c>
      <c r="U12" s="21">
        <v>1</v>
      </c>
      <c r="V12" s="22">
        <v>1</v>
      </c>
      <c r="W12" s="24">
        <f t="shared" si="4"/>
        <v>3177.8015103260286</v>
      </c>
      <c r="X12" s="24">
        <f t="shared" si="5"/>
        <v>3052.08</v>
      </c>
      <c r="Y12" s="21">
        <v>1</v>
      </c>
      <c r="Z12" s="24">
        <f>Y12*W12</f>
        <v>3177.8015103260286</v>
      </c>
      <c r="AA12" s="24">
        <f>Y12*X12</f>
        <v>3052.08</v>
      </c>
      <c r="AE12" s="21"/>
      <c r="AF12" s="21" t="s">
        <v>247</v>
      </c>
      <c r="AG12" s="21"/>
      <c r="AH12" s="24"/>
      <c r="AI12" s="24"/>
      <c r="AJ12" s="21">
        <v>3053.6</v>
      </c>
      <c r="AK12" s="21">
        <v>18</v>
      </c>
      <c r="AL12" s="22" t="s">
        <v>161</v>
      </c>
      <c r="AM12" s="22">
        <v>0.16</v>
      </c>
      <c r="AN12" s="38"/>
      <c r="AO12" s="22" t="s">
        <v>830</v>
      </c>
      <c r="AP12" s="22" t="s">
        <v>673</v>
      </c>
      <c r="AQ12" s="22" t="str">
        <f>IF(AND($AK12&lt;20,AJ12&lt;10000),"Nanophytoplankton","Microphytoplankton")</f>
        <v>Nanophytoplankton</v>
      </c>
      <c r="AR12" s="22">
        <v>1</v>
      </c>
      <c r="AS12" s="22">
        <v>1</v>
      </c>
      <c r="AT12" s="22">
        <v>0</v>
      </c>
      <c r="AU12" s="22">
        <v>0</v>
      </c>
      <c r="AV12" s="22">
        <v>0</v>
      </c>
      <c r="AW12" s="22">
        <v>0</v>
      </c>
      <c r="AX12" s="22">
        <v>0</v>
      </c>
      <c r="AY12" s="22">
        <v>1</v>
      </c>
      <c r="BH12" s="22">
        <f t="shared" si="0"/>
        <v>0.96043758242372723</v>
      </c>
    </row>
    <row r="13" spans="1:60" s="22" customFormat="1" ht="13">
      <c r="A13" s="21" t="s">
        <v>2356</v>
      </c>
      <c r="B13" s="22" t="s">
        <v>663</v>
      </c>
      <c r="C13" s="22" t="s">
        <v>2223</v>
      </c>
      <c r="D13" s="22" t="s">
        <v>2224</v>
      </c>
      <c r="E13" s="23" t="s">
        <v>63</v>
      </c>
      <c r="F13" s="23" t="s">
        <v>2225</v>
      </c>
      <c r="G13" s="23" t="s">
        <v>2284</v>
      </c>
      <c r="H13" s="23" t="s">
        <v>2285</v>
      </c>
      <c r="I13" s="22" t="s">
        <v>45</v>
      </c>
      <c r="J13" s="38" t="s">
        <v>2357</v>
      </c>
      <c r="K13" s="38"/>
      <c r="L13" s="38"/>
      <c r="N13" s="22" t="s">
        <v>2358</v>
      </c>
      <c r="O13" s="22" t="s">
        <v>2229</v>
      </c>
      <c r="P13" s="21">
        <v>80101</v>
      </c>
      <c r="Q13" s="22">
        <v>8</v>
      </c>
      <c r="R13" s="22">
        <v>4</v>
      </c>
      <c r="S13" s="22">
        <v>4</v>
      </c>
      <c r="T13" s="22" t="s">
        <v>159</v>
      </c>
      <c r="U13" s="21">
        <v>1</v>
      </c>
      <c r="V13" s="22">
        <v>1</v>
      </c>
      <c r="W13" s="24">
        <f t="shared" si="4"/>
        <v>318.9006424569489</v>
      </c>
      <c r="X13" s="24">
        <f t="shared" si="5"/>
        <v>66.986666666666665</v>
      </c>
      <c r="Y13" s="22">
        <v>1</v>
      </c>
      <c r="Z13" s="24">
        <f>Y13*W13</f>
        <v>318.9006424569489</v>
      </c>
      <c r="AA13" s="24">
        <f>Y13*X13</f>
        <v>66.986666666666665</v>
      </c>
      <c r="AF13" s="21" t="s">
        <v>247</v>
      </c>
      <c r="AH13" s="25"/>
      <c r="AI13" s="25"/>
      <c r="AJ13" s="21">
        <v>66.986666666666665</v>
      </c>
      <c r="AK13" s="21">
        <v>8</v>
      </c>
      <c r="AL13" s="38" t="s">
        <v>2359</v>
      </c>
      <c r="AM13" s="22">
        <v>0.16</v>
      </c>
      <c r="AN13" s="38"/>
      <c r="AO13" s="22" t="s">
        <v>830</v>
      </c>
      <c r="AP13" s="22" t="s">
        <v>673</v>
      </c>
      <c r="AQ13" s="22" t="str">
        <f>IF(AND($AK13&lt;20,AJ13&lt;10000),"Nanophytoplankton","Microphytoplankton")</f>
        <v>Nanophytoplankton</v>
      </c>
      <c r="AR13" s="22">
        <v>1</v>
      </c>
      <c r="AS13" s="22">
        <v>1</v>
      </c>
      <c r="AT13" s="22">
        <v>0</v>
      </c>
      <c r="AU13" s="22">
        <v>0</v>
      </c>
      <c r="AV13" s="22">
        <v>0</v>
      </c>
      <c r="AW13" s="22">
        <v>0</v>
      </c>
      <c r="AX13" s="22">
        <v>0</v>
      </c>
      <c r="AY13" s="22">
        <v>1</v>
      </c>
      <c r="BH13" s="22">
        <f t="shared" si="0"/>
        <v>0.21005497558917513</v>
      </c>
    </row>
    <row r="14" spans="1:60">
      <c r="BH14" s="22"/>
    </row>
    <row r="15" spans="1:60" s="22" customFormat="1" ht="13">
      <c r="A15" s="22" t="s">
        <v>334</v>
      </c>
      <c r="B15" s="22" t="s">
        <v>149</v>
      </c>
      <c r="C15" s="22" t="s">
        <v>150</v>
      </c>
      <c r="D15" s="23" t="s">
        <v>151</v>
      </c>
      <c r="E15" s="22" t="s">
        <v>61</v>
      </c>
      <c r="F15" s="22" t="s">
        <v>152</v>
      </c>
      <c r="G15" s="22" t="s">
        <v>60</v>
      </c>
      <c r="H15" s="22" t="s">
        <v>326</v>
      </c>
      <c r="I15" s="22" t="s">
        <v>35</v>
      </c>
      <c r="J15" s="22" t="s">
        <v>335</v>
      </c>
      <c r="N15" s="22" t="s">
        <v>336</v>
      </c>
      <c r="O15" s="22" t="s">
        <v>158</v>
      </c>
      <c r="P15" s="22">
        <v>10412</v>
      </c>
      <c r="Q15" s="21">
        <v>2</v>
      </c>
      <c r="R15" s="21">
        <v>2</v>
      </c>
      <c r="S15" s="21">
        <v>2</v>
      </c>
      <c r="T15" s="22" t="s">
        <v>246</v>
      </c>
      <c r="U15" s="21">
        <v>1</v>
      </c>
      <c r="V15" s="21">
        <v>1</v>
      </c>
      <c r="W15" s="24">
        <f>(4*3.14*(((Q15^1.6*R15^1.6+Q15^1.6*S15^1.6+R15^1.6+S15^1.6)/3)^(1/1.6)))*(1/V15)</f>
        <v>46.59880302207403</v>
      </c>
      <c r="X15" s="24">
        <f>3.14/6*Q15*R15*S15*U15</f>
        <v>4.1866666666666665</v>
      </c>
      <c r="Y15" s="21">
        <v>4</v>
      </c>
      <c r="Z15" s="24">
        <f>Y15*W15</f>
        <v>186.39521208829612</v>
      </c>
      <c r="AA15" s="24">
        <f>Y15*X15</f>
        <v>16.746666666666666</v>
      </c>
      <c r="AB15" s="21">
        <v>10</v>
      </c>
      <c r="AC15" s="21">
        <v>10</v>
      </c>
      <c r="AD15" s="21">
        <v>6</v>
      </c>
      <c r="AE15" s="22" t="s">
        <v>330</v>
      </c>
      <c r="AF15" s="21">
        <v>0.2</v>
      </c>
      <c r="AG15" s="22">
        <v>1</v>
      </c>
      <c r="AH15" s="25">
        <f>(AB15*AC15*2+AB15*AD15*2+AC15*AD15*2)/AG15</f>
        <v>440</v>
      </c>
      <c r="AI15" s="25">
        <f>AB15*AC15*AD15*AF15</f>
        <v>120</v>
      </c>
      <c r="AJ15" s="21">
        <v>16.746666666666666</v>
      </c>
      <c r="AK15" s="21">
        <v>10</v>
      </c>
      <c r="AL15" s="22" t="s">
        <v>161</v>
      </c>
      <c r="AM15" s="22">
        <v>0.22</v>
      </c>
      <c r="AO15" s="22" t="s">
        <v>331</v>
      </c>
      <c r="AP15" s="22" t="s">
        <v>230</v>
      </c>
      <c r="AQ15" s="22" t="str">
        <f>IF(AND($AK15&lt;20,AJ15&lt;10000),"Nanophytoplankton","Microphytoplankton")</f>
        <v>Nanophytoplankton</v>
      </c>
      <c r="AR15" s="22">
        <v>0</v>
      </c>
      <c r="AS15" s="22">
        <v>0</v>
      </c>
      <c r="AT15" s="22">
        <v>0</v>
      </c>
      <c r="AU15" s="22">
        <v>1</v>
      </c>
      <c r="AV15" s="22">
        <v>0</v>
      </c>
      <c r="AW15" s="22">
        <v>0</v>
      </c>
      <c r="AX15" s="22">
        <v>0</v>
      </c>
      <c r="AY15" s="22">
        <v>1</v>
      </c>
      <c r="AZ15" s="22">
        <v>1</v>
      </c>
      <c r="BA15" s="22">
        <v>3</v>
      </c>
      <c r="BB15" s="22">
        <v>3</v>
      </c>
      <c r="BC15" s="22">
        <v>2</v>
      </c>
      <c r="BD15" s="22">
        <v>1</v>
      </c>
      <c r="BE15" s="22">
        <v>0</v>
      </c>
      <c r="BH15" s="22">
        <f t="shared" si="0"/>
        <v>8.9844940108942853E-2</v>
      </c>
    </row>
    <row r="16" spans="1:60" s="22" customFormat="1" ht="13">
      <c r="A16" s="22" t="s">
        <v>337</v>
      </c>
      <c r="B16" s="22" t="s">
        <v>149</v>
      </c>
      <c r="C16" s="22" t="s">
        <v>150</v>
      </c>
      <c r="D16" s="23" t="s">
        <v>151</v>
      </c>
      <c r="E16" s="22" t="s">
        <v>61</v>
      </c>
      <c r="F16" s="22" t="s">
        <v>152</v>
      </c>
      <c r="G16" s="22" t="s">
        <v>60</v>
      </c>
      <c r="H16" s="22" t="s">
        <v>326</v>
      </c>
      <c r="I16" s="22" t="s">
        <v>35</v>
      </c>
      <c r="J16" s="22" t="s">
        <v>335</v>
      </c>
      <c r="K16" s="22" t="s">
        <v>241</v>
      </c>
      <c r="L16" s="22" t="s">
        <v>289</v>
      </c>
      <c r="N16" s="22" t="s">
        <v>336</v>
      </c>
      <c r="O16" s="22" t="s">
        <v>158</v>
      </c>
      <c r="P16" s="22">
        <v>10413</v>
      </c>
      <c r="Q16" s="21">
        <v>2</v>
      </c>
      <c r="R16" s="21">
        <v>2</v>
      </c>
      <c r="S16" s="21">
        <v>2</v>
      </c>
      <c r="T16" s="22" t="s">
        <v>246</v>
      </c>
      <c r="U16" s="21">
        <v>1</v>
      </c>
      <c r="V16" s="21">
        <v>1</v>
      </c>
      <c r="W16" s="24">
        <f>(4*3.14*(((Q16^1.6*R16^1.6+Q16^1.6*S16^1.6+R16^1.6+S16^1.6)/3)^(1/1.6)))*(1/V16)</f>
        <v>46.59880302207403</v>
      </c>
      <c r="X16" s="24">
        <f>3.14/6*Q16*R16*S16*U16</f>
        <v>4.1866666666666665</v>
      </c>
      <c r="Y16" s="21">
        <v>150</v>
      </c>
      <c r="Z16" s="24">
        <f>Y16*W16</f>
        <v>6989.8204533111048</v>
      </c>
      <c r="AA16" s="24">
        <f>Y16*X16</f>
        <v>628</v>
      </c>
      <c r="AB16" s="21">
        <v>50</v>
      </c>
      <c r="AC16" s="21">
        <v>50</v>
      </c>
      <c r="AD16" s="21">
        <v>50</v>
      </c>
      <c r="AE16" s="22" t="s">
        <v>281</v>
      </c>
      <c r="AF16" s="21">
        <v>0.1</v>
      </c>
      <c r="AG16" s="22">
        <v>1</v>
      </c>
      <c r="AH16" s="24">
        <f>(4*3.14*(((AB16^1.6*AC16^1.6+AB16^1.6*AD16^1.6+AC16^1.6+AD16^1.6)/3)^(1/1.6)))*(1/AG16)</f>
        <v>24400.082151651244</v>
      </c>
      <c r="AI16" s="24">
        <f>3.14/6*AB16*AC16*AD16*AF16</f>
        <v>6541.666666666667</v>
      </c>
      <c r="AJ16" s="21">
        <v>628</v>
      </c>
      <c r="AK16" s="21">
        <v>10</v>
      </c>
      <c r="AL16" s="22" t="s">
        <v>338</v>
      </c>
      <c r="AM16" s="22">
        <v>0.22</v>
      </c>
      <c r="AO16" s="22" t="s">
        <v>331</v>
      </c>
      <c r="AP16" s="22" t="s">
        <v>230</v>
      </c>
      <c r="AQ16" s="22" t="str">
        <f>IF(AND($AK16&lt;20,AJ16&lt;10000),"Nanophytoplankton","Microphytoplankton")</f>
        <v>Nanophytoplankton</v>
      </c>
      <c r="AR16" s="22">
        <v>0</v>
      </c>
      <c r="AS16" s="22">
        <v>0</v>
      </c>
      <c r="AT16" s="22">
        <v>0</v>
      </c>
      <c r="AU16" s="22">
        <v>1</v>
      </c>
      <c r="AV16" s="22">
        <v>0</v>
      </c>
      <c r="AW16" s="22">
        <v>0</v>
      </c>
      <c r="AX16" s="22">
        <v>0</v>
      </c>
      <c r="AY16" s="22">
        <v>1</v>
      </c>
      <c r="AZ16" s="22">
        <v>1</v>
      </c>
      <c r="BA16" s="22">
        <v>3</v>
      </c>
      <c r="BB16" s="22">
        <v>3</v>
      </c>
      <c r="BC16" s="22">
        <v>2</v>
      </c>
      <c r="BD16" s="22">
        <v>1</v>
      </c>
      <c r="BE16" s="22">
        <v>0</v>
      </c>
      <c r="BH16" s="22">
        <f t="shared" si="0"/>
        <v>8.9844940108942853E-2</v>
      </c>
    </row>
    <row r="17" spans="1:60" s="22" customFormat="1" ht="13">
      <c r="A17" s="21" t="s">
        <v>3232</v>
      </c>
      <c r="B17" s="22" t="s">
        <v>663</v>
      </c>
      <c r="C17" s="23" t="s">
        <v>2223</v>
      </c>
      <c r="D17" s="22" t="s">
        <v>3188</v>
      </c>
      <c r="E17" s="23" t="s">
        <v>3189</v>
      </c>
      <c r="F17" s="23" t="s">
        <v>3190</v>
      </c>
      <c r="G17" s="23" t="s">
        <v>3191</v>
      </c>
      <c r="H17" s="23" t="s">
        <v>3200</v>
      </c>
      <c r="I17" s="22" t="s">
        <v>48</v>
      </c>
      <c r="J17" s="21" t="s">
        <v>3233</v>
      </c>
      <c r="K17" s="21"/>
      <c r="L17" s="21"/>
      <c r="N17" s="22" t="s">
        <v>3234</v>
      </c>
      <c r="O17" s="22" t="s">
        <v>3196</v>
      </c>
      <c r="P17" s="21">
        <v>90380</v>
      </c>
      <c r="Q17" s="21">
        <v>310</v>
      </c>
      <c r="R17" s="21">
        <v>30</v>
      </c>
      <c r="S17" s="21">
        <v>30</v>
      </c>
      <c r="T17" s="21" t="s">
        <v>160</v>
      </c>
      <c r="U17" s="21">
        <v>1</v>
      </c>
      <c r="V17" s="21">
        <v>1</v>
      </c>
      <c r="W17" s="24">
        <f>3.14*R17*Q17+2*3.14*(S17/2)^2/V17</f>
        <v>30615</v>
      </c>
      <c r="X17" s="25">
        <f>(3.14/4*R17^2*Q17)*U17</f>
        <v>219015</v>
      </c>
      <c r="Y17" s="21">
        <v>1</v>
      </c>
      <c r="Z17" s="24">
        <f>Y17*W17</f>
        <v>30615</v>
      </c>
      <c r="AA17" s="24">
        <f>Y17*X17</f>
        <v>219015</v>
      </c>
      <c r="AB17" s="21"/>
      <c r="AC17" s="21"/>
      <c r="AD17" s="21"/>
      <c r="AE17" s="21"/>
      <c r="AF17" s="21"/>
      <c r="AG17" s="21"/>
      <c r="AH17" s="24"/>
      <c r="AI17" s="24"/>
      <c r="AJ17" s="21">
        <v>73042</v>
      </c>
      <c r="AK17" s="21">
        <v>310</v>
      </c>
      <c r="AL17" s="22" t="s">
        <v>161</v>
      </c>
      <c r="AM17" s="22">
        <v>0.11</v>
      </c>
      <c r="AO17" s="22" t="s">
        <v>1517</v>
      </c>
      <c r="AP17" s="22" t="s">
        <v>162</v>
      </c>
      <c r="AQ17" s="22" t="str">
        <f>IF(AND($AK17&lt;20,AJ17&lt;10000),"Nanophytoplankton","Microphytoplankton")</f>
        <v>Microphytoplankton</v>
      </c>
      <c r="AR17" s="22">
        <v>0</v>
      </c>
      <c r="AS17" s="22">
        <v>0</v>
      </c>
      <c r="AT17" s="22">
        <v>0</v>
      </c>
      <c r="AU17" s="22">
        <v>0</v>
      </c>
      <c r="AV17" s="22">
        <v>0</v>
      </c>
      <c r="AW17" s="22">
        <v>0</v>
      </c>
      <c r="AX17" s="22">
        <v>0</v>
      </c>
      <c r="AY17" s="22">
        <v>1</v>
      </c>
      <c r="BH17" s="22">
        <f t="shared" si="0"/>
        <v>7.1538461538461542</v>
      </c>
    </row>
    <row r="18" spans="1:60" ht="17">
      <c r="A18" s="53" t="s">
        <v>3591</v>
      </c>
      <c r="E18" s="23" t="s">
        <v>64</v>
      </c>
      <c r="I18" t="s">
        <v>57</v>
      </c>
      <c r="Q18" s="65">
        <v>26</v>
      </c>
      <c r="R18" s="65">
        <v>14</v>
      </c>
      <c r="S18" s="65">
        <v>14</v>
      </c>
      <c r="U18" s="21">
        <v>1</v>
      </c>
      <c r="V18" s="21">
        <v>1</v>
      </c>
      <c r="W18" s="24">
        <f>(4*3.14*(((Q18^1.6*R18^1.6+Q18^1.6*S18^1.6+R18^1.6+S18^1.6)/3)^(1/1.6)))*(1/V18)</f>
        <v>3560.4761982259806</v>
      </c>
      <c r="X18" s="24">
        <f>3.14/6*Q18*R18*S18*U18</f>
        <v>2666.9066666666663</v>
      </c>
      <c r="BH18" s="22">
        <f t="shared" si="0"/>
        <v>0.74903089311352833</v>
      </c>
    </row>
    <row r="19" spans="1:60" ht="17">
      <c r="A19" s="53" t="s">
        <v>3592</v>
      </c>
      <c r="E19" s="22" t="s">
        <v>61</v>
      </c>
      <c r="I19" t="s">
        <v>3605</v>
      </c>
      <c r="Q19" s="21">
        <v>1.5</v>
      </c>
      <c r="R19" s="21">
        <v>1.5</v>
      </c>
      <c r="S19" s="21">
        <v>1.5</v>
      </c>
      <c r="U19" s="21">
        <v>1</v>
      </c>
      <c r="V19" s="22">
        <v>1</v>
      </c>
      <c r="W19" s="25">
        <f>4*3.14*(R19/2)*(Q19/2)/V19</f>
        <v>7.0649999999999995</v>
      </c>
      <c r="X19" s="25">
        <f>(3.14/6*(Q19*S19*R19))*U19</f>
        <v>1.7662499999999999</v>
      </c>
      <c r="Y19" s="21">
        <v>20</v>
      </c>
      <c r="AM19" s="22">
        <v>0.22</v>
      </c>
      <c r="BH19" s="22">
        <f t="shared" si="0"/>
        <v>0.25</v>
      </c>
    </row>
    <row r="20" spans="1:60" s="22" customFormat="1" ht="13">
      <c r="A20" s="21" t="s">
        <v>1731</v>
      </c>
      <c r="B20" s="22" t="s">
        <v>663</v>
      </c>
      <c r="C20" s="23" t="s">
        <v>822</v>
      </c>
      <c r="D20" s="23" t="s">
        <v>965</v>
      </c>
      <c r="E20" s="22" t="s">
        <v>62</v>
      </c>
      <c r="F20" s="23" t="s">
        <v>1499</v>
      </c>
      <c r="G20" s="23" t="s">
        <v>1500</v>
      </c>
      <c r="H20" s="23" t="s">
        <v>1501</v>
      </c>
      <c r="I20" s="22" t="s">
        <v>1723</v>
      </c>
      <c r="J20" s="22" t="s">
        <v>185</v>
      </c>
      <c r="N20" s="22" t="s">
        <v>475</v>
      </c>
      <c r="O20" s="22" t="s">
        <v>1430</v>
      </c>
      <c r="P20" s="21">
        <v>70410</v>
      </c>
      <c r="Q20" s="21">
        <v>115</v>
      </c>
      <c r="R20" s="21">
        <v>3</v>
      </c>
      <c r="S20" s="21">
        <v>3</v>
      </c>
      <c r="T20" s="22" t="s">
        <v>330</v>
      </c>
      <c r="U20" s="21">
        <v>1</v>
      </c>
      <c r="V20" s="22">
        <v>1</v>
      </c>
      <c r="W20" s="25">
        <f>(Q20*R20*2+Q20*S20*2+R20*S20*2)/V20</f>
        <v>1398</v>
      </c>
      <c r="X20" s="25">
        <f>Q20*R20*S20*U20</f>
        <v>1035</v>
      </c>
      <c r="Y20" s="21">
        <v>1</v>
      </c>
      <c r="Z20" s="24">
        <f t="shared" ref="Z20:Z25" si="6">Y20*W20</f>
        <v>1398</v>
      </c>
      <c r="AA20" s="24">
        <f t="shared" ref="AA20:AA25" si="7">Y20*X20</f>
        <v>1035</v>
      </c>
      <c r="AB20" s="21"/>
      <c r="AC20" s="21"/>
      <c r="AD20" s="21"/>
      <c r="AE20" s="21"/>
      <c r="AF20" s="21" t="s">
        <v>247</v>
      </c>
      <c r="AG20" s="21"/>
      <c r="AH20" s="24"/>
      <c r="AI20" s="24"/>
      <c r="AJ20" s="21">
        <v>1035</v>
      </c>
      <c r="AK20" s="21">
        <v>115</v>
      </c>
      <c r="AL20" s="22" t="s">
        <v>161</v>
      </c>
      <c r="AM20" s="22">
        <v>0.11</v>
      </c>
      <c r="AO20" s="22" t="s">
        <v>1517</v>
      </c>
      <c r="AP20" s="22" t="s">
        <v>1432</v>
      </c>
      <c r="AQ20" s="22" t="str">
        <f t="shared" ref="AQ20:AQ25" si="8">IF(AND($AK20&lt;20,AJ20&lt;10000),"Nanophytoplankton","Microphytoplankton")</f>
        <v>Microphytoplankton</v>
      </c>
      <c r="AR20" s="22">
        <v>0</v>
      </c>
      <c r="AS20" s="22">
        <v>0</v>
      </c>
      <c r="AT20" s="22">
        <v>0</v>
      </c>
      <c r="AU20" s="22">
        <v>1</v>
      </c>
      <c r="AV20" s="22">
        <v>0</v>
      </c>
      <c r="AW20" s="22">
        <v>0</v>
      </c>
      <c r="AX20" s="22">
        <v>1</v>
      </c>
      <c r="AY20" s="22">
        <v>0</v>
      </c>
      <c r="BH20" s="22">
        <f t="shared" si="0"/>
        <v>0.74034334763948495</v>
      </c>
    </row>
    <row r="21" spans="1:60" s="22" customFormat="1" ht="13">
      <c r="A21" s="21" t="s">
        <v>2503</v>
      </c>
      <c r="B21" s="22" t="s">
        <v>663</v>
      </c>
      <c r="C21" s="22" t="s">
        <v>2223</v>
      </c>
      <c r="D21" s="22" t="s">
        <v>2224</v>
      </c>
      <c r="E21" s="23" t="s">
        <v>63</v>
      </c>
      <c r="F21" s="23" t="s">
        <v>2225</v>
      </c>
      <c r="G21" s="23" t="s">
        <v>2226</v>
      </c>
      <c r="H21" s="22" t="s">
        <v>2279</v>
      </c>
      <c r="I21" s="22" t="s">
        <v>2490</v>
      </c>
      <c r="J21" s="21" t="s">
        <v>2504</v>
      </c>
      <c r="K21" s="21"/>
      <c r="L21" s="21"/>
      <c r="N21" s="22" t="s">
        <v>2505</v>
      </c>
      <c r="O21" s="22" t="s">
        <v>2229</v>
      </c>
      <c r="P21" s="21">
        <v>82010</v>
      </c>
      <c r="Q21" s="21">
        <v>7</v>
      </c>
      <c r="R21" s="21">
        <v>7</v>
      </c>
      <c r="S21" s="21">
        <v>7</v>
      </c>
      <c r="T21" s="21" t="s">
        <v>281</v>
      </c>
      <c r="U21" s="21">
        <v>1</v>
      </c>
      <c r="V21" s="21">
        <v>1</v>
      </c>
      <c r="W21" s="24">
        <f>(4*3.14*(((Q21^1.6*R21^1.6+Q21^1.6*S21^1.6+R21^1.6+S21^1.6)/3)^(1/1.6)))*(1/V21)</f>
        <v>490.83181458055361</v>
      </c>
      <c r="X21" s="24">
        <f>3.14/6*Q21*R21*S21*U21</f>
        <v>179.50333333333333</v>
      </c>
      <c r="Y21" s="21">
        <v>32</v>
      </c>
      <c r="Z21" s="24">
        <f t="shared" si="6"/>
        <v>15706.618066577716</v>
      </c>
      <c r="AA21" s="24">
        <f t="shared" si="7"/>
        <v>5744.1066666666666</v>
      </c>
      <c r="AB21" s="21">
        <v>42</v>
      </c>
      <c r="AC21" s="21">
        <v>42</v>
      </c>
      <c r="AD21" s="21">
        <v>42</v>
      </c>
      <c r="AE21" s="21" t="s">
        <v>246</v>
      </c>
      <c r="AF21" s="21">
        <v>0.1</v>
      </c>
      <c r="AG21" s="21">
        <v>1</v>
      </c>
      <c r="AH21" s="25">
        <f>4*3.14*(AC21/2)*(AB21/2)/AG21</f>
        <v>5538.96</v>
      </c>
      <c r="AI21" s="25">
        <f>(3.14/6*(AD21*AB21*AC21))*AF21</f>
        <v>3877.2720000000004</v>
      </c>
      <c r="AJ21" s="21">
        <v>5747</v>
      </c>
      <c r="AK21" s="21">
        <v>80</v>
      </c>
      <c r="AL21" s="22" t="s">
        <v>161</v>
      </c>
      <c r="AM21" s="22">
        <v>0.16</v>
      </c>
      <c r="AN21" s="38" t="s">
        <v>2282</v>
      </c>
      <c r="AO21" s="22" t="s">
        <v>2282</v>
      </c>
      <c r="AP21" s="22" t="s">
        <v>230</v>
      </c>
      <c r="AQ21" s="22" t="str">
        <f t="shared" si="8"/>
        <v>Microphytoplankton</v>
      </c>
      <c r="AR21" s="22">
        <v>0</v>
      </c>
      <c r="AS21" s="22">
        <v>0</v>
      </c>
      <c r="AT21" s="22">
        <v>0</v>
      </c>
      <c r="AU21" s="22">
        <v>1</v>
      </c>
      <c r="AV21" s="22">
        <v>0</v>
      </c>
      <c r="AW21" s="22">
        <v>0</v>
      </c>
      <c r="AX21" s="22">
        <v>0</v>
      </c>
      <c r="AY21" s="22">
        <v>1</v>
      </c>
      <c r="AZ21" s="22">
        <v>0</v>
      </c>
      <c r="BA21" s="22">
        <v>0</v>
      </c>
      <c r="BB21" s="22">
        <v>2</v>
      </c>
      <c r="BC21" s="22">
        <v>4</v>
      </c>
      <c r="BD21" s="22">
        <v>4</v>
      </c>
      <c r="BE21" s="22">
        <v>0</v>
      </c>
      <c r="BH21" s="22">
        <f t="shared" si="0"/>
        <v>0.36571250681199247</v>
      </c>
    </row>
    <row r="22" spans="1:60" s="22" customFormat="1" ht="13">
      <c r="A22" s="21" t="s">
        <v>1152</v>
      </c>
      <c r="B22" s="22" t="s">
        <v>663</v>
      </c>
      <c r="C22" s="23" t="s">
        <v>822</v>
      </c>
      <c r="D22" s="23" t="s">
        <v>965</v>
      </c>
      <c r="E22" s="22" t="s">
        <v>1153</v>
      </c>
      <c r="F22" s="23" t="s">
        <v>1154</v>
      </c>
      <c r="G22" s="22" t="s">
        <v>1155</v>
      </c>
      <c r="H22" s="22" t="s">
        <v>1156</v>
      </c>
      <c r="I22" s="22" t="s">
        <v>1157</v>
      </c>
      <c r="J22" s="22" t="s">
        <v>1158</v>
      </c>
      <c r="N22" s="22" t="s">
        <v>850</v>
      </c>
      <c r="O22" s="22" t="s">
        <v>962</v>
      </c>
      <c r="P22" s="21">
        <v>51200</v>
      </c>
      <c r="Q22" s="21">
        <v>4.5</v>
      </c>
      <c r="R22" s="21">
        <v>4.5</v>
      </c>
      <c r="S22" s="21">
        <v>3</v>
      </c>
      <c r="T22" s="22" t="s">
        <v>281</v>
      </c>
      <c r="U22" s="21">
        <v>1.1000000000000001</v>
      </c>
      <c r="V22" s="21">
        <v>1.1000000000000001</v>
      </c>
      <c r="W22" s="24">
        <f>(4*3.14*(((Q22^1.6*R22^1.6+Q22^1.6*S22^1.6+R22^1.6+S22^1.6)/3)^(1/1.6)))*(1/V22)</f>
        <v>159.72721905179992</v>
      </c>
      <c r="X22" s="24">
        <f>3.14/6*Q22*R22*S22*U22</f>
        <v>34.97175</v>
      </c>
      <c r="Y22" s="21">
        <v>1</v>
      </c>
      <c r="Z22" s="24">
        <f t="shared" si="6"/>
        <v>159.72721905179992</v>
      </c>
      <c r="AA22" s="24">
        <f t="shared" si="7"/>
        <v>34.97175</v>
      </c>
      <c r="AB22" s="21"/>
      <c r="AC22" s="21"/>
      <c r="AD22" s="21"/>
      <c r="AE22" s="21"/>
      <c r="AF22" s="21" t="s">
        <v>247</v>
      </c>
      <c r="AG22" s="21"/>
      <c r="AH22" s="24"/>
      <c r="AI22" s="24"/>
      <c r="AJ22" s="21">
        <v>35</v>
      </c>
      <c r="AK22" s="21">
        <v>4.5</v>
      </c>
      <c r="AL22" s="22" t="s">
        <v>161</v>
      </c>
      <c r="AM22" s="22">
        <v>0.11</v>
      </c>
      <c r="AO22" s="22" t="s">
        <v>1057</v>
      </c>
      <c r="AP22" s="22" t="s">
        <v>963</v>
      </c>
      <c r="AQ22" s="22" t="str">
        <f t="shared" si="8"/>
        <v>Nanophytoplankton</v>
      </c>
      <c r="AR22" s="22">
        <v>1</v>
      </c>
      <c r="AS22" s="22">
        <v>1</v>
      </c>
      <c r="AT22" s="22">
        <v>0</v>
      </c>
      <c r="AU22" s="22">
        <v>0</v>
      </c>
      <c r="AV22" s="22">
        <v>0</v>
      </c>
      <c r="AW22" s="22">
        <v>0</v>
      </c>
      <c r="AX22" s="22">
        <v>1</v>
      </c>
      <c r="AY22" s="22">
        <v>0</v>
      </c>
      <c r="BH22" s="22">
        <f t="shared" si="0"/>
        <v>0.21894671557925627</v>
      </c>
    </row>
    <row r="23" spans="1:60" s="22" customFormat="1" ht="13">
      <c r="A23" s="22" t="s">
        <v>1829</v>
      </c>
      <c r="B23" s="22" t="s">
        <v>663</v>
      </c>
      <c r="C23" s="23" t="s">
        <v>822</v>
      </c>
      <c r="D23" s="23" t="s">
        <v>965</v>
      </c>
      <c r="E23" s="22" t="s">
        <v>62</v>
      </c>
      <c r="F23" s="23" t="s">
        <v>1499</v>
      </c>
      <c r="G23" s="23" t="s">
        <v>1500</v>
      </c>
      <c r="H23" s="23" t="s">
        <v>1501</v>
      </c>
      <c r="I23" s="22" t="s">
        <v>1805</v>
      </c>
      <c r="J23" s="22" t="s">
        <v>1830</v>
      </c>
      <c r="N23" s="22" t="s">
        <v>1831</v>
      </c>
      <c r="O23" s="22" t="s">
        <v>1430</v>
      </c>
      <c r="P23" s="21">
        <v>70614</v>
      </c>
      <c r="Q23" s="22">
        <v>19.5</v>
      </c>
      <c r="R23" s="22">
        <v>7</v>
      </c>
      <c r="S23" s="22">
        <v>4.5</v>
      </c>
      <c r="T23" s="22" t="s">
        <v>330</v>
      </c>
      <c r="U23" s="22">
        <v>0.7</v>
      </c>
      <c r="V23" s="21">
        <v>0.7</v>
      </c>
      <c r="W23" s="25">
        <f>(Q23*R23*2+Q23*S23*2+R23*S23*2)/V23</f>
        <v>730.71428571428578</v>
      </c>
      <c r="X23" s="25">
        <f>Q23*R23*S23*U23</f>
        <v>429.97499999999997</v>
      </c>
      <c r="Y23" s="21">
        <v>1</v>
      </c>
      <c r="Z23" s="24">
        <f t="shared" si="6"/>
        <v>730.71428571428578</v>
      </c>
      <c r="AA23" s="24">
        <f t="shared" si="7"/>
        <v>429.97499999999997</v>
      </c>
      <c r="AE23" s="21"/>
      <c r="AF23" s="21" t="s">
        <v>247</v>
      </c>
      <c r="AH23" s="25"/>
      <c r="AI23" s="25"/>
      <c r="AJ23" s="21">
        <v>441</v>
      </c>
      <c r="AK23" s="21">
        <v>19.5</v>
      </c>
      <c r="AL23" s="22" t="s">
        <v>161</v>
      </c>
      <c r="AM23" s="22">
        <v>0.11</v>
      </c>
      <c r="AO23" s="22" t="s">
        <v>383</v>
      </c>
      <c r="AP23" s="22" t="s">
        <v>1432</v>
      </c>
      <c r="AQ23" s="22" t="str">
        <f t="shared" si="8"/>
        <v>Nanophytoplankton</v>
      </c>
      <c r="AR23" s="22">
        <v>0</v>
      </c>
      <c r="AS23" s="22">
        <v>0</v>
      </c>
      <c r="AT23" s="22">
        <v>0</v>
      </c>
      <c r="AU23" s="22">
        <v>1</v>
      </c>
      <c r="AV23" s="22">
        <v>1</v>
      </c>
      <c r="AW23" s="22">
        <v>0</v>
      </c>
      <c r="AX23" s="22">
        <v>1</v>
      </c>
      <c r="AY23" s="22">
        <v>0</v>
      </c>
      <c r="BH23" s="22">
        <f t="shared" si="0"/>
        <v>0.58843108504398822</v>
      </c>
    </row>
    <row r="24" spans="1:60" s="22" customFormat="1" ht="13">
      <c r="A24" s="22" t="s">
        <v>1832</v>
      </c>
      <c r="B24" s="22" t="s">
        <v>663</v>
      </c>
      <c r="C24" s="23" t="s">
        <v>822</v>
      </c>
      <c r="D24" s="23" t="s">
        <v>965</v>
      </c>
      <c r="E24" s="22" t="s">
        <v>62</v>
      </c>
      <c r="F24" s="23" t="s">
        <v>1499</v>
      </c>
      <c r="G24" s="23" t="s">
        <v>1500</v>
      </c>
      <c r="H24" s="23" t="s">
        <v>1501</v>
      </c>
      <c r="I24" s="22" t="s">
        <v>1805</v>
      </c>
      <c r="J24" s="22" t="s">
        <v>1830</v>
      </c>
      <c r="K24" s="22" t="s">
        <v>184</v>
      </c>
      <c r="L24" s="22" t="s">
        <v>1833</v>
      </c>
      <c r="N24" s="22" t="s">
        <v>1834</v>
      </c>
      <c r="O24" s="22" t="s">
        <v>1430</v>
      </c>
      <c r="P24" s="21">
        <v>70616</v>
      </c>
      <c r="Q24" s="22">
        <v>19.5</v>
      </c>
      <c r="R24" s="22">
        <v>7</v>
      </c>
      <c r="S24" s="22">
        <v>3.5</v>
      </c>
      <c r="T24" s="22" t="s">
        <v>330</v>
      </c>
      <c r="U24" s="22">
        <v>0.7</v>
      </c>
      <c r="V24" s="21">
        <v>0.7</v>
      </c>
      <c r="W24" s="25">
        <f>(Q24*R24*2+Q24*S24*2+R24*S24*2)/V24</f>
        <v>655</v>
      </c>
      <c r="X24" s="25">
        <f>Q24*R24*S24*U24</f>
        <v>334.42499999999995</v>
      </c>
      <c r="Y24" s="21">
        <v>1</v>
      </c>
      <c r="Z24" s="24">
        <f t="shared" si="6"/>
        <v>655</v>
      </c>
      <c r="AA24" s="24">
        <f t="shared" si="7"/>
        <v>334.42499999999995</v>
      </c>
      <c r="AE24" s="21"/>
      <c r="AF24" s="21" t="s">
        <v>247</v>
      </c>
      <c r="AH24" s="25"/>
      <c r="AI24" s="25"/>
      <c r="AJ24" s="21">
        <v>315</v>
      </c>
      <c r="AK24" s="21">
        <v>19.5</v>
      </c>
      <c r="AL24" s="22" t="s">
        <v>161</v>
      </c>
      <c r="AM24" s="22">
        <v>0.11</v>
      </c>
      <c r="AO24" s="22" t="s">
        <v>383</v>
      </c>
      <c r="AP24" s="22" t="s">
        <v>1432</v>
      </c>
      <c r="AQ24" s="22" t="str">
        <f t="shared" si="8"/>
        <v>Nanophytoplankton</v>
      </c>
      <c r="AR24" s="22">
        <v>0</v>
      </c>
      <c r="AS24" s="22">
        <v>0</v>
      </c>
      <c r="AT24" s="22">
        <v>0</v>
      </c>
      <c r="AU24" s="22">
        <v>1</v>
      </c>
      <c r="AV24" s="22">
        <v>1</v>
      </c>
      <c r="AW24" s="22">
        <v>0</v>
      </c>
      <c r="AX24" s="22">
        <v>1</v>
      </c>
      <c r="AY24" s="22">
        <v>0</v>
      </c>
      <c r="BH24" s="22">
        <f t="shared" si="0"/>
        <v>0.51057251908396939</v>
      </c>
    </row>
    <row r="25" spans="1:60" s="22" customFormat="1" ht="13">
      <c r="A25" s="21" t="s">
        <v>1835</v>
      </c>
      <c r="B25" s="22" t="s">
        <v>663</v>
      </c>
      <c r="C25" s="23" t="s">
        <v>822</v>
      </c>
      <c r="D25" s="23" t="s">
        <v>965</v>
      </c>
      <c r="E25" s="22" t="s">
        <v>62</v>
      </c>
      <c r="F25" s="23" t="s">
        <v>1499</v>
      </c>
      <c r="G25" s="23" t="s">
        <v>1500</v>
      </c>
      <c r="H25" s="23" t="s">
        <v>1501</v>
      </c>
      <c r="I25" s="22" t="s">
        <v>1805</v>
      </c>
      <c r="J25" s="21" t="s">
        <v>1830</v>
      </c>
      <c r="K25" s="21" t="s">
        <v>184</v>
      </c>
      <c r="L25" s="21" t="s">
        <v>1836</v>
      </c>
      <c r="N25" s="22" t="s">
        <v>1837</v>
      </c>
      <c r="O25" s="22" t="s">
        <v>1430</v>
      </c>
      <c r="P25" s="22">
        <v>70640</v>
      </c>
      <c r="Q25" s="21">
        <v>19</v>
      </c>
      <c r="R25" s="21">
        <v>4</v>
      </c>
      <c r="S25" s="21">
        <v>3</v>
      </c>
      <c r="T25" s="22" t="s">
        <v>330</v>
      </c>
      <c r="U25" s="21">
        <v>0.8</v>
      </c>
      <c r="V25" s="21">
        <v>0.8</v>
      </c>
      <c r="W25" s="25">
        <f>(Q25*R25*2+Q25*S25*2+R25*S25*2)/V25</f>
        <v>362.5</v>
      </c>
      <c r="X25" s="25">
        <f>Q25*R25*S25*U25</f>
        <v>182.4</v>
      </c>
      <c r="Y25" s="21">
        <v>1</v>
      </c>
      <c r="Z25" s="24">
        <f t="shared" si="6"/>
        <v>362.5</v>
      </c>
      <c r="AA25" s="24">
        <f t="shared" si="7"/>
        <v>182.4</v>
      </c>
      <c r="AB25" s="21"/>
      <c r="AC25" s="21"/>
      <c r="AD25" s="21"/>
      <c r="AE25" s="21"/>
      <c r="AF25" s="21" t="s">
        <v>247</v>
      </c>
      <c r="AG25" s="21"/>
      <c r="AH25" s="24"/>
      <c r="AI25" s="24"/>
      <c r="AJ25" s="21">
        <v>182.4</v>
      </c>
      <c r="AK25" s="21">
        <v>19</v>
      </c>
      <c r="AL25" s="22" t="s">
        <v>161</v>
      </c>
      <c r="AM25" s="22">
        <v>0.11</v>
      </c>
      <c r="AO25" s="22" t="s">
        <v>383</v>
      </c>
      <c r="AP25" s="22" t="s">
        <v>1432</v>
      </c>
      <c r="AQ25" s="22" t="str">
        <f t="shared" si="8"/>
        <v>Nanophytoplankton</v>
      </c>
      <c r="AR25" s="22">
        <v>0</v>
      </c>
      <c r="AS25" s="22">
        <v>0</v>
      </c>
      <c r="AT25" s="22">
        <v>0</v>
      </c>
      <c r="AU25" s="22">
        <v>1</v>
      </c>
      <c r="AV25" s="22">
        <v>1</v>
      </c>
      <c r="AW25" s="22">
        <v>0</v>
      </c>
      <c r="AX25" s="22">
        <v>1</v>
      </c>
      <c r="AY25" s="22">
        <v>0</v>
      </c>
      <c r="BH25" s="22">
        <f t="shared" si="0"/>
        <v>0.50317241379310351</v>
      </c>
    </row>
    <row r="26" spans="1:60">
      <c r="BH26" s="22"/>
    </row>
    <row r="27" spans="1:60" s="22" customFormat="1" ht="28">
      <c r="A27" s="21" t="s">
        <v>548</v>
      </c>
      <c r="B27" s="22" t="s">
        <v>149</v>
      </c>
      <c r="C27" s="22" t="s">
        <v>150</v>
      </c>
      <c r="D27" s="23" t="s">
        <v>151</v>
      </c>
      <c r="E27" s="22" t="s">
        <v>61</v>
      </c>
      <c r="F27" s="22" t="s">
        <v>152</v>
      </c>
      <c r="G27" s="20" t="s">
        <v>153</v>
      </c>
      <c r="H27" s="22" t="s">
        <v>154</v>
      </c>
      <c r="I27" s="22" t="s">
        <v>549</v>
      </c>
      <c r="J27" s="22" t="s">
        <v>528</v>
      </c>
      <c r="N27" s="22" t="s">
        <v>550</v>
      </c>
      <c r="O27" s="22" t="s">
        <v>158</v>
      </c>
      <c r="P27" s="21">
        <v>11302</v>
      </c>
      <c r="Q27" s="21">
        <v>5</v>
      </c>
      <c r="R27" s="21">
        <v>1.3</v>
      </c>
      <c r="S27" s="21">
        <v>1.3</v>
      </c>
      <c r="T27" s="21" t="s">
        <v>160</v>
      </c>
      <c r="U27" s="21">
        <v>1</v>
      </c>
      <c r="V27" s="21">
        <v>1</v>
      </c>
      <c r="W27" s="24">
        <f>3.14*R27*Q27+2*3.14*(S27/2)^2/V27</f>
        <v>23.063300000000005</v>
      </c>
      <c r="X27" s="25">
        <f>(3.14/4*R27^2*Q27)*U27</f>
        <v>6.6332500000000003</v>
      </c>
      <c r="Y27" s="21">
        <v>20</v>
      </c>
      <c r="Z27" s="24">
        <f>Y27*W27</f>
        <v>461.26600000000008</v>
      </c>
      <c r="AA27" s="24">
        <f>Y27*X27</f>
        <v>132.66500000000002</v>
      </c>
      <c r="AB27" s="21">
        <v>100</v>
      </c>
      <c r="AC27" s="21">
        <v>1.3</v>
      </c>
      <c r="AD27" s="21">
        <v>1.3</v>
      </c>
      <c r="AE27" s="21" t="s">
        <v>160</v>
      </c>
      <c r="AF27" s="21">
        <v>1</v>
      </c>
      <c r="AG27" s="22">
        <v>1</v>
      </c>
      <c r="AH27" s="24">
        <f>3.14*AC27*AB27+2*3.14*(AD27/2)^2/AG27</f>
        <v>410.85330000000005</v>
      </c>
      <c r="AI27" s="25">
        <f>(3.14/4*AC27^2*AB27)*AF27</f>
        <v>132.66500000000002</v>
      </c>
      <c r="AJ27" s="21">
        <v>132.66500000000005</v>
      </c>
      <c r="AK27" s="21">
        <v>100</v>
      </c>
      <c r="AL27" s="22" t="s">
        <v>551</v>
      </c>
      <c r="AM27" s="22">
        <v>0.22</v>
      </c>
      <c r="AO27" s="22" t="s">
        <v>388</v>
      </c>
      <c r="AP27" s="22" t="s">
        <v>162</v>
      </c>
      <c r="AQ27" s="22" t="str">
        <f>IF(AND($AK27&lt;20,AJ27&lt;10000),"Nanophytoplankton","Microphytoplankton")</f>
        <v>Microphytoplankton</v>
      </c>
      <c r="AR27" s="22">
        <v>0</v>
      </c>
      <c r="AS27" s="22">
        <v>0</v>
      </c>
      <c r="AT27" s="22">
        <v>0</v>
      </c>
      <c r="AU27" s="22">
        <v>1</v>
      </c>
      <c r="AV27" s="22">
        <v>1</v>
      </c>
      <c r="AW27" s="22">
        <v>0</v>
      </c>
      <c r="AX27" s="22">
        <v>0</v>
      </c>
      <c r="AY27" s="22">
        <v>1</v>
      </c>
      <c r="BH27" s="22">
        <f t="shared" si="0"/>
        <v>0.2876106194690265</v>
      </c>
    </row>
    <row r="28" spans="1:60">
      <c r="BH28" s="22"/>
    </row>
    <row r="29" spans="1:60" s="22" customFormat="1" ht="13">
      <c r="A29" s="21" t="s">
        <v>503</v>
      </c>
      <c r="B29" s="22" t="s">
        <v>149</v>
      </c>
      <c r="C29" s="22" t="s">
        <v>150</v>
      </c>
      <c r="D29" s="23" t="s">
        <v>151</v>
      </c>
      <c r="E29" s="22" t="s">
        <v>61</v>
      </c>
      <c r="F29" s="22" t="s">
        <v>152</v>
      </c>
      <c r="G29" s="22" t="s">
        <v>60</v>
      </c>
      <c r="H29" s="22" t="s">
        <v>226</v>
      </c>
      <c r="I29" s="22" t="s">
        <v>484</v>
      </c>
      <c r="J29" s="22" t="s">
        <v>504</v>
      </c>
      <c r="N29" s="22" t="s">
        <v>167</v>
      </c>
      <c r="O29" s="22" t="s">
        <v>158</v>
      </c>
      <c r="P29" s="21">
        <v>10140</v>
      </c>
      <c r="Q29" s="21">
        <v>1</v>
      </c>
      <c r="R29" s="21">
        <v>1</v>
      </c>
      <c r="S29" s="21">
        <v>1</v>
      </c>
      <c r="T29" s="21" t="s">
        <v>281</v>
      </c>
      <c r="U29" s="21">
        <v>1</v>
      </c>
      <c r="V29" s="21">
        <v>1</v>
      </c>
      <c r="W29" s="24">
        <f>(4*3.14*(((Q29^1.6*R29^1.6+Q29^1.6*S29^1.6+R29^1.6+S29^1.6)/3)^(1/1.6)))*(1/V29)</f>
        <v>15.034062444858044</v>
      </c>
      <c r="X29" s="24">
        <f>3.14/6*Q29*R29*S29*U29</f>
        <v>0.52333333333333332</v>
      </c>
      <c r="Y29" s="21">
        <v>32</v>
      </c>
      <c r="Z29" s="24">
        <f>Y29*W29</f>
        <v>481.08999823545741</v>
      </c>
      <c r="AA29" s="24">
        <f>Y29*X29</f>
        <v>16.746666666666666</v>
      </c>
      <c r="AB29" s="21">
        <v>20</v>
      </c>
      <c r="AC29" s="21">
        <v>20</v>
      </c>
      <c r="AD29" s="21">
        <v>1</v>
      </c>
      <c r="AE29" s="21" t="s">
        <v>330</v>
      </c>
      <c r="AF29" s="21">
        <v>0.4</v>
      </c>
      <c r="AG29" s="21">
        <v>1</v>
      </c>
      <c r="AH29" s="25">
        <f>(AB29*AC29*2+AB29*AD29*2+AC29*AD29*2)/AG29</f>
        <v>880</v>
      </c>
      <c r="AI29" s="25">
        <f>AB29*AC29*AD29*AF29</f>
        <v>160</v>
      </c>
      <c r="AJ29" s="21">
        <v>16.746666666666666</v>
      </c>
      <c r="AK29" s="21">
        <v>20</v>
      </c>
      <c r="AL29" s="22" t="s">
        <v>505</v>
      </c>
      <c r="AM29" s="22">
        <v>0.22</v>
      </c>
      <c r="AN29" s="22" t="s">
        <v>331</v>
      </c>
      <c r="AO29" s="22" t="s">
        <v>331</v>
      </c>
      <c r="AP29" s="22" t="s">
        <v>230</v>
      </c>
      <c r="AQ29" s="22" t="str">
        <f>IF(AND($AK29&lt;20,AJ29&lt;10000),"Nanophytoplankton","Microphytoplankton")</f>
        <v>Microphytoplankton</v>
      </c>
      <c r="AR29" s="22">
        <v>0</v>
      </c>
      <c r="AS29" s="22">
        <v>0</v>
      </c>
      <c r="AT29" s="22">
        <v>0</v>
      </c>
      <c r="AU29" s="22">
        <v>1</v>
      </c>
      <c r="AV29" s="22">
        <v>0</v>
      </c>
      <c r="AW29" s="22">
        <v>0</v>
      </c>
      <c r="AX29" s="22">
        <v>0</v>
      </c>
      <c r="AY29" s="22">
        <v>1</v>
      </c>
      <c r="BH29" s="22">
        <f t="shared" si="0"/>
        <v>3.4809841668066506E-2</v>
      </c>
    </row>
    <row r="30" spans="1:60" s="22" customFormat="1" ht="13">
      <c r="A30" s="21" t="s">
        <v>506</v>
      </c>
      <c r="B30" s="22" t="s">
        <v>149</v>
      </c>
      <c r="C30" s="22" t="s">
        <v>150</v>
      </c>
      <c r="D30" s="23" t="s">
        <v>151</v>
      </c>
      <c r="E30" s="22" t="s">
        <v>61</v>
      </c>
      <c r="F30" s="22" t="s">
        <v>152</v>
      </c>
      <c r="G30" s="22" t="s">
        <v>60</v>
      </c>
      <c r="H30" s="22" t="s">
        <v>507</v>
      </c>
      <c r="I30" s="22" t="s">
        <v>39</v>
      </c>
      <c r="J30" s="22" t="s">
        <v>508</v>
      </c>
      <c r="N30" s="22" t="s">
        <v>413</v>
      </c>
      <c r="O30" s="22" t="s">
        <v>158</v>
      </c>
      <c r="P30" s="21">
        <v>10210</v>
      </c>
      <c r="Q30" s="21">
        <v>5</v>
      </c>
      <c r="R30" s="21">
        <v>5</v>
      </c>
      <c r="S30" s="21">
        <v>5</v>
      </c>
      <c r="T30" s="21" t="s">
        <v>246</v>
      </c>
      <c r="U30" s="21">
        <v>1</v>
      </c>
      <c r="V30" s="22">
        <v>1</v>
      </c>
      <c r="W30" s="25">
        <f>4*3.14*(R30/2)*(Q30/2)/V30</f>
        <v>78.5</v>
      </c>
      <c r="X30" s="25">
        <f>(3.14/6*(Q30*S30*R30))*U30</f>
        <v>65.416666666666671</v>
      </c>
      <c r="Y30" s="21">
        <v>80</v>
      </c>
      <c r="Z30" s="24">
        <f>Y30*W30</f>
        <v>6280</v>
      </c>
      <c r="AA30" s="24">
        <f>Y30*X30</f>
        <v>5233.3333333333339</v>
      </c>
      <c r="AB30" s="21">
        <v>100</v>
      </c>
      <c r="AC30" s="21">
        <v>100</v>
      </c>
      <c r="AD30" s="21">
        <v>100</v>
      </c>
      <c r="AE30" s="21" t="s">
        <v>246</v>
      </c>
      <c r="AF30" s="21">
        <v>0.01</v>
      </c>
      <c r="AG30" s="21">
        <v>1</v>
      </c>
      <c r="AH30" s="25">
        <f>4*3.14*(AC30/2)*(AB30/2)/AG30</f>
        <v>31400</v>
      </c>
      <c r="AI30" s="25">
        <f>(3.14/6*(AD30*AB30*AC30))*AF30</f>
        <v>5233.333333333333</v>
      </c>
      <c r="AJ30" s="21">
        <v>5236</v>
      </c>
      <c r="AK30" s="21">
        <v>100</v>
      </c>
      <c r="AL30" s="22" t="s">
        <v>161</v>
      </c>
      <c r="AM30" s="22">
        <v>0.22</v>
      </c>
      <c r="AN30" s="22" t="s">
        <v>509</v>
      </c>
      <c r="AO30" s="22" t="s">
        <v>509</v>
      </c>
      <c r="AP30" s="22" t="s">
        <v>230</v>
      </c>
      <c r="AQ30" s="22" t="str">
        <f>IF(AND($AK30&lt;20,AJ30&lt;10000),"Nanophytoplankton","Microphytoplankton")</f>
        <v>Microphytoplankton</v>
      </c>
      <c r="AR30" s="22">
        <v>0</v>
      </c>
      <c r="AS30" s="22">
        <v>0</v>
      </c>
      <c r="AT30" s="22">
        <v>0</v>
      </c>
      <c r="AU30" s="22">
        <v>1</v>
      </c>
      <c r="AV30" s="22">
        <v>0</v>
      </c>
      <c r="AW30" s="22">
        <v>0</v>
      </c>
      <c r="AX30" s="22">
        <v>0</v>
      </c>
      <c r="AY30" s="22">
        <v>1</v>
      </c>
      <c r="BH30" s="22">
        <f t="shared" si="0"/>
        <v>0.83333333333333337</v>
      </c>
    </row>
    <row r="31" spans="1:60" s="22" customFormat="1" ht="13">
      <c r="A31" s="21" t="s">
        <v>510</v>
      </c>
      <c r="B31" s="22" t="s">
        <v>149</v>
      </c>
      <c r="C31" s="22" t="s">
        <v>150</v>
      </c>
      <c r="D31" s="23" t="s">
        <v>151</v>
      </c>
      <c r="E31" s="22" t="s">
        <v>61</v>
      </c>
      <c r="F31" s="22" t="s">
        <v>152</v>
      </c>
      <c r="G31" s="22" t="s">
        <v>60</v>
      </c>
      <c r="H31" s="22" t="s">
        <v>507</v>
      </c>
      <c r="I31" s="22" t="s">
        <v>39</v>
      </c>
      <c r="J31" s="22" t="s">
        <v>508</v>
      </c>
      <c r="K31" s="22" t="s">
        <v>184</v>
      </c>
      <c r="L31" s="22" t="s">
        <v>245</v>
      </c>
      <c r="N31" s="22" t="s">
        <v>511</v>
      </c>
      <c r="O31" s="22" t="s">
        <v>158</v>
      </c>
      <c r="P31" s="21">
        <v>10211</v>
      </c>
      <c r="Q31" s="21">
        <v>5</v>
      </c>
      <c r="R31" s="21">
        <v>5</v>
      </c>
      <c r="S31" s="21">
        <v>5</v>
      </c>
      <c r="T31" s="21" t="s">
        <v>246</v>
      </c>
      <c r="U31" s="21">
        <v>1</v>
      </c>
      <c r="V31" s="22">
        <v>1</v>
      </c>
      <c r="W31" s="25">
        <f>4*3.14*(R31/2)*(Q31/2)/V31</f>
        <v>78.5</v>
      </c>
      <c r="X31" s="25">
        <f>(3.14/6*(Q31*S31*R31))*U31</f>
        <v>65.416666666666671</v>
      </c>
      <c r="Y31" s="21">
        <v>1</v>
      </c>
      <c r="Z31" s="24">
        <f>Y31*W31</f>
        <v>78.5</v>
      </c>
      <c r="AA31" s="24">
        <f>Y31*X31</f>
        <v>65.416666666666671</v>
      </c>
      <c r="AB31" s="21"/>
      <c r="AC31" s="21"/>
      <c r="AD31" s="21"/>
      <c r="AE31" s="21"/>
      <c r="AF31" s="21" t="s">
        <v>247</v>
      </c>
      <c r="AG31" s="21"/>
      <c r="AH31" s="24"/>
      <c r="AI31" s="24"/>
      <c r="AJ31" s="21">
        <v>65.45</v>
      </c>
      <c r="AK31" s="21">
        <v>5</v>
      </c>
      <c r="AL31" s="22" t="s">
        <v>161</v>
      </c>
      <c r="AM31" s="22">
        <v>0.22</v>
      </c>
      <c r="AN31" s="22" t="s">
        <v>509</v>
      </c>
      <c r="AO31" s="22" t="s">
        <v>509</v>
      </c>
      <c r="AP31" s="22" t="s">
        <v>230</v>
      </c>
      <c r="AQ31" s="22" t="str">
        <f>IF(AND($AK31&lt;20,AJ31&lt;10000),"Nanophytoplankton","Microphytoplankton")</f>
        <v>Nanophytoplankton</v>
      </c>
      <c r="AR31" s="22">
        <v>0</v>
      </c>
      <c r="AS31" s="22">
        <v>0</v>
      </c>
      <c r="AT31" s="22">
        <v>0</v>
      </c>
      <c r="AU31" s="22">
        <v>1</v>
      </c>
      <c r="AV31" s="22">
        <v>0</v>
      </c>
      <c r="AW31" s="22">
        <v>0</v>
      </c>
      <c r="AX31" s="22">
        <v>0</v>
      </c>
      <c r="AY31" s="22">
        <v>1</v>
      </c>
      <c r="BH31" s="22">
        <f t="shared" si="0"/>
        <v>0.83333333333333337</v>
      </c>
    </row>
    <row r="32" spans="1:60" s="22" customFormat="1" ht="13">
      <c r="A32" s="22" t="s">
        <v>518</v>
      </c>
      <c r="B32" s="22" t="s">
        <v>149</v>
      </c>
      <c r="C32" s="22" t="s">
        <v>150</v>
      </c>
      <c r="D32" s="23" t="s">
        <v>151</v>
      </c>
      <c r="E32" s="22" t="s">
        <v>61</v>
      </c>
      <c r="F32" s="22" t="s">
        <v>152</v>
      </c>
      <c r="G32" s="22" t="s">
        <v>60</v>
      </c>
      <c r="H32" s="22" t="s">
        <v>507</v>
      </c>
      <c r="I32" s="22" t="s">
        <v>39</v>
      </c>
      <c r="J32" s="22" t="s">
        <v>519</v>
      </c>
      <c r="N32" s="22" t="s">
        <v>520</v>
      </c>
      <c r="O32" s="22" t="s">
        <v>158</v>
      </c>
      <c r="P32" s="21">
        <v>10201</v>
      </c>
      <c r="Q32" s="22">
        <v>5</v>
      </c>
      <c r="R32" s="22">
        <v>5</v>
      </c>
      <c r="S32" s="22">
        <v>5</v>
      </c>
      <c r="T32" s="22" t="s">
        <v>246</v>
      </c>
      <c r="U32" s="21">
        <v>1</v>
      </c>
      <c r="V32" s="21">
        <v>1</v>
      </c>
      <c r="W32" s="25">
        <f>4*3.14*(R32/2)*(Q32/2)/V32</f>
        <v>78.5</v>
      </c>
      <c r="X32" s="25">
        <f>(3.14/6*(Q32*S32*R32))*U32</f>
        <v>65.416666666666671</v>
      </c>
      <c r="Y32" s="22">
        <v>50</v>
      </c>
      <c r="Z32" s="24">
        <f>Y32*W32</f>
        <v>3925</v>
      </c>
      <c r="AA32" s="24">
        <f>Y32*X32</f>
        <v>3270.8333333333335</v>
      </c>
      <c r="AB32" s="22">
        <v>15</v>
      </c>
      <c r="AC32" s="22">
        <v>15</v>
      </c>
      <c r="AD32" s="22">
        <v>15</v>
      </c>
      <c r="AE32" s="22" t="s">
        <v>159</v>
      </c>
      <c r="AF32" s="21">
        <v>0.2</v>
      </c>
      <c r="AG32" s="22">
        <v>1</v>
      </c>
      <c r="AH32" s="24">
        <f>(4*3.14*(((AB32^1.6*AC32^1.6+AB32^1.6*AD32^1.6+AC32^1.6+AD32^1.6)/3)^(1/1.6)))*(1/AG32)</f>
        <v>2211.3412553863004</v>
      </c>
      <c r="AI32" s="24">
        <f>3.14/6*AB32*AC32*AD32*AF32</f>
        <v>353.25</v>
      </c>
      <c r="AJ32" s="21">
        <v>3270.8333333333335</v>
      </c>
      <c r="AK32" s="21">
        <v>100</v>
      </c>
      <c r="AL32" s="22" t="s">
        <v>161</v>
      </c>
      <c r="AM32" s="22">
        <v>0.22</v>
      </c>
      <c r="AN32" s="22" t="s">
        <v>509</v>
      </c>
      <c r="AO32" s="22" t="s">
        <v>509</v>
      </c>
      <c r="AP32" s="22" t="s">
        <v>230</v>
      </c>
      <c r="AQ32" s="22" t="str">
        <f>IF(AND($AK32&lt;20,AJ32&lt;10000),"Nanophytoplankton","Microphytoplankton")</f>
        <v>Microphytoplankton</v>
      </c>
      <c r="AR32" s="22">
        <v>0</v>
      </c>
      <c r="AS32" s="22">
        <v>0</v>
      </c>
      <c r="AT32" s="22">
        <v>0</v>
      </c>
      <c r="AU32" s="22">
        <v>1</v>
      </c>
      <c r="AV32" s="22">
        <v>0</v>
      </c>
      <c r="AW32" s="22">
        <v>0</v>
      </c>
      <c r="AX32" s="22">
        <v>0</v>
      </c>
      <c r="AY32" s="22">
        <v>1</v>
      </c>
      <c r="BH32" s="22">
        <f t="shared" si="0"/>
        <v>0.83333333333333337</v>
      </c>
    </row>
    <row r="33" spans="1:60">
      <c r="BH33" s="22"/>
    </row>
    <row r="34" spans="1:60" s="22" customFormat="1" ht="13">
      <c r="A34" s="21" t="s">
        <v>2691</v>
      </c>
      <c r="B34" s="22" t="s">
        <v>663</v>
      </c>
      <c r="C34" s="22" t="s">
        <v>2223</v>
      </c>
      <c r="D34" s="22" t="s">
        <v>2224</v>
      </c>
      <c r="E34" s="23" t="s">
        <v>63</v>
      </c>
      <c r="F34" s="23" t="s">
        <v>2225</v>
      </c>
      <c r="G34" s="23" t="s">
        <v>2226</v>
      </c>
      <c r="H34" s="22" t="s">
        <v>2253</v>
      </c>
      <c r="I34" s="22" t="s">
        <v>2692</v>
      </c>
      <c r="J34" s="38" t="s">
        <v>2693</v>
      </c>
      <c r="K34" s="38"/>
      <c r="L34" s="38"/>
      <c r="N34" s="22" t="s">
        <v>2694</v>
      </c>
      <c r="O34" s="22" t="s">
        <v>2229</v>
      </c>
      <c r="P34" s="22">
        <v>81754</v>
      </c>
      <c r="Q34" s="22">
        <v>32</v>
      </c>
      <c r="R34" s="22">
        <v>2.4</v>
      </c>
      <c r="S34" s="22">
        <v>2.4</v>
      </c>
      <c r="T34" s="22" t="s">
        <v>281</v>
      </c>
      <c r="U34" s="22">
        <v>0.7</v>
      </c>
      <c r="V34" s="22">
        <v>0.7</v>
      </c>
      <c r="W34" s="24">
        <f>(4*3.14*(((Q34^1.6*R34^1.6+Q34^1.6*S34^1.6+R34^1.6+S34^1.6)/3)^(1/1.6)))*(1/V34)</f>
        <v>1072.1461891668425</v>
      </c>
      <c r="X34" s="24">
        <f>3.14/6*Q34*R34*S34*U34</f>
        <v>67.522559999999984</v>
      </c>
      <c r="Y34" s="22">
        <v>1</v>
      </c>
      <c r="Z34" s="24">
        <f t="shared" ref="Z34:Z42" si="9">Y34*W34</f>
        <v>1072.1461891668425</v>
      </c>
      <c r="AA34" s="24">
        <f t="shared" ref="AA34:AA42" si="10">Y34*X34</f>
        <v>67.522559999999984</v>
      </c>
      <c r="AH34" s="25"/>
      <c r="AI34" s="25"/>
      <c r="AJ34" s="21">
        <v>33.799999999999997</v>
      </c>
      <c r="AK34" s="21">
        <v>32</v>
      </c>
      <c r="AL34" s="22" t="s">
        <v>161</v>
      </c>
      <c r="AM34" s="22">
        <v>0.16</v>
      </c>
      <c r="AN34" s="38" t="s">
        <v>2257</v>
      </c>
      <c r="AO34" s="22" t="s">
        <v>2257</v>
      </c>
      <c r="AP34" s="22" t="s">
        <v>162</v>
      </c>
      <c r="AQ34" s="22" t="str">
        <f t="shared" ref="AQ34:AQ42" si="11">IF(AND($AK34&lt;20,AJ34&lt;10000),"Nanophytoplankton","Microphytoplankton")</f>
        <v>Microphytoplankton</v>
      </c>
      <c r="AR34" s="22">
        <v>0</v>
      </c>
      <c r="AS34" s="22">
        <v>0</v>
      </c>
      <c r="AT34" s="22">
        <v>0</v>
      </c>
      <c r="AU34" s="22">
        <v>0</v>
      </c>
      <c r="AV34" s="22">
        <v>0</v>
      </c>
      <c r="AW34" s="22">
        <v>0</v>
      </c>
      <c r="AX34" s="22">
        <v>0</v>
      </c>
      <c r="AY34" s="22">
        <v>1</v>
      </c>
      <c r="AZ34" s="22">
        <v>0</v>
      </c>
      <c r="BA34" s="22">
        <v>1</v>
      </c>
      <c r="BB34" s="22">
        <v>0</v>
      </c>
      <c r="BC34" s="22">
        <v>1</v>
      </c>
      <c r="BD34" s="22">
        <v>7</v>
      </c>
      <c r="BE34" s="22">
        <v>1</v>
      </c>
      <c r="BH34" s="22">
        <f t="shared" si="0"/>
        <v>6.2978874226537432E-2</v>
      </c>
    </row>
    <row r="35" spans="1:60" s="22" customFormat="1" ht="13">
      <c r="A35" s="22" t="s">
        <v>3034</v>
      </c>
      <c r="B35" s="22" t="s">
        <v>663</v>
      </c>
      <c r="C35" s="22" t="s">
        <v>2223</v>
      </c>
      <c r="D35" s="22" t="s">
        <v>2224</v>
      </c>
      <c r="E35" s="23" t="s">
        <v>63</v>
      </c>
      <c r="F35" s="23" t="s">
        <v>2225</v>
      </c>
      <c r="G35" s="23" t="s">
        <v>2226</v>
      </c>
      <c r="H35" s="22" t="s">
        <v>2253</v>
      </c>
      <c r="I35" s="22" t="s">
        <v>3035</v>
      </c>
      <c r="J35" s="22" t="s">
        <v>3036</v>
      </c>
      <c r="N35" s="22" t="s">
        <v>2497</v>
      </c>
      <c r="O35" s="22" t="s">
        <v>2229</v>
      </c>
      <c r="P35" s="22">
        <v>86410</v>
      </c>
      <c r="Q35" s="22">
        <v>5.85</v>
      </c>
      <c r="R35" s="22">
        <v>1.9</v>
      </c>
      <c r="S35" s="22">
        <v>1.9</v>
      </c>
      <c r="T35" s="22" t="s">
        <v>281</v>
      </c>
      <c r="U35" s="22">
        <v>1</v>
      </c>
      <c r="V35" s="22">
        <v>1</v>
      </c>
      <c r="W35" s="24">
        <f>(4*3.14*(((Q35^1.6*R35^1.6+Q35^1.6*S35^1.6+R35^1.6+S35^1.6)/3)^(1/1.6)))*(1/V35)</f>
        <v>112.32108765690867</v>
      </c>
      <c r="X35" s="24">
        <f>3.14/6*Q35*R35*S35*U35</f>
        <v>11.052014999999997</v>
      </c>
      <c r="Y35" s="22">
        <v>1</v>
      </c>
      <c r="Z35" s="24">
        <f t="shared" si="9"/>
        <v>112.32108765690867</v>
      </c>
      <c r="AA35" s="24">
        <f t="shared" si="10"/>
        <v>11.052014999999997</v>
      </c>
      <c r="AH35" s="25"/>
      <c r="AI35" s="25"/>
      <c r="AJ35" s="21">
        <v>17</v>
      </c>
      <c r="AK35" s="21">
        <v>6</v>
      </c>
      <c r="AL35" s="22" t="s">
        <v>161</v>
      </c>
      <c r="AM35" s="22">
        <v>0.16</v>
      </c>
      <c r="AP35" s="22" t="s">
        <v>626</v>
      </c>
      <c r="AQ35" s="22" t="str">
        <f t="shared" si="11"/>
        <v>Nanophytoplankton</v>
      </c>
      <c r="AR35" s="22">
        <v>0</v>
      </c>
      <c r="AS35" s="22">
        <v>0</v>
      </c>
      <c r="AT35" s="22">
        <v>0</v>
      </c>
      <c r="AU35" s="22">
        <v>1</v>
      </c>
      <c r="AV35" s="22">
        <v>0</v>
      </c>
      <c r="AW35" s="22">
        <v>0</v>
      </c>
      <c r="AX35" s="22">
        <v>0</v>
      </c>
      <c r="AY35" s="22">
        <v>1</v>
      </c>
      <c r="BH35" s="22">
        <f t="shared" si="0"/>
        <v>9.8396616615385915E-2</v>
      </c>
    </row>
    <row r="36" spans="1:60" s="22" customFormat="1" ht="13">
      <c r="A36" s="21" t="s">
        <v>2018</v>
      </c>
      <c r="B36" s="22" t="s">
        <v>663</v>
      </c>
      <c r="C36" s="23" t="s">
        <v>822</v>
      </c>
      <c r="D36" s="23" t="s">
        <v>965</v>
      </c>
      <c r="E36" s="22" t="s">
        <v>62</v>
      </c>
      <c r="F36" s="23" t="s">
        <v>1434</v>
      </c>
      <c r="G36" s="23" t="s">
        <v>1719</v>
      </c>
      <c r="H36" s="23" t="s">
        <v>1720</v>
      </c>
      <c r="I36" s="22" t="s">
        <v>43</v>
      </c>
      <c r="J36" s="21" t="s">
        <v>564</v>
      </c>
      <c r="K36" s="21"/>
      <c r="L36" s="21"/>
      <c r="N36" s="22" t="s">
        <v>2019</v>
      </c>
      <c r="O36" s="22" t="s">
        <v>1430</v>
      </c>
      <c r="P36" s="21">
        <v>71910</v>
      </c>
      <c r="Q36" s="21">
        <v>45</v>
      </c>
      <c r="R36" s="21">
        <v>3</v>
      </c>
      <c r="S36" s="21">
        <v>3</v>
      </c>
      <c r="T36" s="22" t="s">
        <v>330</v>
      </c>
      <c r="U36" s="21">
        <v>0.7</v>
      </c>
      <c r="V36" s="21">
        <v>0.7</v>
      </c>
      <c r="W36" s="25">
        <f>(Q36*R36*2+Q36*S36*2+R36*S36*2)/V36</f>
        <v>797.14285714285722</v>
      </c>
      <c r="X36" s="25">
        <f>Q36*R36*S36*U36</f>
        <v>283.5</v>
      </c>
      <c r="Y36" s="21">
        <v>1</v>
      </c>
      <c r="Z36" s="24">
        <f t="shared" si="9"/>
        <v>797.14285714285722</v>
      </c>
      <c r="AA36" s="24">
        <f t="shared" si="10"/>
        <v>283.5</v>
      </c>
      <c r="AB36" s="21"/>
      <c r="AC36" s="21"/>
      <c r="AD36" s="21"/>
      <c r="AE36" s="21"/>
      <c r="AF36" s="21" t="s">
        <v>247</v>
      </c>
      <c r="AG36" s="21"/>
      <c r="AH36" s="24"/>
      <c r="AI36" s="24"/>
      <c r="AJ36" s="21">
        <v>283.5</v>
      </c>
      <c r="AK36" s="21">
        <v>45</v>
      </c>
      <c r="AL36" s="22" t="s">
        <v>161</v>
      </c>
      <c r="AM36" s="22">
        <v>0.11</v>
      </c>
      <c r="AN36" s="22" t="s">
        <v>1762</v>
      </c>
      <c r="AO36" s="22" t="s">
        <v>1762</v>
      </c>
      <c r="AP36" s="22" t="s">
        <v>1432</v>
      </c>
      <c r="AQ36" s="22" t="str">
        <f t="shared" si="11"/>
        <v>Microphytoplankton</v>
      </c>
      <c r="AR36" s="22">
        <v>1</v>
      </c>
      <c r="AS36" s="22">
        <v>0</v>
      </c>
      <c r="AT36" s="22">
        <v>1</v>
      </c>
      <c r="AU36" s="22">
        <v>0</v>
      </c>
      <c r="AV36" s="22">
        <v>0</v>
      </c>
      <c r="AW36" s="22">
        <v>0</v>
      </c>
      <c r="AX36" s="22">
        <v>1</v>
      </c>
      <c r="AY36" s="22">
        <v>0</v>
      </c>
      <c r="BH36" s="22">
        <f t="shared" si="0"/>
        <v>0.35564516129032253</v>
      </c>
    </row>
    <row r="37" spans="1:60" s="22" customFormat="1" ht="13">
      <c r="A37" s="21" t="s">
        <v>2764</v>
      </c>
      <c r="B37" s="22" t="s">
        <v>663</v>
      </c>
      <c r="C37" s="22" t="s">
        <v>2223</v>
      </c>
      <c r="D37" s="22" t="s">
        <v>2224</v>
      </c>
      <c r="E37" s="23" t="s">
        <v>63</v>
      </c>
      <c r="F37" s="23" t="s">
        <v>2225</v>
      </c>
      <c r="G37" s="23" t="s">
        <v>2226</v>
      </c>
      <c r="H37" s="22" t="s">
        <v>2239</v>
      </c>
      <c r="I37" s="22" t="s">
        <v>51</v>
      </c>
      <c r="J37" s="38" t="s">
        <v>440</v>
      </c>
      <c r="K37" s="38"/>
      <c r="L37" s="38"/>
      <c r="N37" s="22" t="s">
        <v>2765</v>
      </c>
      <c r="O37" s="22" t="s">
        <v>2229</v>
      </c>
      <c r="P37" s="21">
        <v>81240</v>
      </c>
      <c r="Q37" s="22">
        <v>7</v>
      </c>
      <c r="R37" s="22">
        <v>3</v>
      </c>
      <c r="S37" s="22">
        <v>3</v>
      </c>
      <c r="T37" s="21" t="s">
        <v>159</v>
      </c>
      <c r="U37" s="21">
        <v>1</v>
      </c>
      <c r="V37" s="21">
        <v>1</v>
      </c>
      <c r="W37" s="24">
        <f>(4*3.14*(((Q37^1.6*R37^1.6+Q37^1.6*S37^1.6+R37^1.6+S37^1.6)/3)^(1/1.6)))*(1/V37)</f>
        <v>210.35649196309433</v>
      </c>
      <c r="X37" s="24">
        <f>3.14/6*Q37*R37*S37*U37</f>
        <v>32.97</v>
      </c>
      <c r="Y37" s="22">
        <v>4</v>
      </c>
      <c r="Z37" s="24">
        <f t="shared" si="9"/>
        <v>841.42596785237731</v>
      </c>
      <c r="AA37" s="24">
        <f t="shared" si="10"/>
        <v>131.88</v>
      </c>
      <c r="AB37" s="22">
        <v>12</v>
      </c>
      <c r="AC37" s="22">
        <v>7</v>
      </c>
      <c r="AD37" s="22">
        <v>7</v>
      </c>
      <c r="AE37" s="22" t="s">
        <v>159</v>
      </c>
      <c r="AF37" s="22">
        <v>0.7</v>
      </c>
      <c r="AG37" s="22">
        <v>1</v>
      </c>
      <c r="AH37" s="24">
        <f>(4*3.14*(((AB37^1.6*AC37^1.6+AB37^1.6*AD37^1.6+AC37^1.6+AD37^1.6)/3)^(1/1.6)))*(1/AG37)</f>
        <v>828.43359976626994</v>
      </c>
      <c r="AI37" s="24">
        <f>3.14/6*AB37*AC37*AD37*AF37</f>
        <v>215.40399999999997</v>
      </c>
      <c r="AJ37" s="21">
        <v>527.79999999999995</v>
      </c>
      <c r="AK37" s="21">
        <v>12</v>
      </c>
      <c r="AL37" s="22" t="s">
        <v>161</v>
      </c>
      <c r="AM37" s="22">
        <v>0.16</v>
      </c>
      <c r="AN37" s="22" t="s">
        <v>2282</v>
      </c>
      <c r="AO37" s="22" t="s">
        <v>2282</v>
      </c>
      <c r="AP37" s="22" t="s">
        <v>230</v>
      </c>
      <c r="AQ37" s="22" t="str">
        <f t="shared" si="11"/>
        <v>Nanophytoplankton</v>
      </c>
      <c r="AR37" s="22">
        <v>0</v>
      </c>
      <c r="AS37" s="22">
        <v>0</v>
      </c>
      <c r="AT37" s="22">
        <v>0</v>
      </c>
      <c r="AU37" s="22">
        <v>0</v>
      </c>
      <c r="AV37" s="22">
        <v>0</v>
      </c>
      <c r="AW37" s="22">
        <v>0</v>
      </c>
      <c r="AX37" s="22">
        <v>0</v>
      </c>
      <c r="AY37" s="22">
        <v>1</v>
      </c>
      <c r="BH37" s="22">
        <f t="shared" si="0"/>
        <v>0.15673393149085396</v>
      </c>
    </row>
    <row r="38" spans="1:60" s="22" customFormat="1" ht="28">
      <c r="A38" s="21" t="s">
        <v>583</v>
      </c>
      <c r="B38" s="22" t="s">
        <v>149</v>
      </c>
      <c r="C38" s="22" t="s">
        <v>150</v>
      </c>
      <c r="D38" s="23" t="s">
        <v>151</v>
      </c>
      <c r="E38" s="22" t="s">
        <v>61</v>
      </c>
      <c r="F38" s="22" t="s">
        <v>152</v>
      </c>
      <c r="G38" s="20" t="s">
        <v>153</v>
      </c>
      <c r="H38" s="22" t="s">
        <v>154</v>
      </c>
      <c r="I38" s="22" t="s">
        <v>563</v>
      </c>
      <c r="J38" s="22" t="s">
        <v>528</v>
      </c>
      <c r="N38" s="22" t="s">
        <v>584</v>
      </c>
      <c r="O38" s="22" t="s">
        <v>158</v>
      </c>
      <c r="P38" s="21">
        <v>10940</v>
      </c>
      <c r="Q38" s="21">
        <v>7</v>
      </c>
      <c r="R38" s="21">
        <v>1.9</v>
      </c>
      <c r="S38" s="21">
        <v>1.9</v>
      </c>
      <c r="T38" s="21" t="s">
        <v>160</v>
      </c>
      <c r="U38" s="21">
        <v>1</v>
      </c>
      <c r="V38" s="22">
        <v>1</v>
      </c>
      <c r="W38" s="24">
        <f>3.14*R38*Q38+2*3.14*(S38/2)^2/V38</f>
        <v>47.429699999999997</v>
      </c>
      <c r="X38" s="25">
        <f>(3.14/4*R38^2*Q38)*U38</f>
        <v>19.836950000000002</v>
      </c>
      <c r="Y38" s="21">
        <v>14.3</v>
      </c>
      <c r="Z38" s="24">
        <f t="shared" si="9"/>
        <v>678.24470999999994</v>
      </c>
      <c r="AA38" s="24">
        <f t="shared" si="10"/>
        <v>283.66838500000006</v>
      </c>
      <c r="AB38" s="21">
        <v>100</v>
      </c>
      <c r="AC38" s="21">
        <v>1.9</v>
      </c>
      <c r="AD38" s="21">
        <v>1.9</v>
      </c>
      <c r="AE38" s="21" t="s">
        <v>160</v>
      </c>
      <c r="AF38" s="21">
        <v>1</v>
      </c>
      <c r="AG38" s="22">
        <v>1</v>
      </c>
      <c r="AH38" s="24">
        <f>3.14*AC38*AB38+2*3.14*(AD38/2)^2/AG38</f>
        <v>602.26769999999999</v>
      </c>
      <c r="AI38" s="25">
        <f>(3.14/4*AC38^2*AB38)*AF38</f>
        <v>283.38499999999999</v>
      </c>
      <c r="AJ38" s="21">
        <v>283.5</v>
      </c>
      <c r="AK38" s="21">
        <v>100</v>
      </c>
      <c r="AL38" s="22" t="s">
        <v>161</v>
      </c>
      <c r="AM38" s="22">
        <v>0.22</v>
      </c>
      <c r="AN38" s="22" t="s">
        <v>388</v>
      </c>
      <c r="AO38" s="22" t="s">
        <v>388</v>
      </c>
      <c r="AP38" s="22" t="s">
        <v>162</v>
      </c>
      <c r="AQ38" s="22" t="str">
        <f t="shared" si="11"/>
        <v>Microphytoplankton</v>
      </c>
      <c r="AR38" s="22">
        <v>0</v>
      </c>
      <c r="AS38" s="22">
        <v>0</v>
      </c>
      <c r="AT38" s="22">
        <v>0</v>
      </c>
      <c r="AU38" s="22">
        <v>1</v>
      </c>
      <c r="AV38" s="22">
        <v>1</v>
      </c>
      <c r="AW38" s="22">
        <v>0</v>
      </c>
      <c r="AX38" s="22">
        <v>0</v>
      </c>
      <c r="AY38" s="22">
        <v>1</v>
      </c>
      <c r="BH38" s="22">
        <f t="shared" si="0"/>
        <v>0.4182389937106919</v>
      </c>
    </row>
    <row r="39" spans="1:60" s="22" customFormat="1" ht="13">
      <c r="A39" s="21" t="s">
        <v>2810</v>
      </c>
      <c r="B39" s="22" t="s">
        <v>663</v>
      </c>
      <c r="C39" s="22" t="s">
        <v>2223</v>
      </c>
      <c r="D39" s="22" t="s">
        <v>2224</v>
      </c>
      <c r="E39" s="23" t="s">
        <v>63</v>
      </c>
      <c r="F39" s="23" t="s">
        <v>2225</v>
      </c>
      <c r="G39" s="23" t="s">
        <v>2226</v>
      </c>
      <c r="H39" s="22" t="s">
        <v>2319</v>
      </c>
      <c r="I39" s="22" t="s">
        <v>52</v>
      </c>
      <c r="J39" s="21" t="s">
        <v>493</v>
      </c>
      <c r="K39" s="21"/>
      <c r="L39" s="21"/>
      <c r="N39" s="22" t="s">
        <v>2811</v>
      </c>
      <c r="O39" s="22" t="s">
        <v>2229</v>
      </c>
      <c r="P39" s="21">
        <v>82720</v>
      </c>
      <c r="Q39" s="21">
        <v>17</v>
      </c>
      <c r="R39" s="21">
        <v>17</v>
      </c>
      <c r="S39" s="21">
        <v>4</v>
      </c>
      <c r="T39" s="22" t="s">
        <v>281</v>
      </c>
      <c r="U39" s="22">
        <v>0.4</v>
      </c>
      <c r="V39" s="22">
        <v>0.4</v>
      </c>
      <c r="W39" s="24">
        <f>(4*3.14*(((Q39^1.6*R39^1.6+Q39^1.6*S39^1.6+R39^1.6+S39^1.6)/3)^(1/1.6)))*(1/V39)</f>
        <v>4876.3210833879484</v>
      </c>
      <c r="X39" s="24">
        <f>3.14/6*Q39*R39*S39*U39</f>
        <v>241.98933333333335</v>
      </c>
      <c r="Y39" s="21">
        <v>64</v>
      </c>
      <c r="Z39" s="24">
        <f t="shared" si="9"/>
        <v>312084.5493368287</v>
      </c>
      <c r="AA39" s="24">
        <f t="shared" si="10"/>
        <v>15487.317333333334</v>
      </c>
      <c r="AB39" s="21">
        <v>100</v>
      </c>
      <c r="AC39" s="21">
        <v>100</v>
      </c>
      <c r="AD39" s="21">
        <v>15</v>
      </c>
      <c r="AE39" s="21" t="s">
        <v>160</v>
      </c>
      <c r="AF39" s="22">
        <v>0.3</v>
      </c>
      <c r="AG39" s="22">
        <v>1</v>
      </c>
      <c r="AH39" s="24">
        <f>3.14*AC39*AB39+2*3.14*(AD39/2)^2/AG39</f>
        <v>31753.25</v>
      </c>
      <c r="AI39" s="25">
        <f>(3.14/4*AC39^2*AB39)*AF39</f>
        <v>235500</v>
      </c>
      <c r="AJ39" s="21">
        <v>23550</v>
      </c>
      <c r="AK39" s="21">
        <v>100</v>
      </c>
      <c r="AL39" s="22" t="s">
        <v>161</v>
      </c>
      <c r="AM39" s="22">
        <v>0.16</v>
      </c>
      <c r="AN39" s="22" t="s">
        <v>1364</v>
      </c>
      <c r="AO39" s="22" t="s">
        <v>1364</v>
      </c>
      <c r="AP39" s="22" t="s">
        <v>162</v>
      </c>
      <c r="AQ39" s="22" t="str">
        <f t="shared" si="11"/>
        <v>Microphytoplankton</v>
      </c>
      <c r="AR39" s="22">
        <v>0</v>
      </c>
      <c r="AS39" s="22">
        <v>0</v>
      </c>
      <c r="AT39" s="22">
        <v>0</v>
      </c>
      <c r="AU39" s="22">
        <v>1</v>
      </c>
      <c r="AV39" s="22">
        <v>0</v>
      </c>
      <c r="AW39" s="22">
        <v>0</v>
      </c>
      <c r="AX39" s="22">
        <v>0</v>
      </c>
      <c r="AY39" s="22">
        <v>1</v>
      </c>
      <c r="AZ39" s="22">
        <v>0</v>
      </c>
      <c r="BA39" s="22">
        <v>0</v>
      </c>
      <c r="BB39" s="22">
        <v>0</v>
      </c>
      <c r="BC39" s="22">
        <v>0</v>
      </c>
      <c r="BD39" s="22">
        <v>3</v>
      </c>
      <c r="BE39" s="22">
        <v>7</v>
      </c>
      <c r="BH39" s="22">
        <f t="shared" si="0"/>
        <v>4.9625389549862266E-2</v>
      </c>
    </row>
    <row r="40" spans="1:60" s="22" customFormat="1" ht="13">
      <c r="A40" s="22" t="s">
        <v>2812</v>
      </c>
      <c r="B40" s="22" t="s">
        <v>663</v>
      </c>
      <c r="C40" s="22" t="s">
        <v>2223</v>
      </c>
      <c r="D40" s="22" t="s">
        <v>2224</v>
      </c>
      <c r="E40" s="23" t="s">
        <v>63</v>
      </c>
      <c r="F40" s="23" t="s">
        <v>2225</v>
      </c>
      <c r="G40" s="23" t="s">
        <v>2226</v>
      </c>
      <c r="H40" s="22" t="s">
        <v>2319</v>
      </c>
      <c r="I40" s="22" t="s">
        <v>52</v>
      </c>
      <c r="J40" s="22" t="s">
        <v>493</v>
      </c>
      <c r="K40" s="22" t="s">
        <v>175</v>
      </c>
      <c r="L40" s="22" t="s">
        <v>2233</v>
      </c>
      <c r="N40" s="22" t="s">
        <v>2765</v>
      </c>
      <c r="O40" s="22" t="s">
        <v>2229</v>
      </c>
      <c r="P40" s="21">
        <v>82721</v>
      </c>
      <c r="Q40" s="22">
        <v>17</v>
      </c>
      <c r="R40" s="22">
        <v>17</v>
      </c>
      <c r="S40" s="22">
        <v>4</v>
      </c>
      <c r="T40" s="22" t="s">
        <v>281</v>
      </c>
      <c r="U40" s="22">
        <v>0.4</v>
      </c>
      <c r="V40" s="22">
        <v>0.4</v>
      </c>
      <c r="W40" s="24">
        <f>(4*3.14*(((Q40^1.6*R40^1.6+Q40^1.6*S40^1.6+R40^1.6+S40^1.6)/3)^(1/1.6)))*(1/V40)</f>
        <v>4876.3210833879484</v>
      </c>
      <c r="X40" s="24">
        <f>3.14/6*Q40*R40*S40*U40</f>
        <v>241.98933333333335</v>
      </c>
      <c r="Y40" s="22">
        <v>36</v>
      </c>
      <c r="Z40" s="24">
        <f t="shared" si="9"/>
        <v>175547.55900196615</v>
      </c>
      <c r="AA40" s="24">
        <f t="shared" si="10"/>
        <v>8711.616</v>
      </c>
      <c r="AB40" s="22">
        <v>102</v>
      </c>
      <c r="AC40" s="22">
        <v>102</v>
      </c>
      <c r="AD40" s="22">
        <v>4</v>
      </c>
      <c r="AE40" s="21" t="s">
        <v>160</v>
      </c>
      <c r="AF40" s="22">
        <v>0.3</v>
      </c>
      <c r="AG40" s="22">
        <v>1</v>
      </c>
      <c r="AH40" s="24">
        <f>3.14*AC40*AB40+2*3.14*(AD40/2)^2/AG40</f>
        <v>32693.68</v>
      </c>
      <c r="AI40" s="25">
        <f>(3.14/4*AC40^2*AB40)*AF40</f>
        <v>249914.484</v>
      </c>
      <c r="AJ40" s="21">
        <v>21779.040000000001</v>
      </c>
      <c r="AK40" s="21">
        <v>102</v>
      </c>
      <c r="AL40" s="22" t="s">
        <v>161</v>
      </c>
      <c r="AM40" s="22">
        <v>0.16</v>
      </c>
      <c r="AN40" s="22" t="s">
        <v>1364</v>
      </c>
      <c r="AO40" s="22" t="s">
        <v>1364</v>
      </c>
      <c r="AP40" s="22" t="s">
        <v>162</v>
      </c>
      <c r="AQ40" s="22" t="str">
        <f t="shared" si="11"/>
        <v>Microphytoplankton</v>
      </c>
      <c r="AR40" s="22">
        <v>0</v>
      </c>
      <c r="AS40" s="22">
        <v>0</v>
      </c>
      <c r="AT40" s="22">
        <v>0</v>
      </c>
      <c r="AU40" s="22">
        <v>1</v>
      </c>
      <c r="AV40" s="22">
        <v>0</v>
      </c>
      <c r="AW40" s="22">
        <v>0</v>
      </c>
      <c r="AX40" s="22">
        <v>0</v>
      </c>
      <c r="AY40" s="22">
        <v>1</v>
      </c>
      <c r="BH40" s="22">
        <f t="shared" si="0"/>
        <v>4.9625389549862266E-2</v>
      </c>
    </row>
    <row r="41" spans="1:60" s="22" customFormat="1" ht="13">
      <c r="A41" s="40" t="s">
        <v>2822</v>
      </c>
      <c r="B41" s="22" t="s">
        <v>663</v>
      </c>
      <c r="C41" s="22" t="s">
        <v>2223</v>
      </c>
      <c r="D41" s="22" t="s">
        <v>2224</v>
      </c>
      <c r="E41" s="23" t="s">
        <v>63</v>
      </c>
      <c r="F41" s="23" t="s">
        <v>2225</v>
      </c>
      <c r="G41" s="23" t="s">
        <v>2284</v>
      </c>
      <c r="H41" s="23" t="s">
        <v>2407</v>
      </c>
      <c r="I41" s="22" t="s">
        <v>2823</v>
      </c>
      <c r="J41" s="38" t="s">
        <v>2824</v>
      </c>
      <c r="K41" s="38"/>
      <c r="L41" s="38"/>
      <c r="N41" s="22" t="s">
        <v>409</v>
      </c>
      <c r="O41" s="22" t="s">
        <v>2229</v>
      </c>
      <c r="P41" s="21">
        <v>80310</v>
      </c>
      <c r="Q41" s="21">
        <v>15</v>
      </c>
      <c r="R41" s="21">
        <v>15</v>
      </c>
      <c r="S41" s="21">
        <v>7</v>
      </c>
      <c r="T41" s="22" t="s">
        <v>281</v>
      </c>
      <c r="U41" s="21">
        <v>0.5</v>
      </c>
      <c r="V41" s="21">
        <v>0.5</v>
      </c>
      <c r="W41" s="24">
        <f>(4*3.14*(((Q41^1.6*R41^1.6+Q41^1.6*S41^1.6+R41^1.6+S41^1.6)/3)^(1/1.6)))*(1/V41)</f>
        <v>3371.2774895864322</v>
      </c>
      <c r="X41" s="24">
        <f>3.14/6*Q41*R41*S41*U41</f>
        <v>412.125</v>
      </c>
      <c r="Y41" s="21">
        <v>1</v>
      </c>
      <c r="Z41" s="24">
        <f t="shared" si="9"/>
        <v>3371.2774895864322</v>
      </c>
      <c r="AA41" s="24">
        <f t="shared" si="10"/>
        <v>412.125</v>
      </c>
      <c r="AB41" s="21"/>
      <c r="AC41" s="21"/>
      <c r="AD41" s="21"/>
      <c r="AE41" s="21"/>
      <c r="AF41" s="21"/>
      <c r="AG41" s="21"/>
      <c r="AH41" s="24"/>
      <c r="AI41" s="24"/>
      <c r="AJ41" s="21">
        <v>412.3</v>
      </c>
      <c r="AK41" s="21">
        <v>16.5</v>
      </c>
      <c r="AL41" s="22" t="s">
        <v>161</v>
      </c>
      <c r="AM41" s="22">
        <v>0.16</v>
      </c>
      <c r="AN41" s="38"/>
      <c r="AO41" s="22" t="s">
        <v>2825</v>
      </c>
      <c r="AP41" s="22" t="s">
        <v>673</v>
      </c>
      <c r="AQ41" s="22" t="str">
        <f t="shared" si="11"/>
        <v>Nanophytoplankton</v>
      </c>
      <c r="AR41" s="22">
        <v>1</v>
      </c>
      <c r="AS41" s="22">
        <v>1</v>
      </c>
      <c r="AT41" s="22">
        <v>0</v>
      </c>
      <c r="AU41" s="38">
        <v>0</v>
      </c>
      <c r="AV41" s="38">
        <v>0</v>
      </c>
      <c r="AW41" s="22">
        <v>0</v>
      </c>
      <c r="AX41" s="22">
        <v>0</v>
      </c>
      <c r="AY41" s="22">
        <v>1</v>
      </c>
      <c r="AZ41" s="22">
        <v>0</v>
      </c>
      <c r="BA41" s="22">
        <v>0</v>
      </c>
      <c r="BB41" s="22">
        <v>1</v>
      </c>
      <c r="BC41" s="22">
        <v>2</v>
      </c>
      <c r="BD41" s="22">
        <v>6</v>
      </c>
      <c r="BE41" s="22">
        <v>1</v>
      </c>
      <c r="BH41" s="22">
        <f t="shared" si="0"/>
        <v>0.1222459442371672</v>
      </c>
    </row>
    <row r="42" spans="1:60" s="22" customFormat="1" ht="28">
      <c r="A42" s="21" t="s">
        <v>587</v>
      </c>
      <c r="B42" s="22" t="s">
        <v>149</v>
      </c>
      <c r="C42" s="22" t="s">
        <v>150</v>
      </c>
      <c r="D42" s="23" t="s">
        <v>151</v>
      </c>
      <c r="E42" s="22" t="s">
        <v>61</v>
      </c>
      <c r="F42" s="22" t="s">
        <v>152</v>
      </c>
      <c r="G42" s="20" t="s">
        <v>153</v>
      </c>
      <c r="H42" s="22" t="s">
        <v>154</v>
      </c>
      <c r="I42" s="22" t="s">
        <v>563</v>
      </c>
      <c r="J42" s="22" t="s">
        <v>588</v>
      </c>
      <c r="N42" s="22" t="s">
        <v>589</v>
      </c>
      <c r="O42" s="22" t="s">
        <v>158</v>
      </c>
      <c r="P42" s="21">
        <v>11110</v>
      </c>
      <c r="Q42" s="21">
        <v>3</v>
      </c>
      <c r="R42" s="21">
        <v>2</v>
      </c>
      <c r="S42" s="21">
        <v>2</v>
      </c>
      <c r="T42" s="21" t="s">
        <v>160</v>
      </c>
      <c r="U42" s="21">
        <v>1</v>
      </c>
      <c r="V42" s="22">
        <v>1</v>
      </c>
      <c r="W42" s="24">
        <f>3.14*R42*Q42+2*3.14*(S42/2)^2/V42</f>
        <v>25.12</v>
      </c>
      <c r="X42" s="25">
        <f>(3.14/4*R42^2*Q42)*U42</f>
        <v>9.42</v>
      </c>
      <c r="Y42" s="21">
        <v>11.7</v>
      </c>
      <c r="Z42" s="24">
        <f t="shared" si="9"/>
        <v>293.904</v>
      </c>
      <c r="AA42" s="24">
        <f t="shared" si="10"/>
        <v>110.214</v>
      </c>
      <c r="AB42" s="21">
        <v>35</v>
      </c>
      <c r="AC42" s="21">
        <v>2</v>
      </c>
      <c r="AD42" s="21">
        <v>2</v>
      </c>
      <c r="AE42" s="21" t="s">
        <v>160</v>
      </c>
      <c r="AF42" s="21">
        <v>1</v>
      </c>
      <c r="AG42" s="22">
        <v>1</v>
      </c>
      <c r="AH42" s="24">
        <f>3.14*AC42*AB42+2*3.14*(AD42/2)^2/AG42</f>
        <v>226.08</v>
      </c>
      <c r="AI42" s="25">
        <f>(3.14/4*AC42^2*AB42)*AF42</f>
        <v>109.9</v>
      </c>
      <c r="AJ42" s="21">
        <v>110</v>
      </c>
      <c r="AK42" s="21">
        <v>35</v>
      </c>
      <c r="AL42" s="22" t="s">
        <v>161</v>
      </c>
      <c r="AM42" s="22">
        <v>0.22</v>
      </c>
      <c r="AN42" s="22" t="s">
        <v>388</v>
      </c>
      <c r="AO42" s="22" t="s">
        <v>388</v>
      </c>
      <c r="AP42" s="22" t="s">
        <v>162</v>
      </c>
      <c r="AQ42" s="22" t="str">
        <f t="shared" si="11"/>
        <v>Microphytoplankton</v>
      </c>
      <c r="AR42" s="22">
        <v>0</v>
      </c>
      <c r="AS42" s="22">
        <v>0</v>
      </c>
      <c r="AT42" s="22">
        <v>0</v>
      </c>
      <c r="AU42" s="22">
        <v>1</v>
      </c>
      <c r="AV42" s="22">
        <v>1</v>
      </c>
      <c r="AW42" s="22">
        <v>0</v>
      </c>
      <c r="AX42" s="22">
        <v>0</v>
      </c>
      <c r="AY42" s="22">
        <v>1</v>
      </c>
      <c r="BH42" s="22">
        <f t="shared" si="0"/>
        <v>0.375</v>
      </c>
    </row>
    <row r="43" spans="1:60">
      <c r="BH43" s="22"/>
    </row>
    <row r="44" spans="1:60" s="22" customFormat="1" ht="13">
      <c r="A44" s="21" t="s">
        <v>2881</v>
      </c>
      <c r="B44" s="22" t="s">
        <v>663</v>
      </c>
      <c r="C44" s="22" t="s">
        <v>2223</v>
      </c>
      <c r="D44" s="22" t="s">
        <v>2224</v>
      </c>
      <c r="E44" s="23" t="s">
        <v>63</v>
      </c>
      <c r="F44" s="23" t="s">
        <v>2225</v>
      </c>
      <c r="G44" s="23" t="s">
        <v>2226</v>
      </c>
      <c r="H44" s="23" t="s">
        <v>2239</v>
      </c>
      <c r="I44" s="22" t="s">
        <v>2878</v>
      </c>
      <c r="J44" s="22" t="s">
        <v>408</v>
      </c>
      <c r="N44" s="22" t="s">
        <v>2882</v>
      </c>
      <c r="O44" s="22" t="s">
        <v>2229</v>
      </c>
      <c r="P44" s="21">
        <v>81620</v>
      </c>
      <c r="Q44" s="21">
        <v>20</v>
      </c>
      <c r="R44" s="21">
        <v>3</v>
      </c>
      <c r="S44" s="21">
        <v>3</v>
      </c>
      <c r="T44" s="21" t="s">
        <v>159</v>
      </c>
      <c r="U44" s="21">
        <v>1</v>
      </c>
      <c r="V44" s="21">
        <v>1</v>
      </c>
      <c r="W44" s="24">
        <f t="shared" ref="W44:W49" si="12">(4*3.14*(((Q44^1.6*R44^1.6+Q44^1.6*S44^1.6+R44^1.6+S44^1.6)/3)^(1/1.6)))*(1/V44)</f>
        <v>587.92743277266425</v>
      </c>
      <c r="X44" s="24">
        <f t="shared" ref="X44:X49" si="13">3.14/6*Q44*R44*S44*U44</f>
        <v>94.199999999999989</v>
      </c>
      <c r="Y44" s="21">
        <v>4</v>
      </c>
      <c r="Z44" s="24">
        <f t="shared" ref="Z44:Z49" si="14">Y44*W44</f>
        <v>2351.709731090657</v>
      </c>
      <c r="AA44" s="24">
        <f t="shared" ref="AA44:AA49" si="15">Y44*X44</f>
        <v>376.79999999999995</v>
      </c>
      <c r="AB44" s="21">
        <v>40</v>
      </c>
      <c r="AC44" s="21">
        <v>30</v>
      </c>
      <c r="AD44" s="21">
        <v>30</v>
      </c>
      <c r="AE44" s="22" t="s">
        <v>159</v>
      </c>
      <c r="AF44" s="21">
        <v>0.2</v>
      </c>
      <c r="AG44" s="21">
        <v>1</v>
      </c>
      <c r="AH44" s="24">
        <f>(4*3.14*(((AB44^1.6*AC44^1.6+AB44^1.6*AD44^1.6+AC44^1.6+AD44^1.6)/3)^(1/1.6)))*(1/AG44)</f>
        <v>11718.034589072233</v>
      </c>
      <c r="AI44" s="24">
        <f>3.14/6*AB44*AC44*AD44*AF44</f>
        <v>3768</v>
      </c>
      <c r="AJ44" s="21">
        <v>376.8</v>
      </c>
      <c r="AK44" s="21">
        <v>35</v>
      </c>
      <c r="AL44" s="22" t="s">
        <v>161</v>
      </c>
      <c r="AM44" s="22">
        <v>0.16</v>
      </c>
      <c r="AQ44" s="22" t="str">
        <f t="shared" ref="AQ44:AQ49" si="16">IF(AND($AK44&lt;20,AJ44&lt;10000),"Nanophytoplankton","Microphytoplankton")</f>
        <v>Microphytoplankton</v>
      </c>
      <c r="AR44" s="22">
        <v>0</v>
      </c>
      <c r="AS44" s="22">
        <v>0</v>
      </c>
      <c r="AT44" s="22">
        <v>0</v>
      </c>
      <c r="AU44" s="22">
        <v>1</v>
      </c>
      <c r="AV44" s="22">
        <v>0</v>
      </c>
      <c r="AW44" s="22">
        <v>0</v>
      </c>
      <c r="AX44" s="22">
        <v>0</v>
      </c>
      <c r="AY44" s="22">
        <v>1</v>
      </c>
      <c r="AZ44" s="22">
        <v>0</v>
      </c>
      <c r="BA44" s="22">
        <v>0</v>
      </c>
      <c r="BB44" s="22">
        <v>0</v>
      </c>
      <c r="BC44" s="22">
        <v>1</v>
      </c>
      <c r="BD44" s="22">
        <v>8</v>
      </c>
      <c r="BE44" s="22">
        <v>1</v>
      </c>
      <c r="BH44" s="22">
        <f t="shared" si="0"/>
        <v>0.1602238554437799</v>
      </c>
    </row>
    <row r="45" spans="1:60" s="22" customFormat="1" ht="13">
      <c r="A45" s="21" t="s">
        <v>855</v>
      </c>
      <c r="B45" s="22" t="s">
        <v>663</v>
      </c>
      <c r="C45" s="23" t="s">
        <v>822</v>
      </c>
      <c r="D45" s="23" t="s">
        <v>823</v>
      </c>
      <c r="E45" s="23" t="s">
        <v>64</v>
      </c>
      <c r="F45" s="23" t="s">
        <v>824</v>
      </c>
      <c r="G45" s="22" t="s">
        <v>825</v>
      </c>
      <c r="H45" s="22" t="s">
        <v>856</v>
      </c>
      <c r="I45" s="22" t="s">
        <v>58</v>
      </c>
      <c r="J45" s="22" t="s">
        <v>586</v>
      </c>
      <c r="N45" s="22" t="s">
        <v>157</v>
      </c>
      <c r="O45" s="21" t="s">
        <v>829</v>
      </c>
      <c r="P45" s="21">
        <v>30210</v>
      </c>
      <c r="Q45" s="22">
        <v>14</v>
      </c>
      <c r="R45" s="22">
        <v>10</v>
      </c>
      <c r="S45" s="22">
        <v>8</v>
      </c>
      <c r="T45" s="22" t="s">
        <v>281</v>
      </c>
      <c r="U45" s="21">
        <v>1</v>
      </c>
      <c r="V45" s="22">
        <v>1</v>
      </c>
      <c r="W45" s="24">
        <f t="shared" si="12"/>
        <v>1244.1098047866894</v>
      </c>
      <c r="X45" s="24">
        <f t="shared" si="13"/>
        <v>586.13333333333333</v>
      </c>
      <c r="Y45" s="21">
        <v>1</v>
      </c>
      <c r="Z45" s="24">
        <f t="shared" si="14"/>
        <v>1244.1098047866894</v>
      </c>
      <c r="AA45" s="24">
        <f t="shared" si="15"/>
        <v>586.13333333333333</v>
      </c>
      <c r="AB45" s="21"/>
      <c r="AC45" s="21"/>
      <c r="AD45" s="21"/>
      <c r="AE45" s="21"/>
      <c r="AF45" s="21" t="s">
        <v>247</v>
      </c>
      <c r="AG45" s="21"/>
      <c r="AH45" s="24"/>
      <c r="AI45" s="24"/>
      <c r="AJ45" s="21">
        <v>527.79999999999995</v>
      </c>
      <c r="AK45" s="21">
        <v>14</v>
      </c>
      <c r="AL45" s="22" t="s">
        <v>161</v>
      </c>
      <c r="AM45" s="22">
        <v>0.11</v>
      </c>
      <c r="AO45" s="22" t="s">
        <v>830</v>
      </c>
      <c r="AP45" s="22" t="s">
        <v>673</v>
      </c>
      <c r="AQ45" s="22" t="str">
        <f t="shared" si="16"/>
        <v>Nanophytoplankton</v>
      </c>
      <c r="AR45" s="22">
        <v>1</v>
      </c>
      <c r="AS45" s="22">
        <v>1</v>
      </c>
      <c r="AT45" s="22">
        <v>0</v>
      </c>
      <c r="AU45" s="22">
        <v>0</v>
      </c>
      <c r="AV45" s="22">
        <v>0</v>
      </c>
      <c r="AW45" s="22">
        <v>0</v>
      </c>
      <c r="AX45" s="22">
        <v>1</v>
      </c>
      <c r="AY45" s="22">
        <v>0</v>
      </c>
      <c r="BH45" s="22">
        <f t="shared" si="0"/>
        <v>0.47112668920234868</v>
      </c>
    </row>
    <row r="46" spans="1:60" s="22" customFormat="1" ht="13">
      <c r="A46" s="21" t="s">
        <v>857</v>
      </c>
      <c r="B46" s="22" t="s">
        <v>663</v>
      </c>
      <c r="C46" s="23" t="s">
        <v>822</v>
      </c>
      <c r="D46" s="23" t="s">
        <v>823</v>
      </c>
      <c r="E46" s="23" t="s">
        <v>64</v>
      </c>
      <c r="F46" s="23" t="s">
        <v>824</v>
      </c>
      <c r="G46" s="22" t="s">
        <v>825</v>
      </c>
      <c r="H46" s="22" t="s">
        <v>856</v>
      </c>
      <c r="I46" s="22" t="s">
        <v>58</v>
      </c>
      <c r="J46" s="22" t="s">
        <v>586</v>
      </c>
      <c r="K46" s="22" t="s">
        <v>175</v>
      </c>
      <c r="L46" s="22" t="s">
        <v>858</v>
      </c>
      <c r="N46" s="22" t="s">
        <v>859</v>
      </c>
      <c r="O46" s="21" t="s">
        <v>829</v>
      </c>
      <c r="P46" s="21">
        <v>30220</v>
      </c>
      <c r="Q46" s="22">
        <v>9</v>
      </c>
      <c r="R46" s="22">
        <v>4.7</v>
      </c>
      <c r="S46" s="22">
        <v>4</v>
      </c>
      <c r="T46" s="22" t="s">
        <v>281</v>
      </c>
      <c r="U46" s="21">
        <v>1</v>
      </c>
      <c r="V46" s="22">
        <v>1</v>
      </c>
      <c r="W46" s="24">
        <f t="shared" si="12"/>
        <v>389.45670447278138</v>
      </c>
      <c r="X46" s="24">
        <f t="shared" si="13"/>
        <v>88.548000000000002</v>
      </c>
      <c r="Y46" s="21">
        <v>1</v>
      </c>
      <c r="Z46" s="24">
        <f t="shared" si="14"/>
        <v>389.45670447278138</v>
      </c>
      <c r="AA46" s="24">
        <f t="shared" si="15"/>
        <v>88.548000000000002</v>
      </c>
      <c r="AB46" s="21"/>
      <c r="AC46" s="21"/>
      <c r="AD46" s="21"/>
      <c r="AE46" s="21"/>
      <c r="AF46" s="21" t="s">
        <v>247</v>
      </c>
      <c r="AG46" s="21"/>
      <c r="AH46" s="24"/>
      <c r="AI46" s="24"/>
      <c r="AJ46" s="21">
        <v>70.900000000000006</v>
      </c>
      <c r="AK46" s="21">
        <v>9</v>
      </c>
      <c r="AL46" s="22" t="s">
        <v>161</v>
      </c>
      <c r="AM46" s="22">
        <v>0.11</v>
      </c>
      <c r="AO46" s="22" t="s">
        <v>830</v>
      </c>
      <c r="AP46" s="22" t="s">
        <v>626</v>
      </c>
      <c r="AQ46" s="22" t="str">
        <f t="shared" si="16"/>
        <v>Nanophytoplankton</v>
      </c>
      <c r="AR46" s="22">
        <v>1</v>
      </c>
      <c r="AS46" s="22">
        <v>1</v>
      </c>
      <c r="AT46" s="22">
        <v>0</v>
      </c>
      <c r="AU46" s="22">
        <v>0</v>
      </c>
      <c r="AV46" s="22">
        <v>0</v>
      </c>
      <c r="AW46" s="22">
        <v>0</v>
      </c>
      <c r="AX46" s="22">
        <v>1</v>
      </c>
      <c r="AY46" s="22">
        <v>0</v>
      </c>
      <c r="BH46" s="22">
        <f t="shared" si="0"/>
        <v>0.22736288522717807</v>
      </c>
    </row>
    <row r="47" spans="1:60" s="22" customFormat="1" ht="13">
      <c r="A47" s="21" t="s">
        <v>2273</v>
      </c>
      <c r="B47" s="22" t="s">
        <v>663</v>
      </c>
      <c r="C47" s="22" t="s">
        <v>2223</v>
      </c>
      <c r="D47" s="22" t="s">
        <v>2224</v>
      </c>
      <c r="E47" s="23" t="s">
        <v>63</v>
      </c>
      <c r="F47" s="23" t="s">
        <v>2225</v>
      </c>
      <c r="G47" s="23" t="s">
        <v>2226</v>
      </c>
      <c r="H47" s="22" t="s">
        <v>2267</v>
      </c>
      <c r="I47" s="22" t="s">
        <v>2268</v>
      </c>
      <c r="J47" s="22" t="s">
        <v>2274</v>
      </c>
      <c r="N47" s="22" t="s">
        <v>2275</v>
      </c>
      <c r="O47" s="22" t="s">
        <v>2229</v>
      </c>
      <c r="P47" s="21">
        <v>80910</v>
      </c>
      <c r="Q47" s="21">
        <v>25</v>
      </c>
      <c r="R47" s="21">
        <v>3</v>
      </c>
      <c r="S47" s="21">
        <v>3</v>
      </c>
      <c r="T47" s="21" t="s">
        <v>281</v>
      </c>
      <c r="U47" s="21">
        <v>1</v>
      </c>
      <c r="V47" s="22">
        <v>1</v>
      </c>
      <c r="W47" s="24">
        <f t="shared" si="12"/>
        <v>733.77542011513458</v>
      </c>
      <c r="X47" s="24">
        <f t="shared" si="13"/>
        <v>117.75</v>
      </c>
      <c r="Y47" s="21">
        <v>1</v>
      </c>
      <c r="Z47" s="24">
        <f t="shared" si="14"/>
        <v>733.77542011513458</v>
      </c>
      <c r="AA47" s="24">
        <f t="shared" si="15"/>
        <v>117.75</v>
      </c>
      <c r="AB47" s="21"/>
      <c r="AC47" s="21"/>
      <c r="AD47" s="21"/>
      <c r="AE47" s="21"/>
      <c r="AF47" s="21" t="s">
        <v>247</v>
      </c>
      <c r="AG47" s="21"/>
      <c r="AH47" s="24"/>
      <c r="AI47" s="24"/>
      <c r="AJ47" s="21">
        <v>58.9</v>
      </c>
      <c r="AK47" s="21">
        <v>25</v>
      </c>
      <c r="AL47" s="22" t="s">
        <v>161</v>
      </c>
      <c r="AM47" s="22">
        <v>0.16</v>
      </c>
      <c r="AN47" s="22" t="s">
        <v>2257</v>
      </c>
      <c r="AO47" s="22" t="s">
        <v>2257</v>
      </c>
      <c r="AP47" s="22" t="s">
        <v>162</v>
      </c>
      <c r="AQ47" s="22" t="str">
        <f t="shared" si="16"/>
        <v>Microphytoplankton</v>
      </c>
      <c r="AR47" s="22">
        <v>0</v>
      </c>
      <c r="AS47" s="22">
        <v>0</v>
      </c>
      <c r="AT47" s="22">
        <v>0</v>
      </c>
      <c r="AU47" s="22">
        <v>0</v>
      </c>
      <c r="AV47" s="22">
        <v>0</v>
      </c>
      <c r="AW47" s="22">
        <v>0</v>
      </c>
      <c r="AX47" s="22">
        <v>0</v>
      </c>
      <c r="AY47" s="22">
        <v>1</v>
      </c>
      <c r="AZ47" s="22">
        <v>0</v>
      </c>
      <c r="BA47" s="22">
        <v>0</v>
      </c>
      <c r="BB47" s="22">
        <v>1</v>
      </c>
      <c r="BC47" s="22">
        <v>3</v>
      </c>
      <c r="BD47" s="22">
        <v>5</v>
      </c>
      <c r="BE47" s="22">
        <v>1</v>
      </c>
      <c r="BH47" s="22">
        <f t="shared" si="0"/>
        <v>0.16047144231340454</v>
      </c>
    </row>
    <row r="48" spans="1:60" s="22" customFormat="1" ht="13">
      <c r="A48" s="21" t="s">
        <v>3055</v>
      </c>
      <c r="B48" s="22" t="s">
        <v>663</v>
      </c>
      <c r="C48" s="22" t="s">
        <v>2223</v>
      </c>
      <c r="D48" s="22" t="s">
        <v>2224</v>
      </c>
      <c r="E48" s="23" t="s">
        <v>63</v>
      </c>
      <c r="F48" s="23" t="s">
        <v>2225</v>
      </c>
      <c r="G48" s="23" t="s">
        <v>2226</v>
      </c>
      <c r="H48" s="22" t="s">
        <v>2311</v>
      </c>
      <c r="I48" s="22" t="s">
        <v>3056</v>
      </c>
      <c r="J48" s="22" t="s">
        <v>3057</v>
      </c>
      <c r="N48" s="22" t="s">
        <v>409</v>
      </c>
      <c r="O48" s="22" t="s">
        <v>2229</v>
      </c>
      <c r="P48" s="21">
        <v>81110</v>
      </c>
      <c r="Q48" s="21">
        <v>5</v>
      </c>
      <c r="R48" s="21">
        <v>5</v>
      </c>
      <c r="S48" s="21">
        <v>5</v>
      </c>
      <c r="T48" s="21" t="s">
        <v>281</v>
      </c>
      <c r="U48" s="21">
        <v>1</v>
      </c>
      <c r="V48" s="21">
        <v>1</v>
      </c>
      <c r="W48" s="24">
        <f t="shared" si="12"/>
        <v>255.14798814971115</v>
      </c>
      <c r="X48" s="24">
        <f t="shared" si="13"/>
        <v>65.416666666666671</v>
      </c>
      <c r="Y48" s="21">
        <v>16</v>
      </c>
      <c r="Z48" s="24">
        <f t="shared" si="14"/>
        <v>4082.3678103953785</v>
      </c>
      <c r="AA48" s="24">
        <f t="shared" si="15"/>
        <v>1046.6666666666667</v>
      </c>
      <c r="AB48" s="21">
        <v>60</v>
      </c>
      <c r="AC48" s="21">
        <v>60</v>
      </c>
      <c r="AD48" s="21">
        <v>60</v>
      </c>
      <c r="AE48" s="21" t="s">
        <v>246</v>
      </c>
      <c r="AF48" s="21">
        <v>0.1</v>
      </c>
      <c r="AG48" s="21">
        <v>0.1</v>
      </c>
      <c r="AH48" s="25">
        <f>4*3.14*(AC48/2)*(AB48/2)/AG48</f>
        <v>113040</v>
      </c>
      <c r="AI48" s="25">
        <f>(3.14/6*(AD48*AB48*AC48))*AF48</f>
        <v>11304</v>
      </c>
      <c r="AJ48" s="21">
        <v>1047.2</v>
      </c>
      <c r="AK48" s="21">
        <v>50</v>
      </c>
      <c r="AL48" s="22" t="s">
        <v>161</v>
      </c>
      <c r="AM48" s="22">
        <v>0.16</v>
      </c>
      <c r="AN48" s="22" t="s">
        <v>2282</v>
      </c>
      <c r="AO48" s="22" t="s">
        <v>2282</v>
      </c>
      <c r="AP48" s="22" t="s">
        <v>230</v>
      </c>
      <c r="AQ48" s="22" t="str">
        <f t="shared" si="16"/>
        <v>Microphytoplankton</v>
      </c>
      <c r="AR48" s="22">
        <v>0</v>
      </c>
      <c r="AS48" s="22">
        <v>0</v>
      </c>
      <c r="AT48" s="22">
        <v>0</v>
      </c>
      <c r="AU48" s="22">
        <v>1</v>
      </c>
      <c r="AV48" s="22">
        <v>0</v>
      </c>
      <c r="AW48" s="22">
        <v>0</v>
      </c>
      <c r="AX48" s="22">
        <v>0</v>
      </c>
      <c r="AY48" s="22">
        <v>1</v>
      </c>
      <c r="AZ48" s="22">
        <v>0</v>
      </c>
      <c r="BA48" s="22">
        <v>0</v>
      </c>
      <c r="BB48" s="22">
        <v>0</v>
      </c>
      <c r="BC48" s="22">
        <v>2</v>
      </c>
      <c r="BD48" s="22">
        <v>3</v>
      </c>
      <c r="BE48" s="22">
        <v>5</v>
      </c>
      <c r="BH48" s="22">
        <f t="shared" si="0"/>
        <v>0.25638715453355898</v>
      </c>
    </row>
    <row r="49" spans="1:60" s="22" customFormat="1" ht="13">
      <c r="A49" s="21" t="s">
        <v>3058</v>
      </c>
      <c r="B49" s="22" t="s">
        <v>663</v>
      </c>
      <c r="C49" s="22" t="s">
        <v>2223</v>
      </c>
      <c r="D49" s="22" t="s">
        <v>2224</v>
      </c>
      <c r="E49" s="23" t="s">
        <v>63</v>
      </c>
      <c r="F49" s="23" t="s">
        <v>2225</v>
      </c>
      <c r="G49" s="23" t="s">
        <v>2226</v>
      </c>
      <c r="H49" s="22" t="s">
        <v>2311</v>
      </c>
      <c r="I49" s="22" t="s">
        <v>3056</v>
      </c>
      <c r="J49" s="22" t="s">
        <v>3057</v>
      </c>
      <c r="K49" s="22" t="s">
        <v>184</v>
      </c>
      <c r="L49" s="22" t="s">
        <v>245</v>
      </c>
      <c r="N49" s="22" t="s">
        <v>409</v>
      </c>
      <c r="O49" s="22" t="s">
        <v>2229</v>
      </c>
      <c r="P49" s="21">
        <v>81111</v>
      </c>
      <c r="Q49" s="21">
        <v>8</v>
      </c>
      <c r="R49" s="21">
        <v>8</v>
      </c>
      <c r="S49" s="21">
        <v>8</v>
      </c>
      <c r="T49" s="21" t="s">
        <v>281</v>
      </c>
      <c r="U49" s="21">
        <v>1</v>
      </c>
      <c r="V49" s="21">
        <v>1</v>
      </c>
      <c r="W49" s="24">
        <f t="shared" si="12"/>
        <v>637.80128491389792</v>
      </c>
      <c r="X49" s="24">
        <f t="shared" si="13"/>
        <v>267.94666666666666</v>
      </c>
      <c r="Y49" s="21">
        <v>1</v>
      </c>
      <c r="Z49" s="24">
        <f t="shared" si="14"/>
        <v>637.80128491389792</v>
      </c>
      <c r="AA49" s="24">
        <f t="shared" si="15"/>
        <v>267.94666666666666</v>
      </c>
      <c r="AB49" s="21"/>
      <c r="AC49" s="21"/>
      <c r="AD49" s="21"/>
      <c r="AE49" s="21"/>
      <c r="AF49" s="21"/>
      <c r="AG49" s="21"/>
      <c r="AH49" s="24"/>
      <c r="AI49" s="24"/>
      <c r="AJ49" s="21">
        <v>512</v>
      </c>
      <c r="AK49" s="21">
        <v>8</v>
      </c>
      <c r="AL49" s="22" t="s">
        <v>161</v>
      </c>
      <c r="AM49" s="22">
        <v>0.16</v>
      </c>
      <c r="AN49" s="22" t="s">
        <v>2282</v>
      </c>
      <c r="AO49" s="22" t="s">
        <v>2282</v>
      </c>
      <c r="AP49" s="22" t="s">
        <v>230</v>
      </c>
      <c r="AQ49" s="22" t="str">
        <f t="shared" si="16"/>
        <v>Nanophytoplankton</v>
      </c>
      <c r="AR49" s="22">
        <v>0</v>
      </c>
      <c r="AS49" s="22">
        <v>0</v>
      </c>
      <c r="AT49" s="22">
        <v>0</v>
      </c>
      <c r="AU49" s="22">
        <v>1</v>
      </c>
      <c r="AV49" s="22">
        <v>0</v>
      </c>
      <c r="AW49" s="22">
        <v>0</v>
      </c>
      <c r="AX49" s="22">
        <v>0</v>
      </c>
      <c r="AY49" s="22">
        <v>1</v>
      </c>
      <c r="AZ49" s="22">
        <v>0</v>
      </c>
      <c r="BA49" s="22">
        <v>0</v>
      </c>
      <c r="BB49" s="22">
        <v>0</v>
      </c>
      <c r="BC49" s="22">
        <v>2</v>
      </c>
      <c r="BD49" s="22">
        <v>3</v>
      </c>
      <c r="BE49" s="22">
        <v>5</v>
      </c>
      <c r="BH49" s="22">
        <f t="shared" si="0"/>
        <v>0.42010995117835015</v>
      </c>
    </row>
    <row r="50" spans="1:60" s="22" customFormat="1" ht="17">
      <c r="A50" s="53" t="s">
        <v>3597</v>
      </c>
      <c r="E50" s="22" t="s">
        <v>62</v>
      </c>
      <c r="F50" s="23"/>
      <c r="G50" s="23"/>
      <c r="I50" s="22" t="s">
        <v>2165</v>
      </c>
      <c r="P50" s="21"/>
      <c r="Q50" s="21">
        <v>51</v>
      </c>
      <c r="R50" s="21">
        <v>15</v>
      </c>
      <c r="S50" s="21">
        <v>4.3</v>
      </c>
      <c r="T50" s="21"/>
      <c r="U50" s="21">
        <v>1</v>
      </c>
      <c r="V50" s="21">
        <v>1</v>
      </c>
      <c r="W50" s="25">
        <f>(Q50*R50*2+Q50*S50*2+R50*S50*2)/V50</f>
        <v>2097.6</v>
      </c>
      <c r="X50" s="25">
        <f>Q50*R50*S50*U50</f>
        <v>3289.5</v>
      </c>
      <c r="Y50" s="21"/>
      <c r="Z50" s="24"/>
      <c r="AA50" s="24"/>
      <c r="AB50" s="21"/>
      <c r="AC50" s="21"/>
      <c r="AD50" s="21"/>
      <c r="AE50" s="21"/>
      <c r="AF50" s="21"/>
      <c r="AG50" s="21"/>
      <c r="AH50" s="24"/>
      <c r="AI50" s="24"/>
      <c r="AJ50" s="21"/>
      <c r="AK50" s="21"/>
      <c r="AM50" s="22">
        <v>0.11</v>
      </c>
      <c r="BH50" s="22">
        <f t="shared" si="0"/>
        <v>1.568220823798627</v>
      </c>
    </row>
    <row r="51" spans="1:60" s="22" customFormat="1" ht="13">
      <c r="A51" s="21" t="s">
        <v>633</v>
      </c>
      <c r="B51" s="22" t="s">
        <v>149</v>
      </c>
      <c r="C51" s="22" t="s">
        <v>150</v>
      </c>
      <c r="D51" s="23" t="s">
        <v>151</v>
      </c>
      <c r="E51" s="22" t="s">
        <v>61</v>
      </c>
      <c r="F51" s="22" t="s">
        <v>152</v>
      </c>
      <c r="G51" s="22" t="s">
        <v>60</v>
      </c>
      <c r="H51" s="22" t="s">
        <v>226</v>
      </c>
      <c r="I51" s="22" t="s">
        <v>634</v>
      </c>
      <c r="J51" s="22" t="s">
        <v>635</v>
      </c>
      <c r="N51" s="22" t="s">
        <v>636</v>
      </c>
      <c r="O51" s="22" t="s">
        <v>158</v>
      </c>
      <c r="P51" s="21">
        <v>11323</v>
      </c>
      <c r="Q51" s="21">
        <v>5.7</v>
      </c>
      <c r="R51" s="21">
        <v>5.7</v>
      </c>
      <c r="S51" s="21">
        <v>5.7</v>
      </c>
      <c r="T51" s="21" t="s">
        <v>246</v>
      </c>
      <c r="U51" s="21">
        <v>1</v>
      </c>
      <c r="V51" s="22">
        <v>1</v>
      </c>
      <c r="W51" s="25">
        <f>4*3.14*(R51/2)*(Q51/2)/V51</f>
        <v>102.01860000000001</v>
      </c>
      <c r="X51" s="25">
        <f>(3.14/6*(Q51*S51*R51))*U51</f>
        <v>96.917670000000001</v>
      </c>
      <c r="Y51" s="21">
        <v>1</v>
      </c>
      <c r="Z51" s="24">
        <f>Y51*W51</f>
        <v>102.01860000000001</v>
      </c>
      <c r="AA51" s="24">
        <f>Y51*X51</f>
        <v>96.917670000000001</v>
      </c>
      <c r="AB51" s="21"/>
      <c r="AC51" s="21"/>
      <c r="AD51" s="21"/>
      <c r="AE51" s="21"/>
      <c r="AF51" s="21" t="s">
        <v>247</v>
      </c>
      <c r="AG51" s="21"/>
      <c r="AH51" s="24"/>
      <c r="AI51" s="24"/>
      <c r="AJ51" s="21">
        <v>97</v>
      </c>
      <c r="AK51" s="21">
        <v>5.7</v>
      </c>
      <c r="AL51" s="22" t="s">
        <v>161</v>
      </c>
      <c r="AM51" s="22">
        <v>0.22</v>
      </c>
      <c r="AN51" s="22" t="s">
        <v>368</v>
      </c>
      <c r="AO51" s="22" t="s">
        <v>331</v>
      </c>
      <c r="AP51" s="22" t="s">
        <v>626</v>
      </c>
      <c r="AQ51" s="22" t="str">
        <f t="shared" ref="AQ51:AQ66" si="17">IF(AND($AK51&lt;20,AJ51&lt;10000),"Nanophytoplankton","Microphytoplankton")</f>
        <v>Nanophytoplankton</v>
      </c>
      <c r="AR51" s="22">
        <v>0</v>
      </c>
      <c r="AS51" s="22">
        <v>0</v>
      </c>
      <c r="AT51" s="22">
        <v>0</v>
      </c>
      <c r="AU51" s="22">
        <v>0</v>
      </c>
      <c r="AV51" s="22">
        <v>0</v>
      </c>
      <c r="AW51" s="22">
        <v>0</v>
      </c>
      <c r="AX51" s="22">
        <v>0</v>
      </c>
      <c r="AY51" s="22">
        <v>1</v>
      </c>
      <c r="BH51" s="22">
        <f t="shared" si="0"/>
        <v>0.95</v>
      </c>
    </row>
    <row r="52" spans="1:60" s="22" customFormat="1" ht="13">
      <c r="A52" s="21" t="s">
        <v>637</v>
      </c>
      <c r="B52" s="22" t="s">
        <v>149</v>
      </c>
      <c r="C52" s="22" t="s">
        <v>150</v>
      </c>
      <c r="D52" s="23" t="s">
        <v>151</v>
      </c>
      <c r="E52" s="22" t="s">
        <v>61</v>
      </c>
      <c r="F52" s="22" t="s">
        <v>152</v>
      </c>
      <c r="G52" s="22" t="s">
        <v>60</v>
      </c>
      <c r="H52" s="22" t="s">
        <v>226</v>
      </c>
      <c r="I52" s="22" t="s">
        <v>634</v>
      </c>
      <c r="J52" s="22" t="s">
        <v>638</v>
      </c>
      <c r="N52" s="22" t="s">
        <v>639</v>
      </c>
      <c r="O52" s="22" t="s">
        <v>158</v>
      </c>
      <c r="P52" s="21">
        <v>11321</v>
      </c>
      <c r="Q52" s="21">
        <v>0.8</v>
      </c>
      <c r="R52" s="21">
        <v>0.8</v>
      </c>
      <c r="S52" s="21">
        <v>0.8</v>
      </c>
      <c r="T52" s="21" t="s">
        <v>281</v>
      </c>
      <c r="U52" s="21">
        <v>1</v>
      </c>
      <c r="V52" s="22">
        <v>1</v>
      </c>
      <c r="W52" s="24">
        <f>(4*3.14*(((Q52^1.6*R52^1.6+Q52^1.6*S52^1.6+R52^1.6+S52^1.6)/3)^(1/1.6)))*(1/V52)</f>
        <v>10.864594492940718</v>
      </c>
      <c r="X52" s="24">
        <f>3.14/6*Q52*R52*S52*U52</f>
        <v>0.26794666666666672</v>
      </c>
      <c r="Y52" s="21">
        <v>1</v>
      </c>
      <c r="Z52" s="24">
        <f>Y52*W52</f>
        <v>10.864594492940718</v>
      </c>
      <c r="AA52" s="24">
        <f>Y52*X52</f>
        <v>0.26794666666666672</v>
      </c>
      <c r="AB52" s="21"/>
      <c r="AC52" s="21"/>
      <c r="AD52" s="21"/>
      <c r="AE52" s="21"/>
      <c r="AF52" s="21" t="s">
        <v>247</v>
      </c>
      <c r="AG52" s="21"/>
      <c r="AH52" s="24"/>
      <c r="AI52" s="24"/>
      <c r="AJ52" s="21">
        <v>0.26794666666666672</v>
      </c>
      <c r="AK52" s="21">
        <v>0.8</v>
      </c>
      <c r="AL52" s="22" t="s">
        <v>640</v>
      </c>
      <c r="AM52" s="22">
        <v>0.22</v>
      </c>
      <c r="AN52" s="22" t="s">
        <v>368</v>
      </c>
      <c r="AO52" s="22" t="s">
        <v>229</v>
      </c>
      <c r="AP52" s="22" t="s">
        <v>626</v>
      </c>
      <c r="AQ52" s="22" t="str">
        <f t="shared" si="17"/>
        <v>Nanophytoplankton</v>
      </c>
      <c r="AR52" s="22">
        <v>0</v>
      </c>
      <c r="AS52" s="22">
        <v>0</v>
      </c>
      <c r="AT52" s="22">
        <v>0</v>
      </c>
      <c r="AU52" s="22">
        <v>0</v>
      </c>
      <c r="AV52" s="22">
        <v>0</v>
      </c>
      <c r="AW52" s="22">
        <v>0</v>
      </c>
      <c r="AX52" s="22">
        <v>0</v>
      </c>
      <c r="AY52" s="22">
        <v>1</v>
      </c>
      <c r="BH52" s="22">
        <f t="shared" si="0"/>
        <v>2.4662371599857257E-2</v>
      </c>
    </row>
    <row r="53" spans="1:60" s="22" customFormat="1" ht="13">
      <c r="A53" s="22" t="s">
        <v>641</v>
      </c>
      <c r="B53" s="22" t="s">
        <v>149</v>
      </c>
      <c r="C53" s="22" t="s">
        <v>150</v>
      </c>
      <c r="D53" s="23" t="s">
        <v>151</v>
      </c>
      <c r="E53" s="22" t="s">
        <v>61</v>
      </c>
      <c r="F53" s="22" t="s">
        <v>152</v>
      </c>
      <c r="G53" s="22" t="s">
        <v>60</v>
      </c>
      <c r="H53" s="22" t="s">
        <v>226</v>
      </c>
      <c r="I53" s="22" t="s">
        <v>634</v>
      </c>
      <c r="J53" s="22" t="s">
        <v>620</v>
      </c>
      <c r="N53" s="22" t="s">
        <v>157</v>
      </c>
      <c r="O53" s="22" t="s">
        <v>158</v>
      </c>
      <c r="P53" s="21">
        <v>11325</v>
      </c>
      <c r="Q53" s="22">
        <v>13</v>
      </c>
      <c r="R53" s="22">
        <v>13</v>
      </c>
      <c r="S53" s="22">
        <v>5</v>
      </c>
      <c r="T53" s="22" t="s">
        <v>246</v>
      </c>
      <c r="U53" s="21">
        <v>1</v>
      </c>
      <c r="V53" s="22">
        <v>1</v>
      </c>
      <c r="W53" s="25">
        <f>4*3.14*(R53/2)*(Q53/2)/V53</f>
        <v>530.66</v>
      </c>
      <c r="X53" s="25">
        <f>(3.14/6*(Q53*S53*R53))*U53</f>
        <v>442.21666666666664</v>
      </c>
      <c r="Y53" s="21">
        <v>1</v>
      </c>
      <c r="Z53" s="24">
        <f>Y53*W53</f>
        <v>530.66</v>
      </c>
      <c r="AA53" s="24">
        <f>Y53*X53</f>
        <v>442.21666666666664</v>
      </c>
      <c r="AE53" s="21"/>
      <c r="AF53" s="21" t="s">
        <v>247</v>
      </c>
      <c r="AG53" s="21"/>
      <c r="AH53" s="24"/>
      <c r="AI53" s="24"/>
      <c r="AJ53" s="21">
        <v>1149.7633333333333</v>
      </c>
      <c r="AK53" s="21">
        <v>13</v>
      </c>
      <c r="AL53" s="22" t="s">
        <v>161</v>
      </c>
      <c r="AM53" s="22">
        <v>0.22</v>
      </c>
      <c r="AO53" s="22" t="s">
        <v>229</v>
      </c>
      <c r="AP53" s="22" t="s">
        <v>626</v>
      </c>
      <c r="AQ53" s="22" t="str">
        <f t="shared" si="17"/>
        <v>Nanophytoplankton</v>
      </c>
      <c r="AR53" s="22">
        <v>0</v>
      </c>
      <c r="AS53" s="22">
        <v>0</v>
      </c>
      <c r="AT53" s="22">
        <v>0</v>
      </c>
      <c r="AU53" s="22">
        <v>0</v>
      </c>
      <c r="AV53" s="22">
        <v>0</v>
      </c>
      <c r="AW53" s="22">
        <v>0</v>
      </c>
      <c r="AX53" s="22">
        <v>0</v>
      </c>
      <c r="AY53" s="22">
        <v>1</v>
      </c>
      <c r="BH53" s="22">
        <f t="shared" si="0"/>
        <v>0.83333333333333337</v>
      </c>
    </row>
    <row r="54" spans="1:60" s="22" customFormat="1" ht="13">
      <c r="A54" s="21" t="s">
        <v>642</v>
      </c>
      <c r="B54" s="22" t="s">
        <v>149</v>
      </c>
      <c r="C54" s="22" t="s">
        <v>150</v>
      </c>
      <c r="D54" s="23" t="s">
        <v>151</v>
      </c>
      <c r="E54" s="22" t="s">
        <v>61</v>
      </c>
      <c r="F54" s="22" t="s">
        <v>152</v>
      </c>
      <c r="G54" s="22" t="s">
        <v>60</v>
      </c>
      <c r="H54" s="22" t="s">
        <v>226</v>
      </c>
      <c r="I54" s="22" t="s">
        <v>634</v>
      </c>
      <c r="J54" s="22" t="s">
        <v>643</v>
      </c>
      <c r="M54" s="22" t="s">
        <v>1</v>
      </c>
      <c r="N54" s="22" t="s">
        <v>644</v>
      </c>
      <c r="O54" s="22" t="s">
        <v>158</v>
      </c>
      <c r="P54" s="21">
        <v>11324</v>
      </c>
      <c r="Q54" s="21">
        <v>2</v>
      </c>
      <c r="R54" s="21">
        <v>2</v>
      </c>
      <c r="S54" s="21">
        <v>2</v>
      </c>
      <c r="T54" s="21" t="s">
        <v>246</v>
      </c>
      <c r="U54" s="21">
        <v>1</v>
      </c>
      <c r="V54" s="22">
        <v>1</v>
      </c>
      <c r="W54" s="25">
        <f>4*3.14*(R54/2)*(Q54/2)/V54</f>
        <v>12.56</v>
      </c>
      <c r="X54" s="25">
        <f>(3.14/6*(Q54*S54*R54))*U54</f>
        <v>4.1866666666666665</v>
      </c>
      <c r="Y54" s="21">
        <v>1</v>
      </c>
      <c r="Z54" s="24">
        <f>Y54*W54</f>
        <v>12.56</v>
      </c>
      <c r="AA54" s="24">
        <f>Y54*X54</f>
        <v>4.1866666666666665</v>
      </c>
      <c r="AB54" s="21"/>
      <c r="AC54" s="21"/>
      <c r="AD54" s="21"/>
      <c r="AE54" s="21"/>
      <c r="AF54" s="21" t="s">
        <v>247</v>
      </c>
      <c r="AG54" s="21"/>
      <c r="AH54" s="24"/>
      <c r="AI54" s="24"/>
      <c r="AJ54" s="21">
        <v>4.1866666666666665</v>
      </c>
      <c r="AK54" s="21">
        <v>2</v>
      </c>
      <c r="AL54" s="22" t="s">
        <v>645</v>
      </c>
      <c r="AM54" s="22">
        <v>0.22</v>
      </c>
      <c r="AN54" s="22" t="s">
        <v>368</v>
      </c>
      <c r="AO54" s="22" t="s">
        <v>229</v>
      </c>
      <c r="AP54" s="22" t="s">
        <v>626</v>
      </c>
      <c r="AQ54" s="22" t="str">
        <f t="shared" si="17"/>
        <v>Nanophytoplankton</v>
      </c>
      <c r="AR54" s="22">
        <v>0</v>
      </c>
      <c r="AS54" s="22">
        <v>0</v>
      </c>
      <c r="AT54" s="22">
        <v>0</v>
      </c>
      <c r="AU54" s="22">
        <v>0</v>
      </c>
      <c r="AV54" s="22">
        <v>0</v>
      </c>
      <c r="AW54" s="22">
        <v>0</v>
      </c>
      <c r="AX54" s="22">
        <v>0</v>
      </c>
      <c r="AY54" s="22">
        <v>1</v>
      </c>
      <c r="BH54" s="22">
        <f t="shared" si="0"/>
        <v>0.33333333333333331</v>
      </c>
    </row>
    <row r="55" spans="1:60" s="22" customFormat="1" ht="13">
      <c r="A55" s="21" t="s">
        <v>646</v>
      </c>
      <c r="B55" s="22" t="s">
        <v>149</v>
      </c>
      <c r="C55" s="22" t="s">
        <v>150</v>
      </c>
      <c r="D55" s="23" t="s">
        <v>151</v>
      </c>
      <c r="E55" s="22" t="s">
        <v>61</v>
      </c>
      <c r="F55" s="22" t="s">
        <v>152</v>
      </c>
      <c r="G55" s="22" t="s">
        <v>60</v>
      </c>
      <c r="H55" s="22" t="s">
        <v>226</v>
      </c>
      <c r="I55" s="22" t="s">
        <v>634</v>
      </c>
      <c r="J55" s="22" t="s">
        <v>647</v>
      </c>
      <c r="M55" s="22" t="s">
        <v>1</v>
      </c>
      <c r="N55" s="22" t="s">
        <v>644</v>
      </c>
      <c r="O55" s="22" t="s">
        <v>158</v>
      </c>
      <c r="P55" s="21">
        <v>11320</v>
      </c>
      <c r="Q55" s="21">
        <v>4</v>
      </c>
      <c r="R55" s="21">
        <v>4</v>
      </c>
      <c r="S55" s="21">
        <v>4</v>
      </c>
      <c r="T55" s="21" t="s">
        <v>246</v>
      </c>
      <c r="U55" s="21">
        <v>1</v>
      </c>
      <c r="V55" s="22">
        <v>1</v>
      </c>
      <c r="W55" s="25">
        <f>4*3.14*(R55/2)*(Q55/2)/V55</f>
        <v>50.24</v>
      </c>
      <c r="X55" s="25">
        <f>(3.14/6*(Q55*S55*R55))*U55</f>
        <v>33.493333333333332</v>
      </c>
      <c r="Y55" s="21">
        <v>1</v>
      </c>
      <c r="Z55" s="24">
        <f>Y55*W55</f>
        <v>50.24</v>
      </c>
      <c r="AA55" s="24">
        <f>Y55*X55</f>
        <v>33.493333333333332</v>
      </c>
      <c r="AB55" s="21"/>
      <c r="AC55" s="21"/>
      <c r="AD55" s="21"/>
      <c r="AE55" s="21"/>
      <c r="AF55" s="21" t="s">
        <v>247</v>
      </c>
      <c r="AG55" s="21"/>
      <c r="AH55" s="24"/>
      <c r="AI55" s="24"/>
      <c r="AJ55" s="21">
        <v>33.493333333333332</v>
      </c>
      <c r="AK55" s="21">
        <v>4</v>
      </c>
      <c r="AL55" s="22" t="s">
        <v>161</v>
      </c>
      <c r="AM55" s="22">
        <v>0.22</v>
      </c>
      <c r="AN55" s="22" t="s">
        <v>368</v>
      </c>
      <c r="AO55" s="22" t="s">
        <v>229</v>
      </c>
      <c r="AP55" s="22" t="s">
        <v>626</v>
      </c>
      <c r="AQ55" s="22" t="str">
        <f t="shared" si="17"/>
        <v>Nanophytoplankton</v>
      </c>
      <c r="AR55" s="22">
        <v>0</v>
      </c>
      <c r="AS55" s="22">
        <v>0</v>
      </c>
      <c r="AT55" s="22">
        <v>0</v>
      </c>
      <c r="AU55" s="22">
        <v>0</v>
      </c>
      <c r="AV55" s="22">
        <v>0</v>
      </c>
      <c r="AW55" s="22">
        <v>0</v>
      </c>
      <c r="AX55" s="22">
        <v>0</v>
      </c>
      <c r="AY55" s="22">
        <v>1</v>
      </c>
      <c r="BH55" s="22">
        <f t="shared" si="0"/>
        <v>0.66666666666666663</v>
      </c>
    </row>
    <row r="56" spans="1:60" s="22" customFormat="1" ht="13">
      <c r="A56" s="22" t="s">
        <v>2199</v>
      </c>
      <c r="B56" s="22" t="s">
        <v>663</v>
      </c>
      <c r="C56" s="23" t="s">
        <v>822</v>
      </c>
      <c r="D56" s="23" t="s">
        <v>965</v>
      </c>
      <c r="E56" s="22" t="s">
        <v>62</v>
      </c>
      <c r="F56" s="23" t="s">
        <v>1499</v>
      </c>
      <c r="G56" s="23" t="s">
        <v>1500</v>
      </c>
      <c r="H56" s="23" t="s">
        <v>1501</v>
      </c>
      <c r="I56" s="23" t="s">
        <v>44</v>
      </c>
      <c r="J56" s="22" t="s">
        <v>211</v>
      </c>
      <c r="M56" s="22" t="s">
        <v>1</v>
      </c>
      <c r="N56" s="22" t="s">
        <v>694</v>
      </c>
      <c r="O56" s="22" t="s">
        <v>1430</v>
      </c>
      <c r="P56" s="21">
        <v>70653</v>
      </c>
      <c r="Q56" s="22">
        <v>15</v>
      </c>
      <c r="R56" s="22">
        <v>4</v>
      </c>
      <c r="S56" s="22">
        <v>2</v>
      </c>
      <c r="T56" s="22" t="s">
        <v>330</v>
      </c>
      <c r="U56" s="22">
        <v>0.75</v>
      </c>
      <c r="V56" s="21">
        <v>0.75</v>
      </c>
      <c r="W56" s="25">
        <f>(Q56*R56*2+Q56*S56*2+R56*S56*2)/V56</f>
        <v>261.33333333333331</v>
      </c>
      <c r="X56" s="25">
        <f>Q56*R56*S56*U56</f>
        <v>90</v>
      </c>
      <c r="Y56" s="21">
        <v>1</v>
      </c>
      <c r="Z56" s="24">
        <f t="shared" ref="Z56:Z70" si="18">Y56*W56</f>
        <v>261.33333333333331</v>
      </c>
      <c r="AA56" s="24">
        <f t="shared" ref="AA56:AA70" si="19">Y56*X56</f>
        <v>90</v>
      </c>
      <c r="AE56" s="21"/>
      <c r="AF56" s="21" t="s">
        <v>247</v>
      </c>
      <c r="AH56" s="25"/>
      <c r="AI56" s="25"/>
      <c r="AJ56" s="21">
        <v>90</v>
      </c>
      <c r="AK56" s="21">
        <v>15</v>
      </c>
      <c r="AL56" s="22" t="s">
        <v>748</v>
      </c>
      <c r="AM56" s="22">
        <v>0.11</v>
      </c>
      <c r="AO56" s="22" t="s">
        <v>1762</v>
      </c>
      <c r="AP56" s="22" t="s">
        <v>1432</v>
      </c>
      <c r="AQ56" s="22" t="str">
        <f t="shared" si="17"/>
        <v>Nanophytoplankton</v>
      </c>
      <c r="AR56" s="22">
        <v>0</v>
      </c>
      <c r="AS56" s="22">
        <v>0</v>
      </c>
      <c r="AT56" s="22">
        <v>0</v>
      </c>
      <c r="AU56" s="22">
        <v>1</v>
      </c>
      <c r="AV56" s="22">
        <v>0</v>
      </c>
      <c r="AW56" s="22">
        <v>0</v>
      </c>
      <c r="AX56" s="22">
        <v>1</v>
      </c>
      <c r="AY56" s="22">
        <v>0</v>
      </c>
      <c r="BH56" s="22">
        <f t="shared" si="0"/>
        <v>0.34438775510204084</v>
      </c>
    </row>
    <row r="57" spans="1:60" s="22" customFormat="1" ht="14">
      <c r="A57" s="22" t="s">
        <v>170</v>
      </c>
      <c r="B57" s="22" t="s">
        <v>149</v>
      </c>
      <c r="C57" s="22" t="s">
        <v>150</v>
      </c>
      <c r="D57" s="23" t="s">
        <v>151</v>
      </c>
      <c r="E57" s="22" t="s">
        <v>61</v>
      </c>
      <c r="F57" s="22" t="s">
        <v>152</v>
      </c>
      <c r="G57" s="20" t="s">
        <v>164</v>
      </c>
      <c r="H57" s="26" t="s">
        <v>165</v>
      </c>
      <c r="I57" s="22" t="s">
        <v>32</v>
      </c>
      <c r="J57" s="22" t="s">
        <v>171</v>
      </c>
      <c r="N57" s="22" t="s">
        <v>172</v>
      </c>
      <c r="O57" s="22" t="s">
        <v>158</v>
      </c>
      <c r="P57" s="22">
        <v>10732</v>
      </c>
      <c r="Q57" s="22">
        <v>4</v>
      </c>
      <c r="R57" s="22">
        <v>4</v>
      </c>
      <c r="S57" s="22">
        <v>4</v>
      </c>
      <c r="T57" s="21" t="s">
        <v>159</v>
      </c>
      <c r="U57" s="21">
        <v>1</v>
      </c>
      <c r="V57" s="21">
        <v>1</v>
      </c>
      <c r="W57" s="24">
        <f>(4*3.14*(((Q57^1.6*R57^1.6+Q57^1.6*S57^1.6+R57^1.6+S57^1.6)/3)^(1/1.6)))*(1/V57)</f>
        <v>166.37591354482302</v>
      </c>
      <c r="X57" s="24">
        <f>3.14/6*Q57*R57*S57*U57</f>
        <v>33.493333333333332</v>
      </c>
      <c r="Y57" s="21">
        <v>25</v>
      </c>
      <c r="Z57" s="24">
        <f t="shared" si="18"/>
        <v>4159.3978386205754</v>
      </c>
      <c r="AA57" s="24">
        <f t="shared" si="19"/>
        <v>837.33333333333326</v>
      </c>
      <c r="AB57" s="22">
        <v>100</v>
      </c>
      <c r="AC57" s="22">
        <v>4</v>
      </c>
      <c r="AD57" s="22">
        <v>4</v>
      </c>
      <c r="AE57" s="21" t="s">
        <v>160</v>
      </c>
      <c r="AF57" s="21">
        <v>1</v>
      </c>
      <c r="AG57" s="21">
        <v>1</v>
      </c>
      <c r="AH57" s="24">
        <f>3.14*AC57*AB57+2*3.14*(AD57/2)^2/AG57</f>
        <v>1281.1199999999999</v>
      </c>
      <c r="AI57" s="25">
        <f>(3.14/4*AC57^2*AB57)*AF57</f>
        <v>1256</v>
      </c>
      <c r="AJ57" s="21">
        <v>1256</v>
      </c>
      <c r="AK57" s="21">
        <v>100</v>
      </c>
      <c r="AL57" s="22" t="s">
        <v>161</v>
      </c>
      <c r="AM57" s="22">
        <v>0.22</v>
      </c>
      <c r="AO57" s="22" t="s">
        <v>168</v>
      </c>
      <c r="AP57" s="22" t="s">
        <v>169</v>
      </c>
      <c r="AQ57" s="22" t="str">
        <f t="shared" si="17"/>
        <v>Microphytoplankton</v>
      </c>
      <c r="AR57" s="22">
        <v>0</v>
      </c>
      <c r="AS57" s="22">
        <v>0</v>
      </c>
      <c r="AT57" s="22">
        <v>0</v>
      </c>
      <c r="AU57" s="22">
        <v>1</v>
      </c>
      <c r="AV57" s="22">
        <v>1</v>
      </c>
      <c r="AW57" s="22">
        <v>0</v>
      </c>
      <c r="AX57" s="22">
        <v>0</v>
      </c>
      <c r="AY57" s="22">
        <v>1</v>
      </c>
      <c r="BH57" s="22">
        <f t="shared" si="0"/>
        <v>0.20131119114372259</v>
      </c>
    </row>
    <row r="58" spans="1:60" s="22" customFormat="1" ht="14">
      <c r="A58" s="21" t="s">
        <v>180</v>
      </c>
      <c r="B58" s="22" t="s">
        <v>149</v>
      </c>
      <c r="C58" s="22" t="s">
        <v>150</v>
      </c>
      <c r="D58" s="23" t="s">
        <v>151</v>
      </c>
      <c r="E58" s="22" t="s">
        <v>61</v>
      </c>
      <c r="F58" s="22" t="s">
        <v>152</v>
      </c>
      <c r="G58" s="20" t="s">
        <v>164</v>
      </c>
      <c r="H58" s="26" t="s">
        <v>165</v>
      </c>
      <c r="I58" s="22" t="s">
        <v>32</v>
      </c>
      <c r="J58" s="21" t="s">
        <v>181</v>
      </c>
      <c r="K58" s="21"/>
      <c r="L58" s="21"/>
      <c r="N58" s="22" t="s">
        <v>182</v>
      </c>
      <c r="O58" s="22" t="s">
        <v>158</v>
      </c>
      <c r="P58" s="21">
        <v>10730</v>
      </c>
      <c r="Q58" s="21">
        <v>8</v>
      </c>
      <c r="R58" s="21">
        <v>8</v>
      </c>
      <c r="S58" s="21">
        <v>8</v>
      </c>
      <c r="T58" s="21" t="s">
        <v>159</v>
      </c>
      <c r="U58" s="21">
        <v>1</v>
      </c>
      <c r="V58" s="21">
        <v>1</v>
      </c>
      <c r="W58" s="24">
        <f>(4*3.14*(((Q58^1.6*R58^1.6+Q58^1.6*S58^1.6+R58^1.6+S58^1.6)/3)^(1/1.6)))*(1/V58)</f>
        <v>637.80128491389792</v>
      </c>
      <c r="X58" s="24">
        <f>3.14/6*Q58*R58*S58*U58</f>
        <v>267.94666666666666</v>
      </c>
      <c r="Y58" s="21">
        <v>10</v>
      </c>
      <c r="Z58" s="24">
        <f t="shared" si="18"/>
        <v>6378.0128491389787</v>
      </c>
      <c r="AA58" s="24">
        <f t="shared" si="19"/>
        <v>2679.4666666666667</v>
      </c>
      <c r="AB58" s="21">
        <v>80</v>
      </c>
      <c r="AC58" s="21">
        <v>8</v>
      </c>
      <c r="AD58" s="21">
        <v>8</v>
      </c>
      <c r="AE58" s="21" t="s">
        <v>160</v>
      </c>
      <c r="AF58" s="21">
        <v>1</v>
      </c>
      <c r="AG58" s="21">
        <v>1</v>
      </c>
      <c r="AH58" s="24">
        <f>3.14*AC58*AB58+2*3.14*(AD58/2)^2/AG58</f>
        <v>2110.08</v>
      </c>
      <c r="AI58" s="25">
        <f>(3.14/4*AC58^2*AB58)*AF58</f>
        <v>4019.2000000000003</v>
      </c>
      <c r="AJ58" s="21">
        <v>4021.2</v>
      </c>
      <c r="AK58" s="21">
        <v>100</v>
      </c>
      <c r="AL58" s="22" t="s">
        <v>161</v>
      </c>
      <c r="AM58" s="22">
        <v>0.22</v>
      </c>
      <c r="AO58" s="22" t="s">
        <v>168</v>
      </c>
      <c r="AP58" s="22" t="s">
        <v>169</v>
      </c>
      <c r="AQ58" s="22" t="str">
        <f t="shared" si="17"/>
        <v>Microphytoplankton</v>
      </c>
      <c r="AR58" s="22">
        <v>0</v>
      </c>
      <c r="AS58" s="22">
        <v>0</v>
      </c>
      <c r="AT58" s="22">
        <v>0</v>
      </c>
      <c r="AU58" s="22">
        <v>1</v>
      </c>
      <c r="AV58" s="22">
        <v>1</v>
      </c>
      <c r="AW58" s="22">
        <v>0</v>
      </c>
      <c r="AX58" s="22">
        <v>0</v>
      </c>
      <c r="AY58" s="22">
        <v>1</v>
      </c>
      <c r="BH58" s="22">
        <f t="shared" si="0"/>
        <v>0.42010995117835015</v>
      </c>
    </row>
    <row r="59" spans="1:60" s="22" customFormat="1" ht="14">
      <c r="A59" s="21" t="s">
        <v>183</v>
      </c>
      <c r="B59" s="22" t="s">
        <v>149</v>
      </c>
      <c r="C59" s="22" t="s">
        <v>150</v>
      </c>
      <c r="D59" s="23" t="s">
        <v>151</v>
      </c>
      <c r="E59" s="22" t="s">
        <v>61</v>
      </c>
      <c r="F59" s="22" t="s">
        <v>152</v>
      </c>
      <c r="G59" s="20" t="s">
        <v>164</v>
      </c>
      <c r="H59" s="26" t="s">
        <v>165</v>
      </c>
      <c r="I59" s="22" t="s">
        <v>32</v>
      </c>
      <c r="J59" s="21" t="s">
        <v>181</v>
      </c>
      <c r="K59" s="21" t="s">
        <v>184</v>
      </c>
      <c r="L59" s="21" t="s">
        <v>185</v>
      </c>
      <c r="N59" s="22" t="s">
        <v>186</v>
      </c>
      <c r="O59" s="22" t="s">
        <v>158</v>
      </c>
      <c r="P59" s="22">
        <v>10731</v>
      </c>
      <c r="Q59" s="21">
        <v>8</v>
      </c>
      <c r="R59" s="21">
        <v>6</v>
      </c>
      <c r="S59" s="21">
        <v>8</v>
      </c>
      <c r="T59" s="21" t="s">
        <v>159</v>
      </c>
      <c r="U59" s="21">
        <v>1</v>
      </c>
      <c r="V59" s="21">
        <v>1</v>
      </c>
      <c r="W59" s="24">
        <f>(4*3.14*(((Q59^1.6*R59^1.6+Q59^1.6*S59^1.6+R59^1.6+S59^1.6)/3)^(1/1.6)))*(1/V59)</f>
        <v>561.48992953362938</v>
      </c>
      <c r="X59" s="24">
        <f>3.14/6*Q59*R59*S59*U59</f>
        <v>200.95999999999998</v>
      </c>
      <c r="Y59" s="21">
        <v>10</v>
      </c>
      <c r="Z59" s="24">
        <f t="shared" si="18"/>
        <v>5614.899295336294</v>
      </c>
      <c r="AA59" s="24">
        <f t="shared" si="19"/>
        <v>2009.6</v>
      </c>
      <c r="AB59" s="21">
        <v>80</v>
      </c>
      <c r="AC59" s="21">
        <v>6</v>
      </c>
      <c r="AD59" s="21">
        <v>8</v>
      </c>
      <c r="AE59" s="21" t="s">
        <v>160</v>
      </c>
      <c r="AF59" s="21">
        <v>1</v>
      </c>
      <c r="AG59" s="21">
        <v>1</v>
      </c>
      <c r="AH59" s="24">
        <f>3.14*AC59*AB59+2*3.14*(AD59/2)^2/AG59</f>
        <v>1607.68</v>
      </c>
      <c r="AI59" s="25">
        <f>(3.14/4*AC59^2*AB59)*AF59</f>
        <v>2260.8000000000002</v>
      </c>
      <c r="AJ59" s="21">
        <v>3072</v>
      </c>
      <c r="AK59" s="21">
        <v>100</v>
      </c>
      <c r="AL59" s="22" t="s">
        <v>161</v>
      </c>
      <c r="AM59" s="22">
        <v>0.22</v>
      </c>
      <c r="AO59" s="22" t="s">
        <v>168</v>
      </c>
      <c r="AP59" s="22" t="s">
        <v>169</v>
      </c>
      <c r="AQ59" s="22" t="str">
        <f t="shared" si="17"/>
        <v>Microphytoplankton</v>
      </c>
      <c r="AR59" s="22">
        <v>0</v>
      </c>
      <c r="AS59" s="22">
        <v>0</v>
      </c>
      <c r="AT59" s="22">
        <v>0</v>
      </c>
      <c r="AU59" s="22">
        <v>1</v>
      </c>
      <c r="AV59" s="22">
        <v>1</v>
      </c>
      <c r="AW59" s="22">
        <v>0</v>
      </c>
      <c r="AX59" s="22">
        <v>0</v>
      </c>
      <c r="AY59" s="22">
        <v>1</v>
      </c>
      <c r="BH59" s="22">
        <f t="shared" si="0"/>
        <v>0.35790490519913032</v>
      </c>
    </row>
    <row r="60" spans="1:60" s="22" customFormat="1" ht="13">
      <c r="A60" s="21" t="s">
        <v>2701</v>
      </c>
      <c r="B60" s="22" t="s">
        <v>663</v>
      </c>
      <c r="C60" s="22" t="s">
        <v>2223</v>
      </c>
      <c r="D60" s="22" t="s">
        <v>2224</v>
      </c>
      <c r="E60" s="23" t="s">
        <v>63</v>
      </c>
      <c r="F60" s="23" t="s">
        <v>2225</v>
      </c>
      <c r="G60" s="23" t="s">
        <v>2226</v>
      </c>
      <c r="H60" s="22" t="s">
        <v>2253</v>
      </c>
      <c r="I60" s="22" t="s">
        <v>2692</v>
      </c>
      <c r="J60" s="38" t="s">
        <v>2702</v>
      </c>
      <c r="K60" s="38"/>
      <c r="L60" s="38"/>
      <c r="N60" s="22" t="s">
        <v>2703</v>
      </c>
      <c r="O60" s="22" t="s">
        <v>2229</v>
      </c>
      <c r="P60" s="21">
        <v>81795</v>
      </c>
      <c r="Q60" s="21">
        <v>21</v>
      </c>
      <c r="R60" s="21">
        <v>2.4</v>
      </c>
      <c r="S60" s="21">
        <v>2.4</v>
      </c>
      <c r="T60" s="21" t="s">
        <v>281</v>
      </c>
      <c r="U60" s="21">
        <v>0.7</v>
      </c>
      <c r="V60" s="21">
        <v>0.7</v>
      </c>
      <c r="W60" s="24">
        <f>(4*3.14*(((Q60^1.6*R60^1.6+Q60^1.6*S60^1.6+R60^1.6+S60^1.6)/3)^(1/1.6)))*(1/V60)</f>
        <v>705.24076543045101</v>
      </c>
      <c r="X60" s="24">
        <f>3.14/6*Q60*R60*S60*U60</f>
        <v>44.311679999999996</v>
      </c>
      <c r="Y60" s="22">
        <v>1</v>
      </c>
      <c r="Z60" s="24">
        <f t="shared" si="18"/>
        <v>705.24076543045101</v>
      </c>
      <c r="AA60" s="24">
        <f t="shared" si="19"/>
        <v>44.311679999999996</v>
      </c>
      <c r="AB60" s="21"/>
      <c r="AC60" s="21"/>
      <c r="AD60" s="21"/>
      <c r="AE60" s="21"/>
      <c r="AF60" s="21"/>
      <c r="AG60" s="21"/>
      <c r="AH60" s="24"/>
      <c r="AI60" s="24"/>
      <c r="AJ60" s="21">
        <v>66.5</v>
      </c>
      <c r="AK60" s="21">
        <v>21</v>
      </c>
      <c r="AL60" s="22" t="s">
        <v>161</v>
      </c>
      <c r="AM60" s="22">
        <v>0.16</v>
      </c>
      <c r="AN60" s="38" t="s">
        <v>2257</v>
      </c>
      <c r="AO60" s="22" t="s">
        <v>2257</v>
      </c>
      <c r="AP60" s="22" t="s">
        <v>162</v>
      </c>
      <c r="AQ60" s="22" t="str">
        <f t="shared" si="17"/>
        <v>Microphytoplankton</v>
      </c>
      <c r="AR60" s="22">
        <v>0</v>
      </c>
      <c r="AS60" s="22">
        <v>0</v>
      </c>
      <c r="AT60" s="22">
        <v>0</v>
      </c>
      <c r="AU60" s="22">
        <v>0</v>
      </c>
      <c r="AV60" s="22">
        <v>0</v>
      </c>
      <c r="AW60" s="22">
        <v>0</v>
      </c>
      <c r="AX60" s="22">
        <v>0</v>
      </c>
      <c r="AY60" s="22">
        <v>1</v>
      </c>
      <c r="BH60" s="22">
        <f t="shared" si="0"/>
        <v>6.2831988977486153E-2</v>
      </c>
    </row>
    <row r="61" spans="1:60" s="22" customFormat="1" ht="13">
      <c r="A61" s="21" t="s">
        <v>1498</v>
      </c>
      <c r="B61" s="22" t="s">
        <v>663</v>
      </c>
      <c r="C61" s="23" t="s">
        <v>822</v>
      </c>
      <c r="D61" s="23" t="s">
        <v>965</v>
      </c>
      <c r="E61" s="22" t="s">
        <v>62</v>
      </c>
      <c r="F61" s="23" t="s">
        <v>1499</v>
      </c>
      <c r="G61" s="23" t="s">
        <v>1500</v>
      </c>
      <c r="H61" s="23" t="s">
        <v>1501</v>
      </c>
      <c r="I61" s="22" t="s">
        <v>1502</v>
      </c>
      <c r="J61" s="22" t="s">
        <v>1503</v>
      </c>
      <c r="N61" s="22" t="s">
        <v>1504</v>
      </c>
      <c r="O61" s="22" t="s">
        <v>1430</v>
      </c>
      <c r="P61" s="21">
        <v>70710</v>
      </c>
      <c r="Q61" s="21">
        <v>65</v>
      </c>
      <c r="R61" s="21">
        <v>2</v>
      </c>
      <c r="S61" s="21">
        <v>2</v>
      </c>
      <c r="T61" s="22" t="s">
        <v>330</v>
      </c>
      <c r="U61" s="21">
        <v>1</v>
      </c>
      <c r="V61" s="22">
        <v>1</v>
      </c>
      <c r="W61" s="25">
        <f>(Q61*R61*2+Q61*S61*2+R61*S61*2)/V61</f>
        <v>528</v>
      </c>
      <c r="X61" s="25">
        <f>Q61*R61*S61*U61</f>
        <v>260</v>
      </c>
      <c r="Y61" s="22">
        <v>1</v>
      </c>
      <c r="Z61" s="24">
        <f t="shared" si="18"/>
        <v>528</v>
      </c>
      <c r="AA61" s="24">
        <f t="shared" si="19"/>
        <v>260</v>
      </c>
      <c r="AB61" s="21"/>
      <c r="AC61" s="21"/>
      <c r="AD61" s="21"/>
      <c r="AF61" s="21" t="s">
        <v>247</v>
      </c>
      <c r="AH61" s="25"/>
      <c r="AI61" s="25"/>
      <c r="AJ61" s="21">
        <v>260</v>
      </c>
      <c r="AK61" s="21">
        <v>130</v>
      </c>
      <c r="AL61" s="22" t="s">
        <v>161</v>
      </c>
      <c r="AM61" s="22">
        <v>0.11</v>
      </c>
      <c r="AN61" s="22" t="s">
        <v>1505</v>
      </c>
      <c r="AO61" s="22" t="s">
        <v>1505</v>
      </c>
      <c r="AP61" s="22" t="s">
        <v>1432</v>
      </c>
      <c r="AQ61" s="22" t="str">
        <f t="shared" si="17"/>
        <v>Microphytoplankton</v>
      </c>
      <c r="AR61" s="22">
        <v>0</v>
      </c>
      <c r="AS61" s="22">
        <v>0</v>
      </c>
      <c r="AT61" s="22">
        <v>0</v>
      </c>
      <c r="AU61" s="22">
        <v>1</v>
      </c>
      <c r="AV61" s="22">
        <v>0</v>
      </c>
      <c r="AW61" s="22">
        <v>0</v>
      </c>
      <c r="AX61" s="22">
        <v>1</v>
      </c>
      <c r="AY61" s="22">
        <v>0</v>
      </c>
      <c r="BF61" s="22">
        <v>0</v>
      </c>
      <c r="BG61" s="22">
        <v>1</v>
      </c>
      <c r="BH61" s="22">
        <f t="shared" si="0"/>
        <v>0.49242424242424243</v>
      </c>
    </row>
    <row r="62" spans="1:60" s="22" customFormat="1" ht="13">
      <c r="A62" s="22" t="s">
        <v>1506</v>
      </c>
      <c r="B62" s="22" t="s">
        <v>663</v>
      </c>
      <c r="C62" s="23" t="s">
        <v>822</v>
      </c>
      <c r="D62" s="23" t="s">
        <v>965</v>
      </c>
      <c r="E62" s="22" t="s">
        <v>62</v>
      </c>
      <c r="F62" s="22" t="s">
        <v>1424</v>
      </c>
      <c r="G62" s="23" t="s">
        <v>1507</v>
      </c>
      <c r="H62" s="23" t="s">
        <v>1508</v>
      </c>
      <c r="I62" s="22" t="s">
        <v>40</v>
      </c>
      <c r="J62" s="22" t="s">
        <v>1509</v>
      </c>
      <c r="L62" s="22" t="s">
        <v>513</v>
      </c>
      <c r="N62" s="22" t="s">
        <v>1510</v>
      </c>
      <c r="O62" s="22" t="s">
        <v>1430</v>
      </c>
      <c r="P62" s="21">
        <v>70111</v>
      </c>
      <c r="Q62" s="22">
        <v>10.5</v>
      </c>
      <c r="R62" s="22">
        <v>9</v>
      </c>
      <c r="S62" s="22">
        <v>9</v>
      </c>
      <c r="T62" s="21" t="s">
        <v>160</v>
      </c>
      <c r="U62" s="21">
        <v>1</v>
      </c>
      <c r="V62" s="22">
        <v>1</v>
      </c>
      <c r="W62" s="24">
        <f>3.14*R62*Q62+2*3.14*(S62/2)^2/V62</f>
        <v>423.90000000000003</v>
      </c>
      <c r="X62" s="25">
        <f>(3.14/4*R62^2*Q62)*U62</f>
        <v>667.64250000000004</v>
      </c>
      <c r="Y62" s="22">
        <v>1</v>
      </c>
      <c r="Z62" s="24">
        <f t="shared" si="18"/>
        <v>423.90000000000003</v>
      </c>
      <c r="AA62" s="24">
        <f t="shared" si="19"/>
        <v>667.64250000000004</v>
      </c>
      <c r="AF62" s="21" t="s">
        <v>247</v>
      </c>
      <c r="AH62" s="25"/>
      <c r="AI62" s="25"/>
      <c r="AJ62" s="21">
        <v>779</v>
      </c>
      <c r="AK62" s="21">
        <v>100</v>
      </c>
      <c r="AL62" s="22" t="s">
        <v>161</v>
      </c>
      <c r="AM62" s="22">
        <v>0.11</v>
      </c>
      <c r="AN62" s="22" t="s">
        <v>1505</v>
      </c>
      <c r="AO62" s="22" t="s">
        <v>1505</v>
      </c>
      <c r="AP62" s="22" t="s">
        <v>1432</v>
      </c>
      <c r="AQ62" s="22" t="str">
        <f t="shared" si="17"/>
        <v>Microphytoplankton</v>
      </c>
      <c r="AR62" s="22">
        <v>0</v>
      </c>
      <c r="AS62" s="22">
        <v>0</v>
      </c>
      <c r="AT62" s="22">
        <v>0</v>
      </c>
      <c r="AU62" s="22">
        <v>1</v>
      </c>
      <c r="AV62" s="22">
        <v>1</v>
      </c>
      <c r="AW62" s="22">
        <v>0</v>
      </c>
      <c r="AX62" s="22">
        <v>1</v>
      </c>
      <c r="AY62" s="22">
        <v>0</v>
      </c>
      <c r="BH62" s="22">
        <f t="shared" si="0"/>
        <v>1.575</v>
      </c>
    </row>
    <row r="63" spans="1:60" s="22" customFormat="1" ht="13">
      <c r="A63" s="21" t="s">
        <v>1514</v>
      </c>
      <c r="B63" s="22" t="s">
        <v>663</v>
      </c>
      <c r="C63" s="23" t="s">
        <v>822</v>
      </c>
      <c r="D63" s="23" t="s">
        <v>965</v>
      </c>
      <c r="E63" s="22" t="s">
        <v>62</v>
      </c>
      <c r="F63" s="22" t="s">
        <v>1424</v>
      </c>
      <c r="G63" s="23" t="s">
        <v>1507</v>
      </c>
      <c r="H63" s="23" t="s">
        <v>1508</v>
      </c>
      <c r="I63" s="22" t="s">
        <v>40</v>
      </c>
      <c r="J63" s="22" t="s">
        <v>1515</v>
      </c>
      <c r="N63" s="22" t="s">
        <v>1516</v>
      </c>
      <c r="O63" s="22" t="s">
        <v>1430</v>
      </c>
      <c r="P63" s="21">
        <v>70115</v>
      </c>
      <c r="Q63" s="21">
        <v>30</v>
      </c>
      <c r="R63" s="21">
        <v>8</v>
      </c>
      <c r="S63" s="21">
        <v>8</v>
      </c>
      <c r="T63" s="21" t="s">
        <v>160</v>
      </c>
      <c r="U63" s="21">
        <v>1</v>
      </c>
      <c r="V63" s="22">
        <v>1</v>
      </c>
      <c r="W63" s="24">
        <f>3.14*R63*Q63+2*3.14*(S63/2)^2/V63</f>
        <v>854.08</v>
      </c>
      <c r="X63" s="25">
        <f>(3.14/4*R63^2*Q63)*U63</f>
        <v>1507.2</v>
      </c>
      <c r="Y63" s="22">
        <v>1</v>
      </c>
      <c r="Z63" s="24">
        <f t="shared" si="18"/>
        <v>854.08</v>
      </c>
      <c r="AA63" s="24">
        <f t="shared" si="19"/>
        <v>1507.2</v>
      </c>
      <c r="AB63" s="21"/>
      <c r="AC63" s="21"/>
      <c r="AD63" s="21"/>
      <c r="AF63" s="21" t="s">
        <v>247</v>
      </c>
      <c r="AH63" s="25"/>
      <c r="AI63" s="25"/>
      <c r="AJ63" s="21">
        <v>1920</v>
      </c>
      <c r="AK63" s="21">
        <v>100</v>
      </c>
      <c r="AL63" s="22" t="s">
        <v>161</v>
      </c>
      <c r="AM63" s="22">
        <v>0.11</v>
      </c>
      <c r="AN63" s="22" t="s">
        <v>1517</v>
      </c>
      <c r="AO63" s="22" t="s">
        <v>1517</v>
      </c>
      <c r="AP63" s="22" t="s">
        <v>1432</v>
      </c>
      <c r="AQ63" s="22" t="str">
        <f t="shared" si="17"/>
        <v>Microphytoplankton</v>
      </c>
      <c r="AR63" s="22">
        <v>0</v>
      </c>
      <c r="AS63" s="22">
        <v>0</v>
      </c>
      <c r="AT63" s="22">
        <v>0</v>
      </c>
      <c r="AU63" s="22">
        <v>1</v>
      </c>
      <c r="AV63" s="22">
        <v>1</v>
      </c>
      <c r="AW63" s="22">
        <v>0</v>
      </c>
      <c r="AX63" s="22">
        <v>1</v>
      </c>
      <c r="AY63" s="22">
        <v>0</v>
      </c>
      <c r="AZ63" s="22">
        <v>0</v>
      </c>
      <c r="BA63" s="22">
        <v>0</v>
      </c>
      <c r="BB63" s="22">
        <v>0</v>
      </c>
      <c r="BC63" s="22">
        <v>4</v>
      </c>
      <c r="BD63" s="22">
        <v>3</v>
      </c>
      <c r="BE63" s="22">
        <v>3</v>
      </c>
      <c r="BF63" s="22">
        <v>0</v>
      </c>
      <c r="BG63" s="22">
        <v>1</v>
      </c>
      <c r="BH63" s="22">
        <f t="shared" si="0"/>
        <v>1.7647058823529411</v>
      </c>
    </row>
    <row r="64" spans="1:60" s="22" customFormat="1" ht="13">
      <c r="A64" s="21" t="s">
        <v>1518</v>
      </c>
      <c r="B64" s="22" t="s">
        <v>663</v>
      </c>
      <c r="C64" s="23" t="s">
        <v>822</v>
      </c>
      <c r="D64" s="23" t="s">
        <v>965</v>
      </c>
      <c r="E64" s="22" t="s">
        <v>62</v>
      </c>
      <c r="F64" s="22" t="s">
        <v>1424</v>
      </c>
      <c r="G64" s="23" t="s">
        <v>1507</v>
      </c>
      <c r="H64" s="23" t="s">
        <v>1508</v>
      </c>
      <c r="I64" s="22" t="s">
        <v>40</v>
      </c>
      <c r="J64" s="22" t="s">
        <v>1515</v>
      </c>
      <c r="K64" s="22" t="s">
        <v>175</v>
      </c>
      <c r="L64" s="22" t="s">
        <v>1519</v>
      </c>
      <c r="N64" s="22" t="s">
        <v>1520</v>
      </c>
      <c r="O64" s="22" t="s">
        <v>1430</v>
      </c>
      <c r="P64" s="21">
        <v>70110</v>
      </c>
      <c r="Q64" s="21">
        <v>36</v>
      </c>
      <c r="R64" s="21">
        <v>4</v>
      </c>
      <c r="S64" s="21">
        <v>4</v>
      </c>
      <c r="T64" s="21" t="s">
        <v>160</v>
      </c>
      <c r="U64" s="21">
        <v>1</v>
      </c>
      <c r="V64" s="22">
        <v>1</v>
      </c>
      <c r="W64" s="24">
        <f>3.14*R64*Q64+2*3.14*(S64/2)^2/V64</f>
        <v>477.28000000000003</v>
      </c>
      <c r="X64" s="25">
        <f>(3.14/4*R64^2*Q64)*U64</f>
        <v>452.16</v>
      </c>
      <c r="Y64" s="22">
        <v>1</v>
      </c>
      <c r="Z64" s="24">
        <f t="shared" si="18"/>
        <v>477.28000000000003</v>
      </c>
      <c r="AA64" s="24">
        <f t="shared" si="19"/>
        <v>452.16</v>
      </c>
      <c r="AB64" s="21"/>
      <c r="AC64" s="21"/>
      <c r="AD64" s="21"/>
      <c r="AF64" s="21" t="s">
        <v>247</v>
      </c>
      <c r="AH64" s="25"/>
      <c r="AI64" s="25"/>
      <c r="AJ64" s="21">
        <v>452.4</v>
      </c>
      <c r="AK64" s="21">
        <v>100</v>
      </c>
      <c r="AL64" s="22" t="s">
        <v>161</v>
      </c>
      <c r="AM64" s="22">
        <v>0.11</v>
      </c>
      <c r="AN64" s="22" t="s">
        <v>1517</v>
      </c>
      <c r="AO64" s="22" t="s">
        <v>1517</v>
      </c>
      <c r="AP64" s="22" t="s">
        <v>1432</v>
      </c>
      <c r="AQ64" s="22" t="str">
        <f t="shared" si="17"/>
        <v>Microphytoplankton</v>
      </c>
      <c r="AR64" s="22">
        <v>0</v>
      </c>
      <c r="AS64" s="22">
        <v>0</v>
      </c>
      <c r="AT64" s="22">
        <v>0</v>
      </c>
      <c r="AU64" s="22">
        <v>1</v>
      </c>
      <c r="AV64" s="22">
        <v>1</v>
      </c>
      <c r="AW64" s="22">
        <v>0</v>
      </c>
      <c r="AX64" s="22">
        <v>1</v>
      </c>
      <c r="AY64" s="22">
        <v>0</v>
      </c>
      <c r="AZ64" s="22">
        <v>0</v>
      </c>
      <c r="BA64" s="22">
        <v>0</v>
      </c>
      <c r="BB64" s="22">
        <v>0</v>
      </c>
      <c r="BC64" s="22">
        <v>2</v>
      </c>
      <c r="BD64" s="22">
        <v>4</v>
      </c>
      <c r="BE64" s="22">
        <v>4</v>
      </c>
      <c r="BF64" s="22">
        <v>0</v>
      </c>
      <c r="BG64" s="22">
        <v>1</v>
      </c>
      <c r="BH64" s="22">
        <f t="shared" si="0"/>
        <v>0.94736842105263153</v>
      </c>
    </row>
    <row r="65" spans="1:60" s="22" customFormat="1" ht="13">
      <c r="A65" s="22" t="s">
        <v>1521</v>
      </c>
      <c r="B65" s="22" t="s">
        <v>663</v>
      </c>
      <c r="C65" s="23" t="s">
        <v>822</v>
      </c>
      <c r="D65" s="23" t="s">
        <v>965</v>
      </c>
      <c r="E65" s="22" t="s">
        <v>62</v>
      </c>
      <c r="F65" s="22" t="s">
        <v>1424</v>
      </c>
      <c r="G65" s="23" t="s">
        <v>1507</v>
      </c>
      <c r="H65" s="23" t="s">
        <v>1508</v>
      </c>
      <c r="I65" s="22" t="s">
        <v>40</v>
      </c>
      <c r="J65" s="22" t="s">
        <v>1515</v>
      </c>
      <c r="K65" s="22" t="s">
        <v>175</v>
      </c>
      <c r="L65" s="22" t="s">
        <v>1522</v>
      </c>
      <c r="N65" s="22" t="s">
        <v>1523</v>
      </c>
      <c r="O65" s="22" t="s">
        <v>1430</v>
      </c>
      <c r="P65" s="21">
        <v>70113</v>
      </c>
      <c r="Q65" s="22">
        <v>17</v>
      </c>
      <c r="R65" s="22">
        <v>4</v>
      </c>
      <c r="S65" s="22">
        <v>4</v>
      </c>
      <c r="T65" s="21" t="s">
        <v>160</v>
      </c>
      <c r="U65" s="21">
        <v>1</v>
      </c>
      <c r="V65" s="22">
        <v>1</v>
      </c>
      <c r="W65" s="24">
        <f>3.14*R65*Q65+2*3.14*(S65/2)^2/V65</f>
        <v>238.64000000000001</v>
      </c>
      <c r="X65" s="25">
        <f>(3.14/4*R65^2*Q65)*U65</f>
        <v>213.52</v>
      </c>
      <c r="Y65" s="22">
        <v>1</v>
      </c>
      <c r="Z65" s="24">
        <f t="shared" si="18"/>
        <v>238.64000000000001</v>
      </c>
      <c r="AA65" s="24">
        <f t="shared" si="19"/>
        <v>213.52</v>
      </c>
      <c r="AF65" s="21" t="s">
        <v>247</v>
      </c>
      <c r="AH65" s="25"/>
      <c r="AI65" s="25"/>
      <c r="AJ65" s="21">
        <v>908</v>
      </c>
      <c r="AK65" s="21">
        <v>100</v>
      </c>
      <c r="AL65" s="22" t="s">
        <v>161</v>
      </c>
      <c r="AM65" s="22">
        <v>0.11</v>
      </c>
      <c r="AN65" s="22" t="s">
        <v>1517</v>
      </c>
      <c r="AO65" s="22" t="s">
        <v>1517</v>
      </c>
      <c r="AP65" s="22" t="s">
        <v>1432</v>
      </c>
      <c r="AQ65" s="22" t="str">
        <f t="shared" si="17"/>
        <v>Microphytoplankton</v>
      </c>
      <c r="AR65" s="22">
        <v>0</v>
      </c>
      <c r="AS65" s="22">
        <v>0</v>
      </c>
      <c r="AT65" s="22">
        <v>0</v>
      </c>
      <c r="AU65" s="22">
        <v>1</v>
      </c>
      <c r="AV65" s="22">
        <v>1</v>
      </c>
      <c r="AW65" s="22">
        <v>0</v>
      </c>
      <c r="AX65" s="22">
        <v>1</v>
      </c>
      <c r="AY65" s="22">
        <v>0</v>
      </c>
      <c r="BF65" s="22">
        <v>0</v>
      </c>
      <c r="BG65" s="22">
        <v>1</v>
      </c>
      <c r="BH65" s="22">
        <f t="shared" si="0"/>
        <v>0.89473684210526316</v>
      </c>
    </row>
    <row r="66" spans="1:60" s="22" customFormat="1" ht="13">
      <c r="A66" s="21" t="s">
        <v>1150</v>
      </c>
      <c r="B66" s="22" t="s">
        <v>663</v>
      </c>
      <c r="C66" s="23" t="s">
        <v>822</v>
      </c>
      <c r="D66" s="23" t="s">
        <v>965</v>
      </c>
      <c r="E66" s="22" t="s">
        <v>991</v>
      </c>
      <c r="F66" s="23" t="s">
        <v>992</v>
      </c>
      <c r="G66" s="23" t="s">
        <v>1005</v>
      </c>
      <c r="H66" s="22" t="s">
        <v>1022</v>
      </c>
      <c r="I66" s="22" t="s">
        <v>1023</v>
      </c>
      <c r="J66" s="22" t="s">
        <v>340</v>
      </c>
      <c r="N66" s="22" t="s">
        <v>1151</v>
      </c>
      <c r="O66" s="22" t="s">
        <v>962</v>
      </c>
      <c r="P66" s="21">
        <v>51400</v>
      </c>
      <c r="Q66" s="21">
        <v>8</v>
      </c>
      <c r="R66" s="21">
        <v>8</v>
      </c>
      <c r="S66" s="21">
        <v>8</v>
      </c>
      <c r="T66" s="22" t="s">
        <v>281</v>
      </c>
      <c r="U66" s="21">
        <v>0.9</v>
      </c>
      <c r="V66" s="21">
        <v>0.9</v>
      </c>
      <c r="W66" s="24">
        <f>(4*3.14*(((Q66^1.6*R66^1.6+Q66^1.6*S66^1.6+R66^1.6+S66^1.6)/3)^(1/1.6)))*(1/V66)</f>
        <v>708.66809434877553</v>
      </c>
      <c r="X66" s="24">
        <f>3.14/6*Q66*R66*S66*U66</f>
        <v>241.15199999999999</v>
      </c>
      <c r="Y66" s="21">
        <v>1</v>
      </c>
      <c r="Z66" s="24">
        <f t="shared" si="18"/>
        <v>708.66809434877553</v>
      </c>
      <c r="AA66" s="24">
        <f t="shared" si="19"/>
        <v>241.15199999999999</v>
      </c>
      <c r="AB66" s="21"/>
      <c r="AC66" s="21"/>
      <c r="AD66" s="21"/>
      <c r="AE66" s="21"/>
      <c r="AF66" s="21"/>
      <c r="AG66" s="21"/>
      <c r="AH66" s="24"/>
      <c r="AI66" s="24"/>
      <c r="AJ66" s="21">
        <v>241.15</v>
      </c>
      <c r="AK66" s="21">
        <v>8</v>
      </c>
      <c r="AL66" s="22" t="s">
        <v>161</v>
      </c>
      <c r="AM66" s="22">
        <v>0.11</v>
      </c>
      <c r="AQ66" s="22" t="str">
        <f t="shared" si="17"/>
        <v>Nanophytoplankton</v>
      </c>
      <c r="AR66" s="22">
        <v>1</v>
      </c>
      <c r="AS66" s="22">
        <v>1</v>
      </c>
      <c r="AT66" s="22">
        <v>0</v>
      </c>
      <c r="AU66" s="22">
        <v>0</v>
      </c>
      <c r="AV66" s="22">
        <v>0</v>
      </c>
      <c r="AW66" s="22">
        <v>0</v>
      </c>
      <c r="AX66" s="22">
        <v>1</v>
      </c>
      <c r="AY66" s="22">
        <v>0</v>
      </c>
      <c r="BH66" s="22">
        <f t="shared" si="0"/>
        <v>0.34028906045446361</v>
      </c>
    </row>
    <row r="67" spans="1:60" s="22" customFormat="1" ht="13">
      <c r="A67" s="21" t="s">
        <v>654</v>
      </c>
      <c r="B67" s="22" t="s">
        <v>149</v>
      </c>
      <c r="C67" s="22" t="s">
        <v>150</v>
      </c>
      <c r="D67" s="23" t="s">
        <v>151</v>
      </c>
      <c r="E67" s="22" t="s">
        <v>61</v>
      </c>
      <c r="F67" s="22" t="s">
        <v>152</v>
      </c>
      <c r="G67" s="22" t="s">
        <v>60</v>
      </c>
      <c r="H67" s="22" t="s">
        <v>226</v>
      </c>
      <c r="I67" s="22" t="s">
        <v>651</v>
      </c>
      <c r="J67" s="22" t="s">
        <v>655</v>
      </c>
      <c r="K67" s="22" t="s">
        <v>184</v>
      </c>
      <c r="L67" s="22" t="s">
        <v>241</v>
      </c>
      <c r="N67" s="22" t="s">
        <v>656</v>
      </c>
      <c r="O67" s="22" t="s">
        <v>158</v>
      </c>
      <c r="P67" s="21">
        <v>11900</v>
      </c>
      <c r="Q67" s="21">
        <v>6</v>
      </c>
      <c r="R67" s="21">
        <v>3</v>
      </c>
      <c r="S67" s="21">
        <v>3</v>
      </c>
      <c r="T67" s="21" t="s">
        <v>281</v>
      </c>
      <c r="U67" s="21">
        <v>1</v>
      </c>
      <c r="V67" s="21">
        <v>1</v>
      </c>
      <c r="W67" s="24">
        <f>(4*3.14*(((Q67^1.6*R67^1.6+Q67^1.6*S67^1.6+R67^1.6+S67^1.6)/3)^(1/1.6)))*(1/V67)</f>
        <v>181.64401962190658</v>
      </c>
      <c r="X67" s="24">
        <f>3.14/6*Q67*R67*S67*U67</f>
        <v>28.259999999999994</v>
      </c>
      <c r="Y67" s="21">
        <v>64</v>
      </c>
      <c r="Z67" s="24">
        <f t="shared" si="18"/>
        <v>11625.217255802021</v>
      </c>
      <c r="AA67" s="24">
        <f t="shared" si="19"/>
        <v>1808.6399999999996</v>
      </c>
      <c r="AB67" s="21">
        <v>25</v>
      </c>
      <c r="AC67" s="21">
        <v>25</v>
      </c>
      <c r="AD67" s="21">
        <v>25</v>
      </c>
      <c r="AE67" s="22" t="s">
        <v>159</v>
      </c>
      <c r="AF67" s="21">
        <v>0.2</v>
      </c>
      <c r="AG67" s="22">
        <v>1</v>
      </c>
      <c r="AH67" s="24">
        <f>(4*3.14*(((AB67^1.6*AC67^1.6+AB67^1.6*AD67^1.6+AC67^1.6+AD67^1.6)/3)^(1/1.6)))*(1/AG67)</f>
        <v>6114.7951676261209</v>
      </c>
      <c r="AI67" s="24">
        <f>3.14/6*AB67*AC67*AD67*AF67</f>
        <v>1635.4166666666667</v>
      </c>
      <c r="AJ67" s="21">
        <v>33.5</v>
      </c>
      <c r="AK67" s="21">
        <v>4</v>
      </c>
      <c r="AL67" s="22" t="s">
        <v>161</v>
      </c>
      <c r="AM67" s="22">
        <v>0.22</v>
      </c>
      <c r="AN67" s="22" t="s">
        <v>331</v>
      </c>
      <c r="AO67" s="22" t="s">
        <v>331</v>
      </c>
      <c r="AP67" s="22" t="s">
        <v>230</v>
      </c>
      <c r="AQ67" s="22" t="str">
        <f>IF(AND($AK67&lt;20,AJ67&lt;10000),"Nanophytoplankton","Microphytoplankton")</f>
        <v>Nanophytoplankton</v>
      </c>
      <c r="AR67" s="22">
        <v>0</v>
      </c>
      <c r="AS67" s="22">
        <v>0</v>
      </c>
      <c r="AT67" s="22">
        <v>0</v>
      </c>
      <c r="AU67" s="22">
        <v>1</v>
      </c>
      <c r="AV67" s="22">
        <v>0</v>
      </c>
      <c r="AW67" s="22">
        <v>0</v>
      </c>
      <c r="AX67" s="22">
        <v>0</v>
      </c>
      <c r="AY67" s="22">
        <v>1</v>
      </c>
      <c r="BF67" s="22">
        <v>0</v>
      </c>
      <c r="BG67" s="22">
        <v>0</v>
      </c>
      <c r="BH67" s="22">
        <f t="shared" ref="BH67:BH133" si="20">X67/W67</f>
        <v>0.15557902791858164</v>
      </c>
    </row>
    <row r="68" spans="1:60" s="22" customFormat="1" ht="13">
      <c r="A68" s="21" t="s">
        <v>657</v>
      </c>
      <c r="B68" s="22" t="s">
        <v>149</v>
      </c>
      <c r="C68" s="22" t="s">
        <v>150</v>
      </c>
      <c r="D68" s="23" t="s">
        <v>151</v>
      </c>
      <c r="E68" s="22" t="s">
        <v>61</v>
      </c>
      <c r="F68" s="22" t="s">
        <v>152</v>
      </c>
      <c r="G68" s="22" t="s">
        <v>60</v>
      </c>
      <c r="H68" s="22" t="s">
        <v>226</v>
      </c>
      <c r="I68" s="22" t="s">
        <v>651</v>
      </c>
      <c r="J68" s="22" t="s">
        <v>655</v>
      </c>
      <c r="K68" s="22" t="s">
        <v>184</v>
      </c>
      <c r="L68" s="22" t="s">
        <v>658</v>
      </c>
      <c r="N68" s="22" t="s">
        <v>656</v>
      </c>
      <c r="O68" s="22" t="s">
        <v>158</v>
      </c>
      <c r="P68" s="21">
        <v>11901</v>
      </c>
      <c r="Q68" s="21">
        <v>6</v>
      </c>
      <c r="R68" s="21">
        <v>3</v>
      </c>
      <c r="S68" s="21">
        <v>3</v>
      </c>
      <c r="T68" s="21" t="s">
        <v>281</v>
      </c>
      <c r="U68" s="21">
        <v>1</v>
      </c>
      <c r="V68" s="22">
        <v>1</v>
      </c>
      <c r="W68" s="24">
        <f>(4*3.14*(((Q68^1.6*R68^1.6+Q68^1.6*S68^1.6+R68^1.6+S68^1.6)/3)^(1/1.6)))*(1/V68)</f>
        <v>181.64401962190658</v>
      </c>
      <c r="X68" s="24">
        <f>3.14/6*Q68*R68*S68*U68</f>
        <v>28.259999999999994</v>
      </c>
      <c r="Y68" s="21">
        <v>1</v>
      </c>
      <c r="Z68" s="24">
        <f t="shared" si="18"/>
        <v>181.64401962190658</v>
      </c>
      <c r="AA68" s="24">
        <f t="shared" si="19"/>
        <v>28.259999999999994</v>
      </c>
      <c r="AB68" s="21"/>
      <c r="AC68" s="21"/>
      <c r="AD68" s="21"/>
      <c r="AF68" s="21"/>
      <c r="AH68" s="24"/>
      <c r="AI68" s="24"/>
      <c r="AJ68" s="21">
        <v>28.2</v>
      </c>
      <c r="AK68" s="21">
        <v>6</v>
      </c>
      <c r="AL68" s="22" t="s">
        <v>161</v>
      </c>
      <c r="AM68" s="22">
        <v>0.22</v>
      </c>
      <c r="AN68" s="22" t="s">
        <v>331</v>
      </c>
      <c r="AO68" s="22" t="s">
        <v>331</v>
      </c>
      <c r="AP68" s="22" t="s">
        <v>230</v>
      </c>
      <c r="AQ68" s="22" t="str">
        <f>IF(AND($AK68&lt;20,AJ68&lt;10000),"Nanophytoplankton","Microphytoplankton")</f>
        <v>Nanophytoplankton</v>
      </c>
      <c r="AR68" s="22">
        <v>0</v>
      </c>
      <c r="AS68" s="22">
        <v>0</v>
      </c>
      <c r="AT68" s="22">
        <v>0</v>
      </c>
      <c r="AU68" s="22">
        <v>1</v>
      </c>
      <c r="AV68" s="22">
        <v>0</v>
      </c>
      <c r="AW68" s="22">
        <v>0</v>
      </c>
      <c r="AX68" s="22">
        <v>0</v>
      </c>
      <c r="AY68" s="22">
        <v>1</v>
      </c>
      <c r="BF68" s="22">
        <v>0</v>
      </c>
      <c r="BG68" s="22">
        <v>0</v>
      </c>
      <c r="BH68" s="22">
        <f t="shared" si="20"/>
        <v>0.15557902791858164</v>
      </c>
    </row>
    <row r="69" spans="1:60" s="22" customFormat="1" ht="13">
      <c r="A69" s="21" t="s">
        <v>839</v>
      </c>
      <c r="B69" s="22" t="s">
        <v>663</v>
      </c>
      <c r="C69" s="23" t="s">
        <v>822</v>
      </c>
      <c r="D69" s="23" t="s">
        <v>823</v>
      </c>
      <c r="E69" s="23" t="s">
        <v>64</v>
      </c>
      <c r="F69" s="23" t="s">
        <v>824</v>
      </c>
      <c r="G69" s="22" t="s">
        <v>835</v>
      </c>
      <c r="H69" s="23" t="s">
        <v>836</v>
      </c>
      <c r="I69" s="22" t="s">
        <v>57</v>
      </c>
      <c r="J69" s="22" t="s">
        <v>840</v>
      </c>
      <c r="L69" s="22" t="s">
        <v>513</v>
      </c>
      <c r="N69" s="22" t="s">
        <v>157</v>
      </c>
      <c r="O69" s="21" t="s">
        <v>829</v>
      </c>
      <c r="P69" s="21">
        <v>30170</v>
      </c>
      <c r="Q69" s="22">
        <v>13</v>
      </c>
      <c r="R69" s="22">
        <v>8</v>
      </c>
      <c r="S69" s="22">
        <v>7</v>
      </c>
      <c r="T69" s="22" t="s">
        <v>281</v>
      </c>
      <c r="U69" s="21">
        <v>1</v>
      </c>
      <c r="V69" s="22">
        <v>1</v>
      </c>
      <c r="W69" s="24">
        <f>(4*3.14*(((Q69^1.6*R69^1.6+Q69^1.6*S69^1.6+R69^1.6+S69^1.6)/3)^(1/1.6)))*(1/V69)</f>
        <v>961.52369801916825</v>
      </c>
      <c r="X69" s="24">
        <f>3.14/6*Q69*R69*S69*U69</f>
        <v>380.98666666666662</v>
      </c>
      <c r="Y69" s="21">
        <v>1</v>
      </c>
      <c r="Z69" s="24">
        <f t="shared" si="18"/>
        <v>961.52369801916825</v>
      </c>
      <c r="AA69" s="24">
        <f t="shared" si="19"/>
        <v>380.98666666666662</v>
      </c>
      <c r="AB69" s="21"/>
      <c r="AC69" s="21"/>
      <c r="AD69" s="21"/>
      <c r="AE69" s="21"/>
      <c r="AF69" s="21" t="s">
        <v>247</v>
      </c>
      <c r="AG69" s="21"/>
      <c r="AH69" s="24"/>
      <c r="AI69" s="24"/>
      <c r="AJ69" s="21">
        <v>381.2</v>
      </c>
      <c r="AK69" s="21">
        <v>13</v>
      </c>
      <c r="AL69" s="22" t="s">
        <v>161</v>
      </c>
      <c r="AM69" s="22">
        <v>0.11</v>
      </c>
      <c r="AN69" s="22" t="s">
        <v>713</v>
      </c>
      <c r="AO69" s="22" t="s">
        <v>713</v>
      </c>
      <c r="AP69" s="22" t="s">
        <v>673</v>
      </c>
      <c r="AQ69" s="22" t="str">
        <f>IF(AND($AK69&lt;20,AJ69&lt;10000),"Nanophytoplankton","Microphytoplankton")</f>
        <v>Nanophytoplankton</v>
      </c>
      <c r="AR69" s="22">
        <v>1</v>
      </c>
      <c r="AS69" s="22">
        <v>1</v>
      </c>
      <c r="AT69" s="22">
        <v>0</v>
      </c>
      <c r="AU69" s="22">
        <v>0</v>
      </c>
      <c r="AV69" s="22">
        <v>0</v>
      </c>
      <c r="AW69" s="22">
        <v>0</v>
      </c>
      <c r="AX69" s="22">
        <v>1</v>
      </c>
      <c r="AY69" s="22">
        <v>0</v>
      </c>
      <c r="BH69" s="22">
        <f t="shared" si="20"/>
        <v>0.39623221710659445</v>
      </c>
    </row>
    <row r="70" spans="1:60" s="22" customFormat="1" ht="13">
      <c r="A70" s="21" t="s">
        <v>848</v>
      </c>
      <c r="B70" s="22" t="s">
        <v>663</v>
      </c>
      <c r="C70" s="23" t="s">
        <v>822</v>
      </c>
      <c r="D70" s="23" t="s">
        <v>823</v>
      </c>
      <c r="E70" s="23" t="s">
        <v>64</v>
      </c>
      <c r="F70" s="23" t="s">
        <v>824</v>
      </c>
      <c r="G70" s="22" t="s">
        <v>835</v>
      </c>
      <c r="H70" s="23" t="s">
        <v>836</v>
      </c>
      <c r="I70" s="22" t="s">
        <v>57</v>
      </c>
      <c r="J70" s="22" t="s">
        <v>849</v>
      </c>
      <c r="N70" s="22" t="s">
        <v>850</v>
      </c>
      <c r="O70" s="21" t="s">
        <v>829</v>
      </c>
      <c r="P70" s="21">
        <v>30110</v>
      </c>
      <c r="Q70" s="22">
        <v>39</v>
      </c>
      <c r="R70" s="22">
        <v>14</v>
      </c>
      <c r="S70" s="22">
        <v>9</v>
      </c>
      <c r="T70" s="22" t="s">
        <v>281</v>
      </c>
      <c r="U70" s="21">
        <v>1</v>
      </c>
      <c r="V70" s="22">
        <v>1</v>
      </c>
      <c r="W70" s="24">
        <f>(4*3.14*(((Q70^1.6*R70^1.6+Q70^1.6*S70^1.6+R70^1.6+S70^1.6)/3)^(1/1.6)))*(1/V70)</f>
        <v>4441.897280768475</v>
      </c>
      <c r="X70" s="24">
        <f>3.14/6*Q70*R70*S70*U70</f>
        <v>2571.66</v>
      </c>
      <c r="Y70" s="21">
        <v>1</v>
      </c>
      <c r="Z70" s="24">
        <f t="shared" si="18"/>
        <v>4441.897280768475</v>
      </c>
      <c r="AA70" s="24">
        <f t="shared" si="19"/>
        <v>2571.66</v>
      </c>
      <c r="AB70" s="21"/>
      <c r="AC70" s="21"/>
      <c r="AD70" s="21"/>
      <c r="AE70" s="21"/>
      <c r="AF70" s="21" t="s">
        <v>247</v>
      </c>
      <c r="AG70" s="21"/>
      <c r="AH70" s="24"/>
      <c r="AI70" s="24"/>
      <c r="AJ70" s="21">
        <v>2573</v>
      </c>
      <c r="AK70" s="21">
        <v>39</v>
      </c>
      <c r="AL70" s="22" t="s">
        <v>161</v>
      </c>
      <c r="AM70" s="22">
        <v>0.11</v>
      </c>
      <c r="AN70" s="22" t="s">
        <v>713</v>
      </c>
      <c r="AO70" s="22" t="s">
        <v>713</v>
      </c>
      <c r="AP70" s="22" t="s">
        <v>673</v>
      </c>
      <c r="AQ70" s="22" t="str">
        <f>IF(AND($AK70&lt;20,AJ70&lt;10000),"Nanophytoplankton","Microphytoplankton")</f>
        <v>Microphytoplankton</v>
      </c>
      <c r="AR70" s="22">
        <v>1</v>
      </c>
      <c r="AS70" s="22">
        <v>1</v>
      </c>
      <c r="AT70" s="22">
        <v>0</v>
      </c>
      <c r="AU70" s="22">
        <v>0</v>
      </c>
      <c r="AV70" s="22">
        <v>0</v>
      </c>
      <c r="AW70" s="22">
        <v>0</v>
      </c>
      <c r="AX70" s="22">
        <v>1</v>
      </c>
      <c r="AY70" s="22">
        <v>0</v>
      </c>
      <c r="BH70" s="22">
        <f t="shared" si="20"/>
        <v>0.57895530613330326</v>
      </c>
    </row>
    <row r="71" spans="1:60">
      <c r="A71" s="43" t="s">
        <v>3531</v>
      </c>
      <c r="Q71" s="47">
        <v>115</v>
      </c>
      <c r="R71" s="47">
        <v>2.4</v>
      </c>
      <c r="T71" s="22" t="s">
        <v>160</v>
      </c>
      <c r="W71" s="22">
        <f>3.14*2.4*115+2*3.14*(2.4/2)</f>
        <v>874.17599999999993</v>
      </c>
      <c r="X71" s="25">
        <f>3.14/4*2.4^2*115</f>
        <v>519.98400000000004</v>
      </c>
      <c r="Y71" s="21">
        <v>1</v>
      </c>
      <c r="AM71" s="48">
        <v>0.22</v>
      </c>
      <c r="AR71" s="22">
        <v>0</v>
      </c>
      <c r="AS71" s="22">
        <v>0</v>
      </c>
      <c r="AT71" s="22">
        <v>0</v>
      </c>
      <c r="AW71" s="22">
        <v>0</v>
      </c>
      <c r="AX71" s="22">
        <v>0</v>
      </c>
      <c r="AY71" s="22">
        <v>1</v>
      </c>
      <c r="BF71" s="22">
        <v>0</v>
      </c>
      <c r="BG71" s="22">
        <v>0</v>
      </c>
      <c r="BH71" s="22">
        <f t="shared" si="20"/>
        <v>0.59482758620689669</v>
      </c>
    </row>
    <row r="72" spans="1:60" s="22" customFormat="1" ht="13">
      <c r="A72" s="21" t="s">
        <v>1812</v>
      </c>
      <c r="B72" s="22" t="s">
        <v>663</v>
      </c>
      <c r="C72" s="23" t="s">
        <v>822</v>
      </c>
      <c r="D72" s="23" t="s">
        <v>965</v>
      </c>
      <c r="E72" s="22" t="s">
        <v>62</v>
      </c>
      <c r="F72" s="23" t="s">
        <v>1499</v>
      </c>
      <c r="G72" s="23" t="s">
        <v>1500</v>
      </c>
      <c r="H72" s="23" t="s">
        <v>1501</v>
      </c>
      <c r="I72" s="22" t="s">
        <v>1805</v>
      </c>
      <c r="J72" s="21" t="s">
        <v>1813</v>
      </c>
      <c r="K72" s="21"/>
      <c r="L72" s="21"/>
      <c r="N72" s="22" t="s">
        <v>1814</v>
      </c>
      <c r="O72" s="22" t="s">
        <v>1430</v>
      </c>
      <c r="P72" s="21">
        <v>70610</v>
      </c>
      <c r="Q72" s="21">
        <v>32</v>
      </c>
      <c r="R72" s="21">
        <v>3</v>
      </c>
      <c r="S72" s="21">
        <v>3</v>
      </c>
      <c r="T72" s="22" t="s">
        <v>330</v>
      </c>
      <c r="U72" s="21">
        <v>0.6</v>
      </c>
      <c r="V72" s="21">
        <v>0.6</v>
      </c>
      <c r="W72" s="25">
        <f>(Q72*R72*2+Q72*S72*2+R72*S72*2)/V72</f>
        <v>670</v>
      </c>
      <c r="X72" s="25">
        <f>Q72*R72*S72*U72</f>
        <v>172.79999999999998</v>
      </c>
      <c r="Y72" s="21">
        <v>1</v>
      </c>
      <c r="Z72" s="24">
        <f>Y72*W72</f>
        <v>670</v>
      </c>
      <c r="AA72" s="24">
        <f>Y72*X72</f>
        <v>172.79999999999998</v>
      </c>
      <c r="AB72" s="21"/>
      <c r="AC72" s="21"/>
      <c r="AD72" s="21"/>
      <c r="AE72" s="21"/>
      <c r="AF72" s="21" t="s">
        <v>247</v>
      </c>
      <c r="AG72" s="21"/>
      <c r="AH72" s="24"/>
      <c r="AI72" s="24"/>
      <c r="AJ72" s="21">
        <v>172.8</v>
      </c>
      <c r="AK72" s="21">
        <v>100</v>
      </c>
      <c r="AL72" s="22" t="s">
        <v>161</v>
      </c>
      <c r="AM72" s="22">
        <v>0.11</v>
      </c>
      <c r="AO72" s="22" t="s">
        <v>383</v>
      </c>
      <c r="AP72" s="22" t="s">
        <v>1432</v>
      </c>
      <c r="AQ72" s="22" t="str">
        <f>IF(AND($AK72&lt;20,AJ72&lt;10000),"Nanophytoplankton","Microphytoplankton")</f>
        <v>Microphytoplankton</v>
      </c>
      <c r="AR72" s="22">
        <v>0</v>
      </c>
      <c r="AS72" s="22">
        <v>0</v>
      </c>
      <c r="AT72" s="22">
        <v>0</v>
      </c>
      <c r="AU72" s="22">
        <v>1</v>
      </c>
      <c r="AV72" s="22">
        <v>0</v>
      </c>
      <c r="AW72" s="22">
        <v>0</v>
      </c>
      <c r="AX72" s="22">
        <v>1</v>
      </c>
      <c r="AY72" s="22">
        <v>0</v>
      </c>
      <c r="BH72" s="22">
        <f t="shared" si="20"/>
        <v>0.25791044776119398</v>
      </c>
    </row>
    <row r="73" spans="1:60" s="22" customFormat="1" ht="13">
      <c r="A73" s="21" t="s">
        <v>1815</v>
      </c>
      <c r="B73" s="22" t="s">
        <v>663</v>
      </c>
      <c r="C73" s="23" t="s">
        <v>822</v>
      </c>
      <c r="D73" s="23" t="s">
        <v>965</v>
      </c>
      <c r="E73" s="22" t="s">
        <v>62</v>
      </c>
      <c r="F73" s="23" t="s">
        <v>1499</v>
      </c>
      <c r="G73" s="23" t="s">
        <v>1500</v>
      </c>
      <c r="H73" s="23" t="s">
        <v>1501</v>
      </c>
      <c r="I73" s="22" t="s">
        <v>1805</v>
      </c>
      <c r="J73" s="35" t="s">
        <v>1813</v>
      </c>
      <c r="K73" s="21" t="s">
        <v>175</v>
      </c>
      <c r="L73" s="21" t="s">
        <v>1816</v>
      </c>
      <c r="N73" s="22" t="s">
        <v>1817</v>
      </c>
      <c r="O73" s="22" t="s">
        <v>1430</v>
      </c>
      <c r="P73" s="21">
        <v>70840</v>
      </c>
      <c r="Q73" s="21">
        <v>100</v>
      </c>
      <c r="R73" s="21">
        <v>3</v>
      </c>
      <c r="S73" s="21">
        <v>2</v>
      </c>
      <c r="T73" s="22" t="s">
        <v>330</v>
      </c>
      <c r="U73" s="21">
        <v>0.6</v>
      </c>
      <c r="V73" s="21">
        <v>0.6</v>
      </c>
      <c r="W73" s="25">
        <f>(Q73*R73*2+Q73*S73*2+R73*S73*2)/V73</f>
        <v>1686.6666666666667</v>
      </c>
      <c r="X73" s="25">
        <f>Q73*R73*S73*U73</f>
        <v>360</v>
      </c>
      <c r="Y73" s="21">
        <v>1</v>
      </c>
      <c r="Z73" s="24">
        <f>Y73*W73</f>
        <v>1686.6666666666667</v>
      </c>
      <c r="AA73" s="24">
        <f>Y73*X73</f>
        <v>360</v>
      </c>
      <c r="AB73" s="21"/>
      <c r="AC73" s="21"/>
      <c r="AD73" s="21"/>
      <c r="AE73" s="21"/>
      <c r="AF73" s="21" t="s">
        <v>247</v>
      </c>
      <c r="AG73" s="21"/>
      <c r="AH73" s="24"/>
      <c r="AI73" s="24"/>
      <c r="AJ73" s="21">
        <v>360</v>
      </c>
      <c r="AK73" s="21">
        <v>100</v>
      </c>
      <c r="AL73" s="22" t="s">
        <v>161</v>
      </c>
      <c r="AM73" s="22">
        <v>0.11</v>
      </c>
      <c r="AO73" s="22" t="s">
        <v>383</v>
      </c>
      <c r="AP73" s="22" t="s">
        <v>1432</v>
      </c>
      <c r="AQ73" s="22" t="str">
        <f>IF(AND($AK73&lt;20,AJ73&lt;10000),"Nanophytoplankton","Microphytoplankton")</f>
        <v>Microphytoplankton</v>
      </c>
      <c r="AR73" s="22">
        <v>0</v>
      </c>
      <c r="AS73" s="22">
        <v>0</v>
      </c>
      <c r="AT73" s="22">
        <v>0</v>
      </c>
      <c r="AU73" s="22">
        <v>1</v>
      </c>
      <c r="AV73" s="22">
        <v>0</v>
      </c>
      <c r="AW73" s="22">
        <v>0</v>
      </c>
      <c r="AX73" s="22">
        <v>1</v>
      </c>
      <c r="AY73" s="22">
        <v>0</v>
      </c>
      <c r="BH73" s="22">
        <f t="shared" si="20"/>
        <v>0.2134387351778656</v>
      </c>
    </row>
    <row r="74" spans="1:60" s="22" customFormat="1" ht="13">
      <c r="A74" s="35" t="s">
        <v>1818</v>
      </c>
      <c r="B74" s="22" t="s">
        <v>663</v>
      </c>
      <c r="C74" s="23" t="s">
        <v>822</v>
      </c>
      <c r="D74" s="23" t="s">
        <v>965</v>
      </c>
      <c r="E74" s="22" t="s">
        <v>62</v>
      </c>
      <c r="F74" s="23" t="s">
        <v>1499</v>
      </c>
      <c r="G74" s="23" t="s">
        <v>1500</v>
      </c>
      <c r="H74" s="23" t="s">
        <v>1501</v>
      </c>
      <c r="I74" s="22" t="s">
        <v>1805</v>
      </c>
      <c r="J74" s="35" t="s">
        <v>1813</v>
      </c>
      <c r="K74" s="35" t="s">
        <v>175</v>
      </c>
      <c r="L74" s="35" t="s">
        <v>1819</v>
      </c>
      <c r="N74" s="22" t="s">
        <v>1820</v>
      </c>
      <c r="O74" s="22" t="s">
        <v>1430</v>
      </c>
      <c r="P74" s="21">
        <v>70611</v>
      </c>
      <c r="Q74" s="21">
        <v>30</v>
      </c>
      <c r="R74" s="21">
        <v>4.5</v>
      </c>
      <c r="S74" s="21">
        <v>3</v>
      </c>
      <c r="T74" s="22" t="s">
        <v>330</v>
      </c>
      <c r="U74" s="21">
        <v>0.7</v>
      </c>
      <c r="V74" s="21">
        <v>0.7</v>
      </c>
      <c r="W74" s="25">
        <f>(Q74*R74*2+Q74*S74*2+R74*S74*2)/V74</f>
        <v>681.42857142857144</v>
      </c>
      <c r="X74" s="25">
        <f>Q74*R74*S74*U74</f>
        <v>283.5</v>
      </c>
      <c r="Y74" s="21">
        <v>1</v>
      </c>
      <c r="Z74" s="24">
        <f>Y74*W74</f>
        <v>681.42857142857144</v>
      </c>
      <c r="AA74" s="24">
        <f>Y74*X74</f>
        <v>283.5</v>
      </c>
      <c r="AB74" s="21"/>
      <c r="AC74" s="21"/>
      <c r="AD74" s="21"/>
      <c r="AE74" s="21"/>
      <c r="AF74" s="21" t="s">
        <v>247</v>
      </c>
      <c r="AG74" s="21"/>
      <c r="AH74" s="24"/>
      <c r="AI74" s="24"/>
      <c r="AJ74" s="21">
        <v>283.5</v>
      </c>
      <c r="AK74" s="21">
        <v>30</v>
      </c>
      <c r="AL74" s="22" t="s">
        <v>161</v>
      </c>
      <c r="AM74" s="22">
        <v>0.11</v>
      </c>
      <c r="AO74" s="22" t="s">
        <v>383</v>
      </c>
      <c r="AP74" s="22" t="s">
        <v>1432</v>
      </c>
      <c r="AQ74" s="22" t="str">
        <f>IF(AND($AK74&lt;20,AJ74&lt;10000),"Nanophytoplankton","Microphytoplankton")</f>
        <v>Microphytoplankton</v>
      </c>
      <c r="AR74" s="22">
        <v>0</v>
      </c>
      <c r="AS74" s="22">
        <v>0</v>
      </c>
      <c r="AT74" s="22">
        <v>0</v>
      </c>
      <c r="AU74" s="22">
        <v>1</v>
      </c>
      <c r="AV74" s="22">
        <v>0</v>
      </c>
      <c r="AW74" s="22">
        <v>0</v>
      </c>
      <c r="AX74" s="22">
        <v>1</v>
      </c>
      <c r="AY74" s="22">
        <v>0</v>
      </c>
      <c r="BH74" s="22">
        <f t="shared" si="20"/>
        <v>0.41603773584905657</v>
      </c>
    </row>
    <row r="75" spans="1:60" s="22" customFormat="1" ht="13">
      <c r="A75" s="21" t="s">
        <v>407</v>
      </c>
      <c r="B75" s="22" t="s">
        <v>149</v>
      </c>
      <c r="C75" s="22" t="s">
        <v>150</v>
      </c>
      <c r="D75" s="23" t="s">
        <v>151</v>
      </c>
      <c r="E75" s="22" t="s">
        <v>61</v>
      </c>
      <c r="F75" s="22" t="s">
        <v>152</v>
      </c>
      <c r="G75" s="22" t="s">
        <v>60</v>
      </c>
      <c r="H75" s="22" t="s">
        <v>226</v>
      </c>
      <c r="I75" s="22" t="s">
        <v>401</v>
      </c>
      <c r="J75" s="22" t="s">
        <v>408</v>
      </c>
      <c r="N75" s="22" t="s">
        <v>409</v>
      </c>
      <c r="O75" s="22" t="s">
        <v>158</v>
      </c>
      <c r="P75" s="21">
        <v>10610</v>
      </c>
      <c r="Q75" s="21">
        <v>2</v>
      </c>
      <c r="R75" s="21">
        <v>2</v>
      </c>
      <c r="S75" s="21">
        <v>3</v>
      </c>
      <c r="T75" s="21" t="s">
        <v>281</v>
      </c>
      <c r="U75" s="21">
        <v>1</v>
      </c>
      <c r="V75" s="21">
        <v>1</v>
      </c>
      <c r="W75" s="24">
        <f>(4*3.14*(((Q75^1.6*R75^1.6+Q75^1.6*S75^1.6+R75^1.6+S75^1.6)/3)^(1/1.6)))*(1/V75)</f>
        <v>58.946301207032668</v>
      </c>
      <c r="X75" s="24">
        <f>3.14/6*Q75*R75*S75*U75</f>
        <v>6.2799999999999994</v>
      </c>
      <c r="Y75" s="21">
        <v>128</v>
      </c>
      <c r="Z75" s="24">
        <f>Y75*W75</f>
        <v>7545.1265545001816</v>
      </c>
      <c r="AA75" s="24">
        <f>Y75*X75</f>
        <v>803.83999999999992</v>
      </c>
      <c r="AB75" s="21">
        <v>40</v>
      </c>
      <c r="AC75" s="21">
        <v>40</v>
      </c>
      <c r="AD75" s="21">
        <v>40</v>
      </c>
      <c r="AE75" s="21" t="s">
        <v>281</v>
      </c>
      <c r="AF75" s="21">
        <v>0.5</v>
      </c>
      <c r="AG75" s="21">
        <v>1</v>
      </c>
      <c r="AH75" s="24">
        <f>(4*3.14*(((AB75^1.6*AC75^1.6+AB75^1.6*AD75^1.6+AC75^1.6+AD75^1.6)/3)^(1/1.6)))*(1/AG75)</f>
        <v>15624.046118762988</v>
      </c>
      <c r="AI75" s="24">
        <f>3.14/6*AB75*AC75*AD75*AF75</f>
        <v>16746.666666666668</v>
      </c>
      <c r="AJ75" s="21">
        <v>804.2</v>
      </c>
      <c r="AK75" s="21">
        <v>60</v>
      </c>
      <c r="AL75" s="22" t="s">
        <v>161</v>
      </c>
      <c r="AM75" s="22">
        <v>0.22</v>
      </c>
      <c r="AO75" s="22" t="s">
        <v>331</v>
      </c>
      <c r="AP75" s="22" t="s">
        <v>230</v>
      </c>
      <c r="AQ75" s="22" t="str">
        <f>IF(AND($AK75&lt;20,AJ75&lt;10000),"Nanophytoplankton","Microphytoplankton")</f>
        <v>Microphytoplankton</v>
      </c>
      <c r="AR75" s="22">
        <v>0</v>
      </c>
      <c r="AS75" s="22">
        <v>0</v>
      </c>
      <c r="AT75" s="22">
        <v>0</v>
      </c>
      <c r="AU75" s="22">
        <v>1</v>
      </c>
      <c r="AV75" s="22">
        <v>0</v>
      </c>
      <c r="AW75" s="22">
        <v>0</v>
      </c>
      <c r="AX75" s="22">
        <v>0</v>
      </c>
      <c r="AY75" s="22">
        <v>1</v>
      </c>
      <c r="BH75" s="22">
        <f t="shared" si="20"/>
        <v>0.10653764309898303</v>
      </c>
    </row>
    <row r="76" spans="1:60">
      <c r="BH76" s="22"/>
    </row>
    <row r="77" spans="1:60" s="22" customFormat="1" ht="13">
      <c r="A77" s="21" t="s">
        <v>2674</v>
      </c>
      <c r="B77" s="22" t="s">
        <v>663</v>
      </c>
      <c r="C77" s="22" t="s">
        <v>2223</v>
      </c>
      <c r="D77" s="22" t="s">
        <v>2224</v>
      </c>
      <c r="E77" s="23" t="s">
        <v>63</v>
      </c>
      <c r="F77" s="23" t="s">
        <v>2225</v>
      </c>
      <c r="G77" s="23" t="s">
        <v>2226</v>
      </c>
      <c r="H77" s="38" t="s">
        <v>2576</v>
      </c>
      <c r="I77" s="22" t="s">
        <v>2675</v>
      </c>
      <c r="J77" s="38" t="s">
        <v>2676</v>
      </c>
      <c r="N77" s="22" t="s">
        <v>2677</v>
      </c>
      <c r="O77" s="22" t="s">
        <v>2229</v>
      </c>
      <c r="P77" s="21">
        <v>81817</v>
      </c>
      <c r="Q77" s="21">
        <v>7</v>
      </c>
      <c r="R77" s="21">
        <v>7</v>
      </c>
      <c r="S77" s="21">
        <v>7</v>
      </c>
      <c r="T77" s="21" t="s">
        <v>281</v>
      </c>
      <c r="U77" s="21">
        <v>1</v>
      </c>
      <c r="V77" s="21">
        <v>1</v>
      </c>
      <c r="W77" s="24">
        <f>(4*3.14*(((Q77^1.6*R77^1.6+Q77^1.6*S77^1.6+R77^1.6+S77^1.6)/3)^(1/1.6)))*(1/V77)</f>
        <v>490.83181458055361</v>
      </c>
      <c r="X77" s="24">
        <f>3.14/6*Q77*R77*S77*U77</f>
        <v>179.50333333333333</v>
      </c>
      <c r="Y77" s="22">
        <v>1</v>
      </c>
      <c r="Z77" s="24">
        <f t="shared" ref="Z77:Z83" si="21">Y77*W77</f>
        <v>490.83181458055361</v>
      </c>
      <c r="AA77" s="24">
        <f t="shared" ref="AA77:AA83" si="22">Y77*X77</f>
        <v>179.50333333333333</v>
      </c>
      <c r="AH77" s="25"/>
      <c r="AI77" s="25"/>
      <c r="AJ77" s="21">
        <v>179.50333333333333</v>
      </c>
      <c r="AK77" s="21">
        <v>7</v>
      </c>
      <c r="AL77" s="22" t="s">
        <v>161</v>
      </c>
      <c r="AM77" s="22">
        <v>0.16</v>
      </c>
      <c r="AN77" s="38"/>
      <c r="AO77" s="22" t="s">
        <v>2282</v>
      </c>
      <c r="AP77" s="22" t="s">
        <v>162</v>
      </c>
      <c r="AQ77" s="22" t="str">
        <f t="shared" ref="AQ77:AQ83" si="23">IF(AND($AK77&lt;20,AJ77&lt;10000),"Nanophytoplankton","Microphytoplankton")</f>
        <v>Nanophytoplankton</v>
      </c>
      <c r="AR77" s="22">
        <v>0</v>
      </c>
      <c r="AS77" s="22">
        <v>0</v>
      </c>
      <c r="AT77" s="22">
        <v>0</v>
      </c>
      <c r="AU77" s="22">
        <v>1</v>
      </c>
      <c r="AV77" s="22">
        <v>0</v>
      </c>
      <c r="AW77" s="22">
        <v>0</v>
      </c>
      <c r="AX77" s="22">
        <v>0</v>
      </c>
      <c r="AY77" s="22">
        <v>1</v>
      </c>
      <c r="BH77" s="22">
        <f t="shared" si="20"/>
        <v>0.36571250681199247</v>
      </c>
    </row>
    <row r="78" spans="1:60" s="22" customFormat="1" ht="13">
      <c r="A78" s="21" t="s">
        <v>2678</v>
      </c>
      <c r="B78" s="22" t="s">
        <v>663</v>
      </c>
      <c r="C78" s="22" t="s">
        <v>2223</v>
      </c>
      <c r="D78" s="22" t="s">
        <v>2224</v>
      </c>
      <c r="E78" s="23" t="s">
        <v>63</v>
      </c>
      <c r="F78" s="23" t="s">
        <v>2225</v>
      </c>
      <c r="G78" s="23" t="s">
        <v>2226</v>
      </c>
      <c r="H78" s="38" t="s">
        <v>2576</v>
      </c>
      <c r="I78" s="22" t="s">
        <v>2675</v>
      </c>
      <c r="J78" s="38" t="s">
        <v>2676</v>
      </c>
      <c r="K78" s="38"/>
      <c r="L78" s="38"/>
      <c r="N78" s="22" t="s">
        <v>2679</v>
      </c>
      <c r="O78" s="22" t="s">
        <v>2229</v>
      </c>
      <c r="P78" s="21">
        <v>81810</v>
      </c>
      <c r="Q78" s="21">
        <v>7</v>
      </c>
      <c r="R78" s="21">
        <v>7</v>
      </c>
      <c r="S78" s="21">
        <v>7</v>
      </c>
      <c r="T78" s="21" t="s">
        <v>281</v>
      </c>
      <c r="U78" s="21">
        <v>1</v>
      </c>
      <c r="V78" s="21">
        <v>1</v>
      </c>
      <c r="W78" s="24">
        <f>(4*3.14*(((Q78^1.6*R78^1.6+Q78^1.6*S78^1.6+R78^1.6+S78^1.6)/3)^(1/1.6)))*(1/V78)</f>
        <v>490.83181458055361</v>
      </c>
      <c r="X78" s="24">
        <f>3.14/6*Q78*R78*S78*U78</f>
        <v>179.50333333333333</v>
      </c>
      <c r="Y78" s="21">
        <v>32</v>
      </c>
      <c r="Z78" s="24">
        <f t="shared" si="21"/>
        <v>15706.618066577716</v>
      </c>
      <c r="AA78" s="24">
        <f t="shared" si="22"/>
        <v>5744.1066666666666</v>
      </c>
      <c r="AB78" s="21">
        <v>40</v>
      </c>
      <c r="AC78" s="21">
        <v>40</v>
      </c>
      <c r="AD78" s="21">
        <v>40</v>
      </c>
      <c r="AE78" s="21" t="s">
        <v>159</v>
      </c>
      <c r="AF78" s="21">
        <v>0.3</v>
      </c>
      <c r="AG78" s="21">
        <v>1</v>
      </c>
      <c r="AH78" s="24">
        <f>(4*3.14*(((AB78^1.6*AC78^1.6+AB78^1.6*AD78^1.6+AC78^1.6+AD78^1.6)/3)^(1/1.6)))*(1/AG78)</f>
        <v>15624.046118762988</v>
      </c>
      <c r="AI78" s="24">
        <f>3.14/6*AB78*AC78*AD78*AF78</f>
        <v>10048</v>
      </c>
      <c r="AJ78" s="21">
        <v>5747</v>
      </c>
      <c r="AK78" s="21">
        <v>100</v>
      </c>
      <c r="AL78" s="22" t="s">
        <v>161</v>
      </c>
      <c r="AM78" s="22">
        <v>0.16</v>
      </c>
      <c r="AN78" s="38"/>
      <c r="AO78" s="22" t="s">
        <v>2282</v>
      </c>
      <c r="AP78" s="22" t="s">
        <v>162</v>
      </c>
      <c r="AQ78" s="22" t="str">
        <f t="shared" si="23"/>
        <v>Microphytoplankton</v>
      </c>
      <c r="AR78" s="22">
        <v>0</v>
      </c>
      <c r="AS78" s="22">
        <v>0</v>
      </c>
      <c r="AT78" s="22">
        <v>0</v>
      </c>
      <c r="AU78" s="22">
        <v>1</v>
      </c>
      <c r="AV78" s="22">
        <v>0</v>
      </c>
      <c r="AW78" s="22">
        <v>0</v>
      </c>
      <c r="AX78" s="22">
        <v>0</v>
      </c>
      <c r="AY78" s="22">
        <v>1</v>
      </c>
      <c r="BH78" s="22">
        <f t="shared" si="20"/>
        <v>0.36571250681199247</v>
      </c>
    </row>
    <row r="79" spans="1:60" s="22" customFormat="1" ht="13">
      <c r="A79" s="21" t="s">
        <v>2680</v>
      </c>
      <c r="B79" s="22" t="s">
        <v>663</v>
      </c>
      <c r="C79" s="22" t="s">
        <v>2223</v>
      </c>
      <c r="D79" s="22" t="s">
        <v>2224</v>
      </c>
      <c r="E79" s="23" t="s">
        <v>63</v>
      </c>
      <c r="F79" s="23" t="s">
        <v>2225</v>
      </c>
      <c r="G79" s="23" t="s">
        <v>2226</v>
      </c>
      <c r="H79" s="38" t="s">
        <v>2576</v>
      </c>
      <c r="I79" s="22" t="s">
        <v>2675</v>
      </c>
      <c r="J79" s="38" t="s">
        <v>2676</v>
      </c>
      <c r="K79" s="38" t="s">
        <v>184</v>
      </c>
      <c r="L79" s="38" t="s">
        <v>2681</v>
      </c>
      <c r="N79" s="22" t="s">
        <v>2677</v>
      </c>
      <c r="O79" s="22" t="s">
        <v>2229</v>
      </c>
      <c r="P79" s="21">
        <v>81816</v>
      </c>
      <c r="Q79" s="21">
        <v>7</v>
      </c>
      <c r="R79" s="21">
        <v>7</v>
      </c>
      <c r="S79" s="21">
        <v>7</v>
      </c>
      <c r="T79" s="21" t="s">
        <v>281</v>
      </c>
      <c r="U79" s="21">
        <v>1</v>
      </c>
      <c r="V79" s="21">
        <v>1</v>
      </c>
      <c r="W79" s="24">
        <f>(4*3.14*(((Q79^1.6*R79^1.6+Q79^1.6*S79^1.6+R79^1.6+S79^1.6)/3)^(1/1.6)))*(1/V79)</f>
        <v>490.83181458055361</v>
      </c>
      <c r="X79" s="24">
        <f>3.14/6*Q79*R79*S79*U79</f>
        <v>179.50333333333333</v>
      </c>
      <c r="Y79" s="21">
        <v>4</v>
      </c>
      <c r="Z79" s="24">
        <f t="shared" si="21"/>
        <v>1963.3272583222144</v>
      </c>
      <c r="AA79" s="24">
        <f t="shared" si="22"/>
        <v>718.01333333333332</v>
      </c>
      <c r="AB79" s="21">
        <v>16</v>
      </c>
      <c r="AC79" s="21">
        <v>16</v>
      </c>
      <c r="AD79" s="21">
        <v>4</v>
      </c>
      <c r="AE79" s="22" t="s">
        <v>330</v>
      </c>
      <c r="AF79" s="21">
        <v>0.5</v>
      </c>
      <c r="AG79" s="21">
        <v>1</v>
      </c>
      <c r="AH79" s="25">
        <f>(AB79*AC79*2+AB79*AD79*2+AC79*AD79*2)/AG79</f>
        <v>768</v>
      </c>
      <c r="AI79" s="25">
        <f>AB79*AC79*AD79*AF79</f>
        <v>512</v>
      </c>
      <c r="AJ79" s="21">
        <v>718.01333333333332</v>
      </c>
      <c r="AK79" s="21">
        <v>50</v>
      </c>
      <c r="AL79" s="22" t="s">
        <v>161</v>
      </c>
      <c r="AM79" s="22">
        <v>0.16</v>
      </c>
      <c r="AN79" s="38"/>
      <c r="AO79" s="22" t="s">
        <v>2282</v>
      </c>
      <c r="AP79" s="22" t="s">
        <v>162</v>
      </c>
      <c r="AQ79" s="22" t="str">
        <f t="shared" si="23"/>
        <v>Microphytoplankton</v>
      </c>
      <c r="AR79" s="22">
        <v>0</v>
      </c>
      <c r="AS79" s="22">
        <v>0</v>
      </c>
      <c r="AT79" s="22">
        <v>0</v>
      </c>
      <c r="AU79" s="22">
        <v>1</v>
      </c>
      <c r="AV79" s="22">
        <v>0</v>
      </c>
      <c r="AW79" s="22">
        <v>0</v>
      </c>
      <c r="AX79" s="22">
        <v>0</v>
      </c>
      <c r="AY79" s="22">
        <v>1</v>
      </c>
      <c r="BH79" s="22">
        <f t="shared" si="20"/>
        <v>0.36571250681199247</v>
      </c>
    </row>
    <row r="80" spans="1:60" s="22" customFormat="1" ht="13">
      <c r="A80" s="22" t="s">
        <v>2044</v>
      </c>
      <c r="B80" s="22" t="s">
        <v>663</v>
      </c>
      <c r="C80" s="23" t="s">
        <v>822</v>
      </c>
      <c r="D80" s="23" t="s">
        <v>965</v>
      </c>
      <c r="E80" s="22" t="s">
        <v>62</v>
      </c>
      <c r="F80" s="23" t="s">
        <v>1434</v>
      </c>
      <c r="G80" s="23" t="s">
        <v>1719</v>
      </c>
      <c r="H80" s="23" t="s">
        <v>1720</v>
      </c>
      <c r="I80" s="22" t="s">
        <v>43</v>
      </c>
      <c r="J80" s="22" t="s">
        <v>609</v>
      </c>
      <c r="N80" s="22" t="s">
        <v>2029</v>
      </c>
      <c r="O80" s="22" t="s">
        <v>1430</v>
      </c>
      <c r="P80" s="22">
        <v>71981</v>
      </c>
      <c r="Q80" s="22">
        <v>65</v>
      </c>
      <c r="R80" s="22">
        <v>3.5</v>
      </c>
      <c r="S80" s="22">
        <v>2.8</v>
      </c>
      <c r="T80" s="22" t="s">
        <v>330</v>
      </c>
      <c r="U80" s="22">
        <v>0.75</v>
      </c>
      <c r="V80" s="21">
        <v>0.75</v>
      </c>
      <c r="W80" s="25">
        <f>(Q80*R80*2+Q80*S80*2+R80*S80*2)/V80</f>
        <v>1118.1333333333334</v>
      </c>
      <c r="X80" s="25">
        <f>Q80*R80*S80*U80</f>
        <v>477.75</v>
      </c>
      <c r="Y80" s="21">
        <v>1</v>
      </c>
      <c r="Z80" s="24">
        <f t="shared" si="21"/>
        <v>1118.1333333333334</v>
      </c>
      <c r="AA80" s="24">
        <f t="shared" si="22"/>
        <v>477.75</v>
      </c>
      <c r="AE80" s="21"/>
      <c r="AF80" s="21" t="s">
        <v>247</v>
      </c>
      <c r="AH80" s="25"/>
      <c r="AI80" s="25"/>
      <c r="AJ80" s="21">
        <v>477.75</v>
      </c>
      <c r="AK80" s="21">
        <v>65</v>
      </c>
      <c r="AL80" s="22" t="s">
        <v>161</v>
      </c>
      <c r="AM80" s="22">
        <v>0.11</v>
      </c>
      <c r="AN80" s="22" t="s">
        <v>1762</v>
      </c>
      <c r="AO80" s="22" t="s">
        <v>1447</v>
      </c>
      <c r="AP80" s="22" t="s">
        <v>1432</v>
      </c>
      <c r="AQ80" s="22" t="str">
        <f t="shared" si="23"/>
        <v>Microphytoplankton</v>
      </c>
      <c r="AR80" s="22">
        <v>1</v>
      </c>
      <c r="AS80" s="22">
        <v>0</v>
      </c>
      <c r="AT80" s="22">
        <v>1</v>
      </c>
      <c r="AU80" s="22">
        <v>0</v>
      </c>
      <c r="AV80" s="22">
        <v>0</v>
      </c>
      <c r="AW80" s="22">
        <v>0</v>
      </c>
      <c r="AX80" s="22">
        <v>1</v>
      </c>
      <c r="AY80" s="22">
        <v>0</v>
      </c>
      <c r="BH80" s="22">
        <f t="shared" si="20"/>
        <v>0.42727462437395658</v>
      </c>
    </row>
    <row r="81" spans="1:60" s="22" customFormat="1" ht="13">
      <c r="A81" s="21" t="s">
        <v>2061</v>
      </c>
      <c r="B81" s="22" t="s">
        <v>663</v>
      </c>
      <c r="C81" s="23" t="s">
        <v>822</v>
      </c>
      <c r="D81" s="23" t="s">
        <v>965</v>
      </c>
      <c r="E81" s="22" t="s">
        <v>62</v>
      </c>
      <c r="F81" s="23" t="s">
        <v>1434</v>
      </c>
      <c r="G81" s="23" t="s">
        <v>1719</v>
      </c>
      <c r="H81" s="23" t="s">
        <v>1720</v>
      </c>
      <c r="I81" s="22" t="s">
        <v>43</v>
      </c>
      <c r="J81" s="21" t="s">
        <v>2062</v>
      </c>
      <c r="K81" s="21"/>
      <c r="L81" s="21"/>
      <c r="N81" s="22" t="s">
        <v>2063</v>
      </c>
      <c r="O81" s="22" t="s">
        <v>1430</v>
      </c>
      <c r="P81" s="21">
        <v>71920</v>
      </c>
      <c r="Q81" s="21">
        <v>42</v>
      </c>
      <c r="R81" s="21">
        <v>4</v>
      </c>
      <c r="S81" s="21">
        <v>3</v>
      </c>
      <c r="T81" s="22" t="s">
        <v>330</v>
      </c>
      <c r="U81" s="21">
        <v>0.75</v>
      </c>
      <c r="V81" s="21">
        <v>0.75</v>
      </c>
      <c r="W81" s="25">
        <f>(Q81*R81*2+Q81*S81*2+R81*S81*2)/V81</f>
        <v>816</v>
      </c>
      <c r="X81" s="25">
        <f>Q81*R81*S81*U81</f>
        <v>378</v>
      </c>
      <c r="Y81" s="21">
        <v>1</v>
      </c>
      <c r="Z81" s="24">
        <f t="shared" si="21"/>
        <v>816</v>
      </c>
      <c r="AA81" s="24">
        <f t="shared" si="22"/>
        <v>378</v>
      </c>
      <c r="AB81" s="21"/>
      <c r="AC81" s="21"/>
      <c r="AD81" s="21"/>
      <c r="AE81" s="21"/>
      <c r="AF81" s="21" t="s">
        <v>247</v>
      </c>
      <c r="AG81" s="21"/>
      <c r="AH81" s="24"/>
      <c r="AI81" s="24"/>
      <c r="AJ81" s="21">
        <v>378</v>
      </c>
      <c r="AK81" s="21">
        <v>42</v>
      </c>
      <c r="AL81" s="22" t="s">
        <v>161</v>
      </c>
      <c r="AM81" s="22">
        <v>0.11</v>
      </c>
      <c r="AN81" s="22" t="s">
        <v>1762</v>
      </c>
      <c r="AO81" s="22" t="s">
        <v>1447</v>
      </c>
      <c r="AP81" s="22" t="s">
        <v>1432</v>
      </c>
      <c r="AQ81" s="22" t="str">
        <f t="shared" si="23"/>
        <v>Microphytoplankton</v>
      </c>
      <c r="AR81" s="22">
        <v>1</v>
      </c>
      <c r="AS81" s="22">
        <v>0</v>
      </c>
      <c r="AT81" s="22">
        <v>1</v>
      </c>
      <c r="AU81" s="22">
        <v>0</v>
      </c>
      <c r="AV81" s="22">
        <v>0</v>
      </c>
      <c r="AW81" s="22">
        <v>0</v>
      </c>
      <c r="AX81" s="22">
        <v>1</v>
      </c>
      <c r="AY81" s="22">
        <v>0</v>
      </c>
      <c r="BH81" s="22">
        <f t="shared" si="20"/>
        <v>0.46323529411764708</v>
      </c>
    </row>
    <row r="82" spans="1:60" s="22" customFormat="1" ht="13">
      <c r="A82" s="21" t="s">
        <v>804</v>
      </c>
      <c r="B82" s="22" t="s">
        <v>663</v>
      </c>
      <c r="C82" s="22" t="s">
        <v>664</v>
      </c>
      <c r="D82" s="22" t="s">
        <v>665</v>
      </c>
      <c r="E82" s="22" t="s">
        <v>666</v>
      </c>
      <c r="F82" s="22" t="s">
        <v>667</v>
      </c>
      <c r="G82" s="22" t="s">
        <v>675</v>
      </c>
      <c r="H82" s="22" t="s">
        <v>692</v>
      </c>
      <c r="I82" s="22" t="s">
        <v>56</v>
      </c>
      <c r="J82" s="21" t="s">
        <v>781</v>
      </c>
      <c r="K82" s="21"/>
      <c r="L82" s="21"/>
      <c r="N82" s="32" t="s">
        <v>738</v>
      </c>
      <c r="O82" s="21" t="s">
        <v>672</v>
      </c>
      <c r="P82" s="22">
        <v>20230</v>
      </c>
      <c r="Q82" s="21">
        <v>30</v>
      </c>
      <c r="R82" s="21">
        <v>22</v>
      </c>
      <c r="S82" s="21">
        <v>20</v>
      </c>
      <c r="T82" s="21" t="s">
        <v>281</v>
      </c>
      <c r="U82" s="21">
        <v>1</v>
      </c>
      <c r="V82" s="22">
        <v>1</v>
      </c>
      <c r="W82" s="24">
        <f>(4*3.14*(((Q82^1.6*R82^1.6+Q82^1.6*S82^1.6+R82^1.6+S82^1.6)/3)^(1/1.6)))*(1/V82)</f>
        <v>6162.2817544591799</v>
      </c>
      <c r="X82" s="24">
        <f>3.14/6*Q82*R82*S82*U82</f>
        <v>6908</v>
      </c>
      <c r="Y82" s="21">
        <v>1</v>
      </c>
      <c r="Z82" s="24">
        <f t="shared" si="21"/>
        <v>6162.2817544591799</v>
      </c>
      <c r="AA82" s="24">
        <f t="shared" si="22"/>
        <v>6908</v>
      </c>
      <c r="AB82" s="21"/>
      <c r="AC82" s="21"/>
      <c r="AD82" s="21"/>
      <c r="AE82" s="21"/>
      <c r="AF82" s="21" t="s">
        <v>247</v>
      </c>
      <c r="AG82" s="21"/>
      <c r="AH82" s="24"/>
      <c r="AI82" s="24"/>
      <c r="AJ82" s="21">
        <v>10362</v>
      </c>
      <c r="AK82" s="21">
        <v>30</v>
      </c>
      <c r="AL82" s="22" t="s">
        <v>161</v>
      </c>
      <c r="AM82" s="22">
        <v>0.13</v>
      </c>
      <c r="AN82" s="22" t="s">
        <v>331</v>
      </c>
      <c r="AO82" s="22" t="s">
        <v>331</v>
      </c>
      <c r="AP82" s="22" t="s">
        <v>673</v>
      </c>
      <c r="AQ82" s="22" t="str">
        <f t="shared" si="23"/>
        <v>Microphytoplankton</v>
      </c>
      <c r="AR82" s="22">
        <v>1</v>
      </c>
      <c r="AS82" s="22">
        <v>1</v>
      </c>
      <c r="AT82" s="22">
        <v>0</v>
      </c>
      <c r="AU82" s="22">
        <v>0</v>
      </c>
      <c r="AV82" s="22">
        <v>0</v>
      </c>
      <c r="AW82" s="22">
        <v>0</v>
      </c>
      <c r="AX82" s="22">
        <v>1</v>
      </c>
      <c r="AY82" s="22">
        <v>0</v>
      </c>
      <c r="BH82" s="22">
        <f t="shared" si="20"/>
        <v>1.121013331628532</v>
      </c>
    </row>
    <row r="83" spans="1:60" s="22" customFormat="1" ht="13">
      <c r="A83" s="21" t="s">
        <v>805</v>
      </c>
      <c r="B83" s="22" t="s">
        <v>663</v>
      </c>
      <c r="C83" s="22" t="s">
        <v>664</v>
      </c>
      <c r="D83" s="22" t="s">
        <v>665</v>
      </c>
      <c r="E83" s="22" t="s">
        <v>666</v>
      </c>
      <c r="F83" s="22" t="s">
        <v>667</v>
      </c>
      <c r="G83" s="22" t="s">
        <v>675</v>
      </c>
      <c r="H83" s="22" t="s">
        <v>692</v>
      </c>
      <c r="I83" s="22" t="s">
        <v>56</v>
      </c>
      <c r="J83" s="21" t="s">
        <v>781</v>
      </c>
      <c r="K83" s="21" t="s">
        <v>175</v>
      </c>
      <c r="L83" s="21" t="s">
        <v>806</v>
      </c>
      <c r="N83" s="32" t="s">
        <v>797</v>
      </c>
      <c r="O83" s="21" t="s">
        <v>672</v>
      </c>
      <c r="P83" s="22">
        <v>20232</v>
      </c>
      <c r="Q83" s="21">
        <v>30</v>
      </c>
      <c r="R83" s="21">
        <v>22</v>
      </c>
      <c r="S83" s="21">
        <v>20</v>
      </c>
      <c r="T83" s="21" t="s">
        <v>281</v>
      </c>
      <c r="U83" s="21">
        <v>1</v>
      </c>
      <c r="V83" s="22">
        <v>1</v>
      </c>
      <c r="W83" s="24">
        <f>(4*3.14*(((Q83^1.6*R83^1.6+Q83^1.6*S83^1.6+R83^1.6+S83^1.6)/3)^(1/1.6)))*(1/V83)</f>
        <v>6162.2817544591799</v>
      </c>
      <c r="X83" s="24">
        <f>3.14/6*Q83*R83*S83*U83</f>
        <v>6908</v>
      </c>
      <c r="Y83" s="21">
        <v>1</v>
      </c>
      <c r="Z83" s="24">
        <f t="shared" si="21"/>
        <v>6162.2817544591799</v>
      </c>
      <c r="AA83" s="24">
        <f t="shared" si="22"/>
        <v>6908</v>
      </c>
      <c r="AB83" s="21"/>
      <c r="AC83" s="21"/>
      <c r="AD83" s="21"/>
      <c r="AE83" s="21"/>
      <c r="AF83" s="21" t="s">
        <v>247</v>
      </c>
      <c r="AG83" s="21"/>
      <c r="AH83" s="24"/>
      <c r="AI83" s="24"/>
      <c r="AJ83" s="21">
        <v>10362</v>
      </c>
      <c r="AK83" s="21">
        <v>30</v>
      </c>
      <c r="AL83" s="22" t="s">
        <v>161</v>
      </c>
      <c r="AM83" s="22">
        <v>0.13</v>
      </c>
      <c r="AN83" s="22" t="s">
        <v>331</v>
      </c>
      <c r="AO83" s="22" t="s">
        <v>331</v>
      </c>
      <c r="AP83" s="22" t="s">
        <v>673</v>
      </c>
      <c r="AQ83" s="22" t="str">
        <f t="shared" si="23"/>
        <v>Microphytoplankton</v>
      </c>
      <c r="AR83" s="22">
        <v>1</v>
      </c>
      <c r="AS83" s="22">
        <v>1</v>
      </c>
      <c r="AT83" s="22">
        <v>0</v>
      </c>
      <c r="AU83" s="22">
        <v>0</v>
      </c>
      <c r="AV83" s="22">
        <v>0</v>
      </c>
      <c r="AW83" s="22">
        <v>0</v>
      </c>
      <c r="AX83" s="22">
        <v>1</v>
      </c>
      <c r="AY83" s="22">
        <v>0</v>
      </c>
      <c r="BH83" s="22">
        <f t="shared" si="20"/>
        <v>1.121013331628532</v>
      </c>
    </row>
    <row r="84" spans="1:60">
      <c r="BH84" s="22"/>
    </row>
    <row r="85" spans="1:60">
      <c r="BH85" s="22"/>
    </row>
    <row r="86" spans="1:60" s="22" customFormat="1" ht="13">
      <c r="A86" s="21" t="s">
        <v>3015</v>
      </c>
      <c r="B86" s="22" t="s">
        <v>663</v>
      </c>
      <c r="C86" s="22" t="s">
        <v>2223</v>
      </c>
      <c r="D86" s="22" t="s">
        <v>2224</v>
      </c>
      <c r="E86" s="23" t="s">
        <v>63</v>
      </c>
      <c r="F86" s="23" t="s">
        <v>2225</v>
      </c>
      <c r="G86" s="23" t="s">
        <v>2226</v>
      </c>
      <c r="H86" s="22" t="s">
        <v>2457</v>
      </c>
      <c r="I86" s="22" t="s">
        <v>53</v>
      </c>
      <c r="J86" s="21" t="s">
        <v>3016</v>
      </c>
      <c r="K86" s="21"/>
      <c r="L86" s="21"/>
      <c r="N86" s="22" t="s">
        <v>3017</v>
      </c>
      <c r="O86" s="22" t="s">
        <v>2229</v>
      </c>
      <c r="P86" s="21">
        <v>82510</v>
      </c>
      <c r="Q86" s="21">
        <v>17</v>
      </c>
      <c r="R86" s="21">
        <v>6</v>
      </c>
      <c r="S86" s="21">
        <v>6</v>
      </c>
      <c r="T86" s="21" t="s">
        <v>159</v>
      </c>
      <c r="U86" s="21">
        <v>1</v>
      </c>
      <c r="V86" s="21">
        <v>1</v>
      </c>
      <c r="W86" s="24">
        <f>(4*3.14*(((Q86^1.6*R86^1.6+Q86^1.6*S86^1.6+R86^1.6+S86^1.6)/3)^(1/1.6)))*(1/V86)</f>
        <v>1001.0004567865979</v>
      </c>
      <c r="X86" s="24">
        <f>3.14/6*Q86*R86*S86*U86</f>
        <v>320.27999999999997</v>
      </c>
      <c r="Y86" s="21">
        <v>4</v>
      </c>
      <c r="Z86" s="24">
        <f t="shared" ref="Z86:Z95" si="24">Y86*W86</f>
        <v>4004.0018271463914</v>
      </c>
      <c r="AA86" s="24">
        <f t="shared" ref="AA86:AA95" si="25">Y86*X86</f>
        <v>1281.1199999999999</v>
      </c>
      <c r="AB86" s="21">
        <v>17</v>
      </c>
      <c r="AC86" s="22">
        <f>R86*Y86</f>
        <v>24</v>
      </c>
      <c r="AD86" s="21">
        <v>6</v>
      </c>
      <c r="AE86" s="22" t="s">
        <v>330</v>
      </c>
      <c r="AF86" s="22">
        <v>0.7</v>
      </c>
      <c r="AG86" s="22">
        <v>0.7</v>
      </c>
      <c r="AH86" s="25">
        <f>(AB86*AC86*2+AB86*AD86*2+AC86*AD86*2)/AG86</f>
        <v>1868.5714285714287</v>
      </c>
      <c r="AI86" s="25">
        <f>AB86*AC86*AD86*AF86</f>
        <v>1713.6</v>
      </c>
      <c r="AJ86" s="21">
        <v>1922.7</v>
      </c>
      <c r="AK86" s="21">
        <v>24</v>
      </c>
      <c r="AL86" s="22" t="s">
        <v>161</v>
      </c>
      <c r="AM86" s="22">
        <v>0.16</v>
      </c>
      <c r="AN86" s="22" t="s">
        <v>1364</v>
      </c>
      <c r="AO86" s="22" t="s">
        <v>1364</v>
      </c>
      <c r="AP86" s="22" t="s">
        <v>162</v>
      </c>
      <c r="AQ86" s="22" t="str">
        <f t="shared" ref="AQ86:AQ95" si="26">IF(AND($AK86&lt;20,AJ86&lt;10000),"Nanophytoplankton","Microphytoplankton")</f>
        <v>Microphytoplankton</v>
      </c>
      <c r="AR86" s="22">
        <v>0</v>
      </c>
      <c r="AS86" s="22">
        <v>0</v>
      </c>
      <c r="AT86" s="22">
        <v>0</v>
      </c>
      <c r="AU86" s="22">
        <v>1</v>
      </c>
      <c r="AV86" s="22">
        <v>0</v>
      </c>
      <c r="AW86" s="22">
        <v>0</v>
      </c>
      <c r="AX86" s="22">
        <v>0</v>
      </c>
      <c r="AY86" s="22">
        <v>1</v>
      </c>
      <c r="AZ86" s="22">
        <v>0</v>
      </c>
      <c r="BA86" s="22">
        <v>0</v>
      </c>
      <c r="BB86" s="22">
        <v>0</v>
      </c>
      <c r="BC86" s="22">
        <v>2</v>
      </c>
      <c r="BD86" s="22">
        <v>6</v>
      </c>
      <c r="BE86" s="22">
        <v>2</v>
      </c>
      <c r="BF86" s="22">
        <v>0</v>
      </c>
      <c r="BG86" s="22">
        <v>0</v>
      </c>
      <c r="BH86" s="22">
        <f t="shared" si="20"/>
        <v>0.31995989395265589</v>
      </c>
    </row>
    <row r="87" spans="1:60" s="22" customFormat="1" ht="13">
      <c r="A87" s="22" t="s">
        <v>2947</v>
      </c>
      <c r="B87" s="22" t="s">
        <v>663</v>
      </c>
      <c r="C87" s="22" t="s">
        <v>2223</v>
      </c>
      <c r="D87" s="22" t="s">
        <v>2224</v>
      </c>
      <c r="E87" s="23" t="s">
        <v>63</v>
      </c>
      <c r="F87" s="23" t="s">
        <v>2225</v>
      </c>
      <c r="G87" s="23" t="s">
        <v>2226</v>
      </c>
      <c r="H87" s="22" t="s">
        <v>2457</v>
      </c>
      <c r="I87" s="22" t="s">
        <v>53</v>
      </c>
      <c r="J87" s="22" t="s">
        <v>2948</v>
      </c>
      <c r="N87" s="22" t="s">
        <v>2949</v>
      </c>
      <c r="O87" s="22" t="s">
        <v>2229</v>
      </c>
      <c r="P87" s="22">
        <v>82454</v>
      </c>
      <c r="Q87" s="22">
        <v>14</v>
      </c>
      <c r="R87" s="22">
        <v>5</v>
      </c>
      <c r="S87" s="22">
        <v>4</v>
      </c>
      <c r="T87" s="21" t="s">
        <v>159</v>
      </c>
      <c r="U87" s="21">
        <v>1</v>
      </c>
      <c r="V87" s="21">
        <v>1</v>
      </c>
      <c r="W87" s="24">
        <f>(4*3.14*(((Q87^1.6*R87^1.6+Q87^1.6*S87^1.6+R87^1.6+S87^1.6)/3)^(1/1.6)))*(1/V87)</f>
        <v>622.05490239334472</v>
      </c>
      <c r="X87" s="24">
        <f>3.14/6*Q87*R87*S87*U87</f>
        <v>146.53333333333333</v>
      </c>
      <c r="Y87" s="22">
        <v>4</v>
      </c>
      <c r="Z87" s="24">
        <f t="shared" si="24"/>
        <v>2488.2196095733789</v>
      </c>
      <c r="AA87" s="24">
        <f t="shared" si="25"/>
        <v>586.13333333333333</v>
      </c>
      <c r="AB87" s="22">
        <v>14</v>
      </c>
      <c r="AC87" s="22">
        <f>R87*Y87</f>
        <v>20</v>
      </c>
      <c r="AD87" s="22">
        <v>4</v>
      </c>
      <c r="AE87" s="22" t="s">
        <v>330</v>
      </c>
      <c r="AF87" s="22">
        <v>0.9</v>
      </c>
      <c r="AG87" s="22">
        <v>0.9</v>
      </c>
      <c r="AH87" s="25">
        <f>(AB87*AC87*2+AB87*AD87*2+AC87*AD87*2)/AG87</f>
        <v>924.44444444444446</v>
      </c>
      <c r="AI87" s="25">
        <f>AB87*AC87*AD87*AF87</f>
        <v>1008</v>
      </c>
      <c r="AJ87" s="21">
        <v>732.66666666666663</v>
      </c>
      <c r="AK87" s="21">
        <v>16</v>
      </c>
      <c r="AL87" s="22" t="s">
        <v>161</v>
      </c>
      <c r="AM87" s="22">
        <v>0.16</v>
      </c>
      <c r="AN87" s="22" t="s">
        <v>1364</v>
      </c>
      <c r="AO87" s="22" t="s">
        <v>1364</v>
      </c>
      <c r="AP87" s="22" t="s">
        <v>162</v>
      </c>
      <c r="AQ87" s="22" t="str">
        <f t="shared" si="26"/>
        <v>Nanophytoplankton</v>
      </c>
      <c r="AR87" s="22">
        <v>0</v>
      </c>
      <c r="AS87" s="22">
        <v>0</v>
      </c>
      <c r="AT87" s="22">
        <v>0</v>
      </c>
      <c r="AU87" s="22">
        <v>1</v>
      </c>
      <c r="AV87" s="22">
        <v>0</v>
      </c>
      <c r="AW87" s="22">
        <v>0</v>
      </c>
      <c r="AX87" s="22">
        <v>0</v>
      </c>
      <c r="AY87" s="22">
        <v>1</v>
      </c>
      <c r="BH87" s="22">
        <f t="shared" si="20"/>
        <v>0.23556334460117434</v>
      </c>
    </row>
    <row r="88" spans="1:60" s="22" customFormat="1" ht="13">
      <c r="A88" s="21" t="s">
        <v>2170</v>
      </c>
      <c r="B88" s="22" t="s">
        <v>663</v>
      </c>
      <c r="C88" s="23" t="s">
        <v>822</v>
      </c>
      <c r="D88" s="23" t="s">
        <v>965</v>
      </c>
      <c r="E88" s="22" t="s">
        <v>62</v>
      </c>
      <c r="F88" s="22" t="s">
        <v>1424</v>
      </c>
      <c r="G88" s="23" t="s">
        <v>1553</v>
      </c>
      <c r="H88" s="23" t="s">
        <v>1554</v>
      </c>
      <c r="I88" s="22" t="s">
        <v>2165</v>
      </c>
      <c r="J88" s="22" t="s">
        <v>2171</v>
      </c>
      <c r="N88" s="22" t="s">
        <v>1456</v>
      </c>
      <c r="O88" s="22" t="s">
        <v>1430</v>
      </c>
      <c r="P88" s="21">
        <v>70131</v>
      </c>
      <c r="Q88" s="21">
        <v>17.5</v>
      </c>
      <c r="R88" s="21">
        <v>17.5</v>
      </c>
      <c r="S88" s="21">
        <v>2.5</v>
      </c>
      <c r="T88" s="21" t="s">
        <v>160</v>
      </c>
      <c r="U88" s="21">
        <v>1</v>
      </c>
      <c r="V88" s="22">
        <v>1</v>
      </c>
      <c r="W88" s="24">
        <f>3.14*R88*Q88+2*3.14*(S88/2)^2/V88</f>
        <v>971.4375</v>
      </c>
      <c r="X88" s="25">
        <f>(3.14/4*R88^2*Q88)*U88</f>
        <v>4207.109375</v>
      </c>
      <c r="Y88" s="21">
        <v>1</v>
      </c>
      <c r="Z88" s="24">
        <f t="shared" si="24"/>
        <v>971.4375</v>
      </c>
      <c r="AA88" s="24">
        <f t="shared" si="25"/>
        <v>4207.109375</v>
      </c>
      <c r="AB88" s="21"/>
      <c r="AC88" s="21"/>
      <c r="AD88" s="21"/>
      <c r="AE88" s="21"/>
      <c r="AF88" s="21" t="s">
        <v>247</v>
      </c>
      <c r="AG88" s="21"/>
      <c r="AH88" s="24"/>
      <c r="AI88" s="24"/>
      <c r="AJ88" s="21">
        <v>601.015625</v>
      </c>
      <c r="AK88" s="21">
        <v>17.5</v>
      </c>
      <c r="AL88" s="22" t="s">
        <v>161</v>
      </c>
      <c r="AM88" s="22">
        <v>0.11</v>
      </c>
      <c r="AN88" s="22" t="s">
        <v>1762</v>
      </c>
      <c r="AO88" s="22" t="s">
        <v>1762</v>
      </c>
      <c r="AP88" s="22" t="s">
        <v>1432</v>
      </c>
      <c r="AQ88" s="22" t="str">
        <f t="shared" si="26"/>
        <v>Nanophytoplankton</v>
      </c>
      <c r="AR88" s="22">
        <v>0</v>
      </c>
      <c r="AS88" s="22">
        <v>0</v>
      </c>
      <c r="AT88" s="22">
        <v>0</v>
      </c>
      <c r="AU88" s="22">
        <v>0</v>
      </c>
      <c r="AV88" s="22">
        <v>0</v>
      </c>
      <c r="AW88" s="22">
        <v>0</v>
      </c>
      <c r="AX88" s="22">
        <v>1</v>
      </c>
      <c r="AY88" s="22">
        <v>0</v>
      </c>
      <c r="AZ88" s="22">
        <v>0</v>
      </c>
      <c r="BA88" s="22">
        <v>0</v>
      </c>
      <c r="BB88" s="22">
        <v>0</v>
      </c>
      <c r="BC88" s="22">
        <v>3</v>
      </c>
      <c r="BD88" s="22">
        <v>3</v>
      </c>
      <c r="BE88" s="22">
        <v>4</v>
      </c>
      <c r="BH88" s="22">
        <f t="shared" si="20"/>
        <v>4.3308080808080804</v>
      </c>
    </row>
    <row r="89" spans="1:60" s="22" customFormat="1" ht="13">
      <c r="A89" s="22" t="s">
        <v>2172</v>
      </c>
      <c r="B89" s="22" t="s">
        <v>663</v>
      </c>
      <c r="C89" s="23" t="s">
        <v>822</v>
      </c>
      <c r="D89" s="23" t="s">
        <v>965</v>
      </c>
      <c r="E89" s="22" t="s">
        <v>62</v>
      </c>
      <c r="F89" s="22" t="s">
        <v>1424</v>
      </c>
      <c r="G89" s="23" t="s">
        <v>1553</v>
      </c>
      <c r="H89" s="23" t="s">
        <v>1554</v>
      </c>
      <c r="I89" s="22" t="s">
        <v>2165</v>
      </c>
      <c r="J89" s="22" t="s">
        <v>2171</v>
      </c>
      <c r="K89" s="22" t="s">
        <v>184</v>
      </c>
      <c r="L89" s="22" t="s">
        <v>185</v>
      </c>
      <c r="N89" s="22" t="s">
        <v>2173</v>
      </c>
      <c r="O89" s="22" t="s">
        <v>1430</v>
      </c>
      <c r="P89" s="21">
        <v>70132</v>
      </c>
      <c r="Q89" s="22">
        <v>17.5</v>
      </c>
      <c r="R89" s="22">
        <v>17.5</v>
      </c>
      <c r="S89" s="22">
        <v>2.5</v>
      </c>
      <c r="T89" s="21" t="s">
        <v>160</v>
      </c>
      <c r="U89" s="22">
        <v>1</v>
      </c>
      <c r="V89" s="22">
        <v>1</v>
      </c>
      <c r="W89" s="24">
        <f>3.14*R89*Q89+2*3.14*(S89/2)^2/V89</f>
        <v>971.4375</v>
      </c>
      <c r="X89" s="25">
        <f>(3.14/4*R89^2*Q89)*U89</f>
        <v>4207.109375</v>
      </c>
      <c r="Y89" s="21">
        <v>1</v>
      </c>
      <c r="Z89" s="24">
        <f t="shared" si="24"/>
        <v>971.4375</v>
      </c>
      <c r="AA89" s="24">
        <f t="shared" si="25"/>
        <v>4207.109375</v>
      </c>
      <c r="AE89" s="21"/>
      <c r="AF89" s="21" t="s">
        <v>247</v>
      </c>
      <c r="AH89" s="25"/>
      <c r="AI89" s="25"/>
      <c r="AJ89" s="21">
        <v>567</v>
      </c>
      <c r="AK89" s="21">
        <v>17.5</v>
      </c>
      <c r="AL89" s="22" t="s">
        <v>161</v>
      </c>
      <c r="AM89" s="22">
        <v>0.11</v>
      </c>
      <c r="AN89" s="22" t="s">
        <v>1762</v>
      </c>
      <c r="AO89" s="22" t="s">
        <v>1762</v>
      </c>
      <c r="AP89" s="22" t="s">
        <v>1432</v>
      </c>
      <c r="AQ89" s="22" t="str">
        <f t="shared" si="26"/>
        <v>Nanophytoplankton</v>
      </c>
      <c r="AR89" s="22">
        <v>0</v>
      </c>
      <c r="AS89" s="22">
        <v>0</v>
      </c>
      <c r="AT89" s="22">
        <v>0</v>
      </c>
      <c r="AU89" s="22">
        <v>0</v>
      </c>
      <c r="AV89" s="22">
        <v>0</v>
      </c>
      <c r="AW89" s="22">
        <v>0</v>
      </c>
      <c r="AX89" s="22">
        <v>1</v>
      </c>
      <c r="AY89" s="22">
        <v>0</v>
      </c>
      <c r="AZ89" s="22">
        <v>0</v>
      </c>
      <c r="BA89" s="22">
        <v>0</v>
      </c>
      <c r="BB89" s="22">
        <v>0</v>
      </c>
      <c r="BC89" s="22">
        <v>3</v>
      </c>
      <c r="BD89" s="22">
        <v>3</v>
      </c>
      <c r="BE89" s="22">
        <v>4</v>
      </c>
      <c r="BH89" s="22">
        <f t="shared" si="20"/>
        <v>4.3308080808080804</v>
      </c>
    </row>
    <row r="90" spans="1:60" s="22" customFormat="1" ht="13">
      <c r="A90" s="36" t="s">
        <v>2183</v>
      </c>
      <c r="B90" s="22" t="s">
        <v>663</v>
      </c>
      <c r="C90" s="23" t="s">
        <v>822</v>
      </c>
      <c r="D90" s="23" t="s">
        <v>965</v>
      </c>
      <c r="E90" s="22" t="s">
        <v>62</v>
      </c>
      <c r="F90" s="22" t="s">
        <v>1424</v>
      </c>
      <c r="G90" s="23" t="s">
        <v>1553</v>
      </c>
      <c r="H90" s="23" t="s">
        <v>1554</v>
      </c>
      <c r="I90" s="22" t="s">
        <v>2165</v>
      </c>
      <c r="J90" s="22" t="s">
        <v>2184</v>
      </c>
      <c r="N90" s="22" t="s">
        <v>2185</v>
      </c>
      <c r="O90" s="22" t="s">
        <v>1430</v>
      </c>
      <c r="P90" s="21">
        <v>70351</v>
      </c>
      <c r="Q90" s="21">
        <v>5</v>
      </c>
      <c r="R90" s="21">
        <v>5</v>
      </c>
      <c r="S90" s="21">
        <v>2.5</v>
      </c>
      <c r="T90" s="22" t="s">
        <v>330</v>
      </c>
      <c r="U90" s="21">
        <v>1</v>
      </c>
      <c r="V90" s="22">
        <v>1</v>
      </c>
      <c r="W90" s="25">
        <f>(Q90*R90*2+Q90*S90*2+R90*S90*2)/V90</f>
        <v>100</v>
      </c>
      <c r="X90" s="25">
        <f>Q90*R90*S90*U90</f>
        <v>62.5</v>
      </c>
      <c r="Y90" s="21">
        <v>1</v>
      </c>
      <c r="Z90" s="24">
        <f t="shared" si="24"/>
        <v>100</v>
      </c>
      <c r="AA90" s="24">
        <f t="shared" si="25"/>
        <v>62.5</v>
      </c>
      <c r="AB90" s="21"/>
      <c r="AC90" s="21"/>
      <c r="AD90" s="21"/>
      <c r="AE90" s="21"/>
      <c r="AF90" s="21" t="s">
        <v>247</v>
      </c>
      <c r="AG90" s="21"/>
      <c r="AH90" s="24"/>
      <c r="AI90" s="24"/>
      <c r="AJ90" s="21">
        <v>49.1</v>
      </c>
      <c r="AK90" s="21">
        <v>5</v>
      </c>
      <c r="AL90" s="22" t="s">
        <v>161</v>
      </c>
      <c r="AM90" s="22">
        <v>0.11</v>
      </c>
      <c r="AO90" s="22" t="s">
        <v>1529</v>
      </c>
      <c r="AP90" s="22" t="s">
        <v>1432</v>
      </c>
      <c r="AQ90" s="22" t="str">
        <f t="shared" si="26"/>
        <v>Nanophytoplankton</v>
      </c>
      <c r="AR90" s="22">
        <v>0</v>
      </c>
      <c r="AS90" s="22">
        <v>0</v>
      </c>
      <c r="AT90" s="22">
        <v>0</v>
      </c>
      <c r="AU90" s="22">
        <v>0</v>
      </c>
      <c r="AV90" s="22">
        <v>0</v>
      </c>
      <c r="AW90" s="22">
        <v>0</v>
      </c>
      <c r="AX90" s="22">
        <v>1</v>
      </c>
      <c r="AY90" s="22">
        <v>0</v>
      </c>
      <c r="AZ90" s="22">
        <v>0</v>
      </c>
      <c r="BA90" s="22">
        <v>0</v>
      </c>
      <c r="BB90" s="22">
        <v>0</v>
      </c>
      <c r="BC90" s="22">
        <v>2</v>
      </c>
      <c r="BD90" s="22">
        <v>4</v>
      </c>
      <c r="BE90" s="22">
        <v>4</v>
      </c>
      <c r="BH90" s="22">
        <f t="shared" si="20"/>
        <v>0.625</v>
      </c>
    </row>
    <row r="91" spans="1:60" s="22" customFormat="1" ht="13">
      <c r="A91" s="21" t="s">
        <v>1338</v>
      </c>
      <c r="B91" s="22" t="s">
        <v>663</v>
      </c>
      <c r="C91" s="23" t="s">
        <v>822</v>
      </c>
      <c r="D91" s="23" t="s">
        <v>965</v>
      </c>
      <c r="E91" s="22" t="s">
        <v>991</v>
      </c>
      <c r="F91" s="23" t="s">
        <v>992</v>
      </c>
      <c r="G91" s="23" t="s">
        <v>1005</v>
      </c>
      <c r="H91" s="23" t="s">
        <v>1011</v>
      </c>
      <c r="I91" s="22" t="s">
        <v>1339</v>
      </c>
      <c r="J91" s="22" t="s">
        <v>1340</v>
      </c>
      <c r="N91" s="22" t="s">
        <v>1341</v>
      </c>
      <c r="O91" s="22" t="s">
        <v>962</v>
      </c>
      <c r="P91" s="21">
        <v>50210</v>
      </c>
      <c r="Q91" s="21">
        <v>8</v>
      </c>
      <c r="R91" s="21">
        <v>5</v>
      </c>
      <c r="S91" s="21">
        <v>5</v>
      </c>
      <c r="T91" s="21" t="s">
        <v>159</v>
      </c>
      <c r="U91" s="21">
        <v>1</v>
      </c>
      <c r="V91" s="21">
        <v>1</v>
      </c>
      <c r="W91" s="24">
        <f>(4*3.14*(((Q91^1.6*R91^1.6+Q91^1.6*S91^1.6+R91^1.6+S91^1.6)/3)^(1/1.6)))*(1/V91)</f>
        <v>398.62580307118628</v>
      </c>
      <c r="X91" s="24">
        <f>3.14/6*Q91*R91*S91*U91</f>
        <v>104.66666666666667</v>
      </c>
      <c r="Y91" s="21">
        <v>1000</v>
      </c>
      <c r="Z91" s="24">
        <f t="shared" si="24"/>
        <v>398625.8030711863</v>
      </c>
      <c r="AA91" s="24">
        <f t="shared" si="25"/>
        <v>104666.66666666667</v>
      </c>
      <c r="AB91" s="21">
        <v>100</v>
      </c>
      <c r="AC91" s="21">
        <v>100</v>
      </c>
      <c r="AD91" s="21">
        <v>100</v>
      </c>
      <c r="AE91" s="21" t="s">
        <v>159</v>
      </c>
      <c r="AF91" s="21">
        <v>0.2</v>
      </c>
      <c r="AG91" s="21">
        <v>1.5</v>
      </c>
      <c r="AH91" s="24">
        <f>(4*3.14*(((AB91^1.6*AC91^1.6+AB91^1.6*AD91^1.6+AC91^1.6+AD91^1.6)/3)^(1/1.6)))*(1/AG91)</f>
        <v>65014.848179695546</v>
      </c>
      <c r="AI91" s="24">
        <f>3.14/6*AB91*AC91*AD91*AF91</f>
        <v>104666.66666666667</v>
      </c>
      <c r="AJ91" s="21">
        <v>104719.8</v>
      </c>
      <c r="AK91" s="21">
        <v>100</v>
      </c>
      <c r="AL91" s="22" t="s">
        <v>161</v>
      </c>
      <c r="AM91" s="22">
        <v>0.11</v>
      </c>
      <c r="AN91" s="22" t="s">
        <v>1342</v>
      </c>
      <c r="AO91" s="22" t="s">
        <v>1342</v>
      </c>
      <c r="AP91" s="22" t="s">
        <v>963</v>
      </c>
      <c r="AQ91" s="22" t="str">
        <f t="shared" si="26"/>
        <v>Microphytoplankton</v>
      </c>
      <c r="AR91" s="22">
        <v>1</v>
      </c>
      <c r="AS91" s="22">
        <v>1</v>
      </c>
      <c r="AT91" s="22">
        <v>0</v>
      </c>
      <c r="AU91" s="22">
        <v>1</v>
      </c>
      <c r="AV91" s="22">
        <v>0</v>
      </c>
      <c r="AW91" s="22">
        <v>0</v>
      </c>
      <c r="AX91" s="22">
        <v>1</v>
      </c>
      <c r="AY91" s="22">
        <v>0</v>
      </c>
      <c r="BH91" s="22">
        <f t="shared" si="20"/>
        <v>0.26256871948646882</v>
      </c>
    </row>
    <row r="92" spans="1:60" s="22" customFormat="1" ht="13">
      <c r="A92" s="21" t="s">
        <v>1343</v>
      </c>
      <c r="B92" s="22" t="s">
        <v>663</v>
      </c>
      <c r="C92" s="23" t="s">
        <v>822</v>
      </c>
      <c r="D92" s="23" t="s">
        <v>965</v>
      </c>
      <c r="E92" s="22" t="s">
        <v>991</v>
      </c>
      <c r="F92" s="23" t="s">
        <v>992</v>
      </c>
      <c r="G92" s="23" t="s">
        <v>1005</v>
      </c>
      <c r="H92" s="23" t="s">
        <v>1011</v>
      </c>
      <c r="I92" s="22" t="s">
        <v>1339</v>
      </c>
      <c r="J92" s="22" t="s">
        <v>1344</v>
      </c>
      <c r="N92" s="22" t="s">
        <v>940</v>
      </c>
      <c r="O92" s="22" t="s">
        <v>962</v>
      </c>
      <c r="P92" s="21">
        <v>50211</v>
      </c>
      <c r="Q92" s="21">
        <v>9</v>
      </c>
      <c r="R92" s="21">
        <v>3</v>
      </c>
      <c r="S92" s="21">
        <v>3</v>
      </c>
      <c r="T92" s="21" t="s">
        <v>159</v>
      </c>
      <c r="U92" s="21">
        <v>1</v>
      </c>
      <c r="V92" s="21">
        <v>1</v>
      </c>
      <c r="W92" s="24">
        <f>(4*3.14*(((Q92^1.6*R92^1.6+Q92^1.6*S92^1.6+R92^1.6+S92^1.6)/3)^(1/1.6)))*(1/V92)</f>
        <v>268.07034809338808</v>
      </c>
      <c r="X92" s="24">
        <f>3.14/6*Q92*R92*S92*U92</f>
        <v>42.39</v>
      </c>
      <c r="Y92" s="21">
        <v>81</v>
      </c>
      <c r="Z92" s="24">
        <f t="shared" si="24"/>
        <v>21713.698195564433</v>
      </c>
      <c r="AA92" s="24">
        <f t="shared" si="25"/>
        <v>3433.59</v>
      </c>
      <c r="AB92" s="21">
        <v>50</v>
      </c>
      <c r="AC92" s="21">
        <v>50</v>
      </c>
      <c r="AD92" s="21">
        <v>50</v>
      </c>
      <c r="AE92" s="21" t="s">
        <v>159</v>
      </c>
      <c r="AF92" s="21">
        <v>0.2</v>
      </c>
      <c r="AG92" s="21">
        <v>1.5</v>
      </c>
      <c r="AH92" s="24">
        <f>(4*3.14*(((AB92^1.6*AC92^1.6+AB92^1.6*AD92^1.6+AC92^1.6+AD92^1.6)/3)^(1/1.6)))*(1/AG92)</f>
        <v>16266.721434434163</v>
      </c>
      <c r="AI92" s="24">
        <f>3.14/6*AB92*AC92*AD92*AF92</f>
        <v>13083.333333333334</v>
      </c>
      <c r="AJ92" s="21">
        <v>70</v>
      </c>
      <c r="AK92" s="21">
        <v>9</v>
      </c>
      <c r="AL92" s="22" t="s">
        <v>161</v>
      </c>
      <c r="AM92" s="22">
        <v>0.11</v>
      </c>
      <c r="AN92" s="22" t="s">
        <v>1342</v>
      </c>
      <c r="AO92" s="22" t="s">
        <v>1342</v>
      </c>
      <c r="AP92" s="22" t="s">
        <v>963</v>
      </c>
      <c r="AQ92" s="22" t="str">
        <f t="shared" si="26"/>
        <v>Nanophytoplankton</v>
      </c>
      <c r="AR92" s="22">
        <v>1</v>
      </c>
      <c r="AS92" s="22">
        <v>1</v>
      </c>
      <c r="AT92" s="22">
        <v>0</v>
      </c>
      <c r="AU92" s="22">
        <v>1</v>
      </c>
      <c r="AV92" s="22">
        <v>0</v>
      </c>
      <c r="AW92" s="22">
        <v>0</v>
      </c>
      <c r="AX92" s="22">
        <v>1</v>
      </c>
      <c r="AY92" s="22">
        <v>0</v>
      </c>
      <c r="AZ92" s="22">
        <v>0</v>
      </c>
      <c r="BA92" s="22">
        <v>3</v>
      </c>
      <c r="BB92" s="22">
        <v>3</v>
      </c>
      <c r="BC92" s="22">
        <v>3</v>
      </c>
      <c r="BD92" s="22">
        <v>1</v>
      </c>
      <c r="BE92" s="22">
        <v>0</v>
      </c>
      <c r="BH92" s="22">
        <f t="shared" si="20"/>
        <v>0.15813013375590698</v>
      </c>
    </row>
    <row r="93" spans="1:60" s="22" customFormat="1" ht="13">
      <c r="A93" s="21" t="s">
        <v>1345</v>
      </c>
      <c r="B93" s="22" t="s">
        <v>663</v>
      </c>
      <c r="C93" s="23" t="s">
        <v>822</v>
      </c>
      <c r="D93" s="23" t="s">
        <v>965</v>
      </c>
      <c r="E93" s="22" t="s">
        <v>991</v>
      </c>
      <c r="F93" s="23" t="s">
        <v>992</v>
      </c>
      <c r="G93" s="23" t="s">
        <v>1005</v>
      </c>
      <c r="H93" s="23" t="s">
        <v>1011</v>
      </c>
      <c r="I93" s="22" t="s">
        <v>1339</v>
      </c>
      <c r="J93" s="22" t="s">
        <v>211</v>
      </c>
      <c r="M93" s="22" t="s">
        <v>1</v>
      </c>
      <c r="N93" s="22" t="s">
        <v>694</v>
      </c>
      <c r="O93" s="22" t="s">
        <v>962</v>
      </c>
      <c r="P93" s="21">
        <v>50200</v>
      </c>
      <c r="Q93" s="21">
        <v>8</v>
      </c>
      <c r="R93" s="21">
        <v>5</v>
      </c>
      <c r="S93" s="21">
        <v>5</v>
      </c>
      <c r="T93" s="21" t="s">
        <v>159</v>
      </c>
      <c r="U93" s="21">
        <v>1</v>
      </c>
      <c r="V93" s="21">
        <v>1</v>
      </c>
      <c r="W93" s="24">
        <f>(4*3.14*(((Q93^1.6*R93^1.6+Q93^1.6*S93^1.6+R93^1.6+S93^1.6)/3)^(1/1.6)))*(1/V93)</f>
        <v>398.62580307118628</v>
      </c>
      <c r="X93" s="24">
        <f>3.14/6*Q93*R93*S93*U93</f>
        <v>104.66666666666667</v>
      </c>
      <c r="Y93" s="21">
        <v>1000</v>
      </c>
      <c r="Z93" s="24">
        <f t="shared" si="24"/>
        <v>398625.8030711863</v>
      </c>
      <c r="AA93" s="24">
        <f t="shared" si="25"/>
        <v>104666.66666666667</v>
      </c>
      <c r="AB93" s="21">
        <v>100</v>
      </c>
      <c r="AC93" s="21">
        <v>100</v>
      </c>
      <c r="AD93" s="21">
        <v>100</v>
      </c>
      <c r="AE93" s="21" t="s">
        <v>159</v>
      </c>
      <c r="AF93" s="21">
        <v>0.2</v>
      </c>
      <c r="AG93" s="21">
        <v>1.5</v>
      </c>
      <c r="AH93" s="24">
        <f>(4*3.14*(((AB93^1.6*AC93^1.6+AB93^1.6*AD93^1.6+AC93^1.6+AD93^1.6)/3)^(1/1.6)))*(1/AG93)</f>
        <v>65014.848179695546</v>
      </c>
      <c r="AI93" s="24">
        <f>3.14/6*AB93*AC93*AD93*AF93</f>
        <v>104666.66666666667</v>
      </c>
      <c r="AJ93" s="21">
        <v>104719.8</v>
      </c>
      <c r="AK93" s="21">
        <v>100</v>
      </c>
      <c r="AL93" s="22" t="s">
        <v>161</v>
      </c>
      <c r="AM93" s="22">
        <v>0.11</v>
      </c>
      <c r="AN93" s="22" t="s">
        <v>1342</v>
      </c>
      <c r="AO93" s="22" t="s">
        <v>1342</v>
      </c>
      <c r="AP93" s="22" t="s">
        <v>963</v>
      </c>
      <c r="AQ93" s="22" t="str">
        <f t="shared" si="26"/>
        <v>Microphytoplankton</v>
      </c>
      <c r="AR93" s="22">
        <v>1</v>
      </c>
      <c r="AS93" s="22">
        <v>1</v>
      </c>
      <c r="AT93" s="22">
        <v>0</v>
      </c>
      <c r="AU93" s="22">
        <v>1</v>
      </c>
      <c r="AV93" s="22">
        <v>0</v>
      </c>
      <c r="AW93" s="22">
        <v>0</v>
      </c>
      <c r="AX93" s="22">
        <v>1</v>
      </c>
      <c r="AY93" s="22">
        <v>0</v>
      </c>
      <c r="AZ93" s="22">
        <v>0</v>
      </c>
      <c r="BA93" s="22">
        <v>3</v>
      </c>
      <c r="BB93" s="22">
        <v>3</v>
      </c>
      <c r="BC93" s="22">
        <v>3</v>
      </c>
      <c r="BD93" s="22">
        <v>1</v>
      </c>
      <c r="BE93" s="22">
        <v>0</v>
      </c>
      <c r="BH93" s="22">
        <f t="shared" si="20"/>
        <v>0.26256871948646882</v>
      </c>
    </row>
    <row r="94" spans="1:60" s="22" customFormat="1" ht="13">
      <c r="A94" s="21" t="s">
        <v>1465</v>
      </c>
      <c r="B94" s="22" t="s">
        <v>663</v>
      </c>
      <c r="C94" s="23" t="s">
        <v>822</v>
      </c>
      <c r="D94" s="23" t="s">
        <v>965</v>
      </c>
      <c r="E94" s="22" t="s">
        <v>62</v>
      </c>
      <c r="F94" s="23" t="s">
        <v>1434</v>
      </c>
      <c r="G94" s="23" t="s">
        <v>1435</v>
      </c>
      <c r="H94" s="23" t="s">
        <v>1436</v>
      </c>
      <c r="I94" s="22" t="s">
        <v>1437</v>
      </c>
      <c r="J94" s="22" t="s">
        <v>1466</v>
      </c>
      <c r="N94" s="22" t="s">
        <v>413</v>
      </c>
      <c r="O94" s="22" t="s">
        <v>1430</v>
      </c>
      <c r="P94" s="21">
        <v>71110</v>
      </c>
      <c r="Q94" s="21">
        <v>35</v>
      </c>
      <c r="R94" s="21">
        <v>4</v>
      </c>
      <c r="S94" s="21">
        <v>3</v>
      </c>
      <c r="T94" s="22" t="s">
        <v>330</v>
      </c>
      <c r="U94" s="21">
        <v>0.75</v>
      </c>
      <c r="V94" s="21">
        <v>0.8</v>
      </c>
      <c r="W94" s="25">
        <f>(Q94*R94*2+Q94*S94*2+R94*S94*2)/V94</f>
        <v>642.5</v>
      </c>
      <c r="X94" s="25">
        <f>Q94*R94*S94*U94</f>
        <v>315</v>
      </c>
      <c r="Y94" s="22">
        <v>1</v>
      </c>
      <c r="Z94" s="24">
        <f t="shared" si="24"/>
        <v>642.5</v>
      </c>
      <c r="AA94" s="24">
        <f t="shared" si="25"/>
        <v>315</v>
      </c>
      <c r="AB94" s="21"/>
      <c r="AC94" s="21"/>
      <c r="AD94" s="21"/>
      <c r="AF94" s="21" t="s">
        <v>247</v>
      </c>
      <c r="AH94" s="25"/>
      <c r="AI94" s="25"/>
      <c r="AJ94" s="21">
        <v>315</v>
      </c>
      <c r="AK94" s="21">
        <v>35</v>
      </c>
      <c r="AL94" s="22" t="s">
        <v>161</v>
      </c>
      <c r="AM94" s="22">
        <v>0.11</v>
      </c>
      <c r="AO94" s="22" t="s">
        <v>1447</v>
      </c>
      <c r="AP94" s="22" t="s">
        <v>1432</v>
      </c>
      <c r="AQ94" s="22" t="str">
        <f t="shared" si="26"/>
        <v>Microphytoplankton</v>
      </c>
      <c r="AR94" s="22">
        <v>1</v>
      </c>
      <c r="AS94" s="22">
        <v>0</v>
      </c>
      <c r="AT94" s="22">
        <v>1</v>
      </c>
      <c r="AU94" s="22">
        <v>0</v>
      </c>
      <c r="AV94" s="22">
        <v>0</v>
      </c>
      <c r="AW94" s="22">
        <v>0</v>
      </c>
      <c r="AX94" s="22">
        <v>1</v>
      </c>
      <c r="AY94" s="22">
        <v>0</v>
      </c>
      <c r="BH94" s="22">
        <f t="shared" si="20"/>
        <v>0.49027237354085601</v>
      </c>
    </row>
    <row r="95" spans="1:60" s="22" customFormat="1" ht="13">
      <c r="A95" s="21" t="s">
        <v>2234</v>
      </c>
      <c r="B95" s="22" t="s">
        <v>663</v>
      </c>
      <c r="C95" s="22" t="s">
        <v>2223</v>
      </c>
      <c r="D95" s="22" t="s">
        <v>2224</v>
      </c>
      <c r="E95" s="23" t="s">
        <v>63</v>
      </c>
      <c r="F95" s="23" t="s">
        <v>2225</v>
      </c>
      <c r="G95" s="23" t="s">
        <v>2226</v>
      </c>
      <c r="H95" s="38" t="s">
        <v>2231</v>
      </c>
      <c r="I95" s="22" t="s">
        <v>2232</v>
      </c>
      <c r="J95" s="22" t="s">
        <v>2171</v>
      </c>
      <c r="N95" s="22" t="s">
        <v>2235</v>
      </c>
      <c r="O95" s="22" t="s">
        <v>2229</v>
      </c>
      <c r="P95" s="21">
        <v>82610</v>
      </c>
      <c r="Q95" s="21">
        <v>42</v>
      </c>
      <c r="R95" s="21">
        <v>5</v>
      </c>
      <c r="S95" s="21">
        <v>5</v>
      </c>
      <c r="T95" s="21" t="s">
        <v>281</v>
      </c>
      <c r="U95" s="22">
        <v>1</v>
      </c>
      <c r="V95" s="22">
        <v>1</v>
      </c>
      <c r="W95" s="24">
        <f>(4*3.14*(((Q95^1.6*R95^1.6+Q95^1.6*S95^1.6+R95^1.6+S95^1.6)/3)^(1/1.6)))*(1/V95)</f>
        <v>2050.3936800913061</v>
      </c>
      <c r="X95" s="24">
        <f>3.14/6*Q95*R95*S95*U95</f>
        <v>549.5</v>
      </c>
      <c r="Y95" s="21">
        <v>8</v>
      </c>
      <c r="Z95" s="24">
        <f t="shared" si="24"/>
        <v>16403.149440730449</v>
      </c>
      <c r="AA95" s="24">
        <f t="shared" si="25"/>
        <v>4396</v>
      </c>
      <c r="AB95" s="21"/>
      <c r="AC95" s="21"/>
      <c r="AD95" s="21"/>
      <c r="AE95" s="21"/>
      <c r="AF95" s="21" t="s">
        <v>247</v>
      </c>
      <c r="AG95" s="21"/>
      <c r="AH95" s="24"/>
      <c r="AI95" s="24"/>
      <c r="AJ95" s="21">
        <v>4398.2</v>
      </c>
      <c r="AK95" s="21">
        <v>90</v>
      </c>
      <c r="AL95" s="22" t="s">
        <v>161</v>
      </c>
      <c r="AM95" s="22">
        <v>0.16</v>
      </c>
      <c r="AO95" s="22" t="s">
        <v>1364</v>
      </c>
      <c r="AP95" s="22" t="s">
        <v>162</v>
      </c>
      <c r="AQ95" s="22" t="str">
        <f t="shared" si="26"/>
        <v>Microphytoplankton</v>
      </c>
      <c r="AR95" s="22">
        <v>0</v>
      </c>
      <c r="AS95" s="22">
        <v>0</v>
      </c>
      <c r="AT95" s="22">
        <v>0</v>
      </c>
      <c r="AU95" s="22">
        <v>1</v>
      </c>
      <c r="AV95" s="22">
        <v>0</v>
      </c>
      <c r="AW95" s="22">
        <v>0</v>
      </c>
      <c r="AX95" s="22">
        <v>0</v>
      </c>
      <c r="AY95" s="22">
        <v>1</v>
      </c>
      <c r="BH95" s="22">
        <f t="shared" si="20"/>
        <v>0.26799731453304626</v>
      </c>
    </row>
    <row r="96" spans="1:60">
      <c r="BH96" s="22"/>
    </row>
    <row r="97" spans="1:60" s="22" customFormat="1" ht="14">
      <c r="A97" s="21" t="s">
        <v>180</v>
      </c>
      <c r="B97" s="22" t="s">
        <v>149</v>
      </c>
      <c r="C97" s="22" t="s">
        <v>150</v>
      </c>
      <c r="D97" s="23" t="s">
        <v>151</v>
      </c>
      <c r="E97" s="22" t="s">
        <v>61</v>
      </c>
      <c r="F97" s="22" t="s">
        <v>152</v>
      </c>
      <c r="G97" s="20" t="s">
        <v>164</v>
      </c>
      <c r="H97" s="26" t="s">
        <v>165</v>
      </c>
      <c r="I97" s="22" t="s">
        <v>32</v>
      </c>
      <c r="J97" s="21" t="s">
        <v>181</v>
      </c>
      <c r="K97" s="21"/>
      <c r="L97" s="21"/>
      <c r="N97" s="22" t="s">
        <v>182</v>
      </c>
      <c r="O97" s="22" t="s">
        <v>158</v>
      </c>
      <c r="P97" s="21">
        <v>10730</v>
      </c>
      <c r="Q97" s="21">
        <v>8</v>
      </c>
      <c r="R97" s="21">
        <v>8</v>
      </c>
      <c r="S97" s="21">
        <v>8</v>
      </c>
      <c r="T97" s="21" t="s">
        <v>159</v>
      </c>
      <c r="U97" s="21">
        <v>1</v>
      </c>
      <c r="V97" s="21">
        <v>1</v>
      </c>
      <c r="W97" s="24">
        <f>(4*3.14*(((Q97^1.6*R97^1.6+Q97^1.6*S97^1.6+R97^1.6+S97^1.6)/3)^(1/1.6)))*(1/V97)</f>
        <v>637.80128491389792</v>
      </c>
      <c r="X97" s="24">
        <f>3.14/6*Q97*R97*S97*U97</f>
        <v>267.94666666666666</v>
      </c>
      <c r="Y97" s="21">
        <v>10</v>
      </c>
      <c r="Z97" s="24">
        <f>Y97*W97</f>
        <v>6378.0128491389787</v>
      </c>
      <c r="AA97" s="24">
        <f>Y97*X97</f>
        <v>2679.4666666666667</v>
      </c>
      <c r="AB97" s="21">
        <v>80</v>
      </c>
      <c r="AC97" s="21">
        <v>8</v>
      </c>
      <c r="AD97" s="21">
        <v>8</v>
      </c>
      <c r="AE97" s="21" t="s">
        <v>160</v>
      </c>
      <c r="AF97" s="21">
        <v>1</v>
      </c>
      <c r="AG97" s="21">
        <v>1</v>
      </c>
      <c r="AH97" s="24">
        <f>3.14*AC97*AB97+2*3.14*(AD97/2)^2/AG97</f>
        <v>2110.08</v>
      </c>
      <c r="AI97" s="25">
        <f>(3.14/4*AC97^2*AB97)*AF97</f>
        <v>4019.2000000000003</v>
      </c>
      <c r="AJ97" s="21">
        <v>4021.2</v>
      </c>
      <c r="AK97" s="21">
        <v>100</v>
      </c>
      <c r="AL97" s="22" t="s">
        <v>161</v>
      </c>
      <c r="AM97" s="22">
        <v>0.22</v>
      </c>
      <c r="AO97" s="22" t="s">
        <v>168</v>
      </c>
      <c r="AP97" s="22" t="s">
        <v>169</v>
      </c>
      <c r="AQ97" s="22" t="str">
        <f>IF(AND($AK97&lt;20,AJ97&lt;10000),"Nanophytoplankton","Microphytoplankton")</f>
        <v>Microphytoplankton</v>
      </c>
      <c r="AR97" s="22">
        <v>0</v>
      </c>
      <c r="AS97" s="22">
        <v>0</v>
      </c>
      <c r="AT97" s="22">
        <v>0</v>
      </c>
      <c r="AU97" s="22">
        <v>1</v>
      </c>
      <c r="AV97" s="22">
        <v>1</v>
      </c>
      <c r="AW97" s="22">
        <v>0</v>
      </c>
      <c r="AX97" s="22">
        <v>0</v>
      </c>
      <c r="AY97" s="22">
        <v>1</v>
      </c>
      <c r="BH97" s="22">
        <f t="shared" si="20"/>
        <v>0.42010995117835015</v>
      </c>
    </row>
    <row r="98" spans="1:60" s="22" customFormat="1" ht="14">
      <c r="A98" s="21" t="s">
        <v>183</v>
      </c>
      <c r="B98" s="22" t="s">
        <v>149</v>
      </c>
      <c r="C98" s="22" t="s">
        <v>150</v>
      </c>
      <c r="D98" s="23" t="s">
        <v>151</v>
      </c>
      <c r="E98" s="22" t="s">
        <v>61</v>
      </c>
      <c r="F98" s="22" t="s">
        <v>152</v>
      </c>
      <c r="G98" s="20" t="s">
        <v>164</v>
      </c>
      <c r="H98" s="26" t="s">
        <v>165</v>
      </c>
      <c r="I98" s="22" t="s">
        <v>32</v>
      </c>
      <c r="J98" s="21" t="s">
        <v>181</v>
      </c>
      <c r="K98" s="21" t="s">
        <v>184</v>
      </c>
      <c r="L98" s="21" t="s">
        <v>185</v>
      </c>
      <c r="N98" s="22" t="s">
        <v>186</v>
      </c>
      <c r="O98" s="22" t="s">
        <v>158</v>
      </c>
      <c r="P98" s="22">
        <v>10731</v>
      </c>
      <c r="Q98" s="21">
        <v>8</v>
      </c>
      <c r="R98" s="21">
        <v>6</v>
      </c>
      <c r="S98" s="21">
        <v>8</v>
      </c>
      <c r="T98" s="21" t="s">
        <v>159</v>
      </c>
      <c r="U98" s="21">
        <v>1</v>
      </c>
      <c r="V98" s="21">
        <v>1</v>
      </c>
      <c r="W98" s="24">
        <f>(4*3.14*(((Q98^1.6*R98^1.6+Q98^1.6*S98^1.6+R98^1.6+S98^1.6)/3)^(1/1.6)))*(1/V98)</f>
        <v>561.48992953362938</v>
      </c>
      <c r="X98" s="24">
        <f>3.14/6*Q98*R98*S98*U98</f>
        <v>200.95999999999998</v>
      </c>
      <c r="Y98" s="21">
        <v>10</v>
      </c>
      <c r="Z98" s="24">
        <f>Y98*W98</f>
        <v>5614.899295336294</v>
      </c>
      <c r="AA98" s="24">
        <f>Y98*X98</f>
        <v>2009.6</v>
      </c>
      <c r="AB98" s="21">
        <v>80</v>
      </c>
      <c r="AC98" s="21">
        <v>6</v>
      </c>
      <c r="AD98" s="21">
        <v>8</v>
      </c>
      <c r="AE98" s="21" t="s">
        <v>160</v>
      </c>
      <c r="AF98" s="21">
        <v>1</v>
      </c>
      <c r="AG98" s="21">
        <v>1</v>
      </c>
      <c r="AH98" s="24">
        <f>3.14*AC98*AB98+2*3.14*(AD98/2)^2/AG98</f>
        <v>1607.68</v>
      </c>
      <c r="AI98" s="25">
        <f>(3.14/4*AC98^2*AB98)*AF98</f>
        <v>2260.8000000000002</v>
      </c>
      <c r="AJ98" s="21">
        <v>3072</v>
      </c>
      <c r="AK98" s="21">
        <v>100</v>
      </c>
      <c r="AL98" s="22" t="s">
        <v>161</v>
      </c>
      <c r="AM98" s="22">
        <v>0.22</v>
      </c>
      <c r="AO98" s="22" t="s">
        <v>168</v>
      </c>
      <c r="AP98" s="22" t="s">
        <v>169</v>
      </c>
      <c r="AQ98" s="22" t="str">
        <f>IF(AND($AK98&lt;20,AJ98&lt;10000),"Nanophytoplankton","Microphytoplankton")</f>
        <v>Microphytoplankton</v>
      </c>
      <c r="AR98" s="22">
        <v>0</v>
      </c>
      <c r="AS98" s="22">
        <v>0</v>
      </c>
      <c r="AT98" s="22">
        <v>0</v>
      </c>
      <c r="AU98" s="22">
        <v>1</v>
      </c>
      <c r="AV98" s="22">
        <v>1</v>
      </c>
      <c r="AW98" s="22">
        <v>0</v>
      </c>
      <c r="AX98" s="22">
        <v>0</v>
      </c>
      <c r="AY98" s="22">
        <v>1</v>
      </c>
      <c r="BH98" s="22">
        <f t="shared" si="20"/>
        <v>0.35790490519913032</v>
      </c>
    </row>
    <row r="99" spans="1:60" s="22" customFormat="1" ht="14">
      <c r="A99" s="21" t="s">
        <v>187</v>
      </c>
      <c r="B99" s="22" t="s">
        <v>149</v>
      </c>
      <c r="C99" s="22" t="s">
        <v>150</v>
      </c>
      <c r="D99" s="23" t="s">
        <v>151</v>
      </c>
      <c r="E99" s="22" t="s">
        <v>61</v>
      </c>
      <c r="F99" s="22" t="s">
        <v>152</v>
      </c>
      <c r="G99" s="20" t="s">
        <v>164</v>
      </c>
      <c r="H99" s="26" t="s">
        <v>165</v>
      </c>
      <c r="I99" s="22" t="s">
        <v>32</v>
      </c>
      <c r="J99" s="21" t="s">
        <v>188</v>
      </c>
      <c r="K99" s="21"/>
      <c r="L99" s="21"/>
      <c r="N99" s="22" t="s">
        <v>189</v>
      </c>
      <c r="O99" s="22" t="s">
        <v>158</v>
      </c>
      <c r="P99" s="21">
        <v>10720</v>
      </c>
      <c r="Q99" s="22">
        <v>5</v>
      </c>
      <c r="R99" s="22">
        <v>5</v>
      </c>
      <c r="S99" s="22">
        <v>5</v>
      </c>
      <c r="T99" s="21" t="s">
        <v>159</v>
      </c>
      <c r="U99" s="21">
        <v>1</v>
      </c>
      <c r="V99" s="21">
        <v>1</v>
      </c>
      <c r="W99" s="24">
        <f>(4*3.14*(((Q99^1.6*R99^1.6+Q99^1.6*S99^1.6+R99^1.6+S99^1.6)/3)^(1/1.6)))*(1/V99)</f>
        <v>255.14798814971115</v>
      </c>
      <c r="X99" s="24">
        <f>3.14/6*Q99*R99*S99*U99</f>
        <v>65.416666666666671</v>
      </c>
      <c r="Y99" s="21">
        <v>20</v>
      </c>
      <c r="Z99" s="24">
        <f>Y99*W99</f>
        <v>5102.9597629942227</v>
      </c>
      <c r="AA99" s="24">
        <f>Y99*X99</f>
        <v>1308.3333333333335</v>
      </c>
      <c r="AB99" s="22">
        <v>100</v>
      </c>
      <c r="AC99" s="22">
        <v>5</v>
      </c>
      <c r="AD99" s="22">
        <v>5</v>
      </c>
      <c r="AE99" s="21" t="s">
        <v>160</v>
      </c>
      <c r="AF99" s="21">
        <v>1</v>
      </c>
      <c r="AG99" s="21">
        <v>1</v>
      </c>
      <c r="AH99" s="24">
        <f>3.14*AC99*AB99+2*3.14*(AD99/2)^2/AG99</f>
        <v>1609.25</v>
      </c>
      <c r="AI99" s="25">
        <f>(3.14/4*AC99^2*AB99)*AF99</f>
        <v>1962.5</v>
      </c>
      <c r="AJ99" s="21">
        <v>1570.8</v>
      </c>
      <c r="AK99" s="21">
        <v>100</v>
      </c>
      <c r="AL99" s="22" t="s">
        <v>161</v>
      </c>
      <c r="AM99" s="22">
        <v>0.22</v>
      </c>
      <c r="AN99" s="22" t="s">
        <v>168</v>
      </c>
      <c r="AO99" s="22" t="s">
        <v>168</v>
      </c>
      <c r="AP99" s="22" t="s">
        <v>169</v>
      </c>
      <c r="AQ99" s="22" t="str">
        <f>IF(AND($AK99&lt;20,AJ99&lt;10000),"Nanophytoplankton","Microphytoplankton")</f>
        <v>Microphytoplankton</v>
      </c>
      <c r="AR99" s="22">
        <v>0</v>
      </c>
      <c r="AS99" s="22">
        <v>0</v>
      </c>
      <c r="AT99" s="22">
        <v>0</v>
      </c>
      <c r="AU99" s="22">
        <v>1</v>
      </c>
      <c r="AV99" s="22">
        <v>1</v>
      </c>
      <c r="AW99" s="22">
        <v>0</v>
      </c>
      <c r="AX99" s="22">
        <v>0</v>
      </c>
      <c r="AY99" s="22">
        <v>1</v>
      </c>
      <c r="BH99" s="22">
        <f t="shared" si="20"/>
        <v>0.25638715453355898</v>
      </c>
    </row>
    <row r="101" spans="1:60" s="22" customFormat="1" ht="14">
      <c r="A101" s="21" t="s">
        <v>194</v>
      </c>
      <c r="B101" s="44" t="s">
        <v>149</v>
      </c>
      <c r="C101" s="22" t="s">
        <v>150</v>
      </c>
      <c r="D101" s="23" t="s">
        <v>151</v>
      </c>
      <c r="E101" s="22" t="s">
        <v>61</v>
      </c>
      <c r="F101" s="22" t="s">
        <v>152</v>
      </c>
      <c r="G101" s="20" t="s">
        <v>164</v>
      </c>
      <c r="H101" s="26" t="s">
        <v>165</v>
      </c>
      <c r="I101" s="22" t="s">
        <v>32</v>
      </c>
      <c r="J101" s="21" t="s">
        <v>188</v>
      </c>
      <c r="K101" s="21" t="s">
        <v>175</v>
      </c>
      <c r="L101" s="21" t="s">
        <v>195</v>
      </c>
      <c r="N101" s="22" t="s">
        <v>196</v>
      </c>
      <c r="O101" s="22" t="s">
        <v>158</v>
      </c>
      <c r="P101" s="21">
        <v>10750</v>
      </c>
      <c r="Q101" s="21">
        <v>3.5</v>
      </c>
      <c r="R101" s="21">
        <v>3.5</v>
      </c>
      <c r="S101" s="21">
        <v>3.5</v>
      </c>
      <c r="T101" s="21" t="s">
        <v>159</v>
      </c>
      <c r="U101" s="21">
        <v>1</v>
      </c>
      <c r="V101" s="21">
        <v>1</v>
      </c>
      <c r="W101" s="24">
        <f>(4*3.14*(((Q101^1.6*R101^1.6+Q101^1.6*S101^1.6+R101^1.6+S101^1.6)/3)^(1/1.6)))*(1/V101)</f>
        <v>129.23451491074422</v>
      </c>
      <c r="X101" s="24">
        <f>3.14/6*Q101*R101*S101*U101</f>
        <v>22.437916666666666</v>
      </c>
      <c r="Y101" s="21">
        <v>29</v>
      </c>
      <c r="Z101" s="24">
        <f>Y101*W101</f>
        <v>3747.8009324115824</v>
      </c>
      <c r="AA101" s="24">
        <f>Y101*X101</f>
        <v>650.69958333333329</v>
      </c>
      <c r="AB101" s="21">
        <v>100</v>
      </c>
      <c r="AC101" s="21">
        <v>3.5</v>
      </c>
      <c r="AD101" s="21">
        <v>3.5</v>
      </c>
      <c r="AE101" s="21" t="s">
        <v>160</v>
      </c>
      <c r="AF101" s="21">
        <v>1</v>
      </c>
      <c r="AG101" s="21">
        <v>1</v>
      </c>
      <c r="AH101" s="24">
        <f>3.14*AC101*AB101+2*3.14*(AD101/2)^2/AG101</f>
        <v>1118.2325000000001</v>
      </c>
      <c r="AI101" s="25">
        <f>(3.14/4*AC101^2*AB101)*AF101</f>
        <v>961.62500000000011</v>
      </c>
      <c r="AJ101" s="21">
        <v>769.7</v>
      </c>
      <c r="AK101" s="21">
        <v>100</v>
      </c>
      <c r="AL101" s="22" t="s">
        <v>161</v>
      </c>
      <c r="AM101" s="22">
        <v>0.22</v>
      </c>
      <c r="AN101" s="22" t="s">
        <v>168</v>
      </c>
      <c r="AO101" s="22" t="s">
        <v>168</v>
      </c>
      <c r="AP101" s="22" t="s">
        <v>169</v>
      </c>
      <c r="AQ101" s="22" t="str">
        <f>IF(AND($AK101&lt;20,AJ101&lt;10000),"Nanophytoplankton","Microphytoplankton")</f>
        <v>Microphytoplankton</v>
      </c>
      <c r="AR101" s="22">
        <v>0</v>
      </c>
      <c r="AS101" s="22">
        <v>0</v>
      </c>
      <c r="AT101" s="22">
        <v>0</v>
      </c>
      <c r="AU101" s="22">
        <v>1</v>
      </c>
      <c r="AV101" s="22">
        <v>1</v>
      </c>
      <c r="AW101" s="22">
        <v>0</v>
      </c>
      <c r="AX101" s="22">
        <v>0</v>
      </c>
      <c r="AY101" s="22">
        <v>1</v>
      </c>
      <c r="BH101" s="22">
        <f t="shared" si="20"/>
        <v>0.17362170378527289</v>
      </c>
    </row>
    <row r="102" spans="1:60" s="22" customFormat="1" ht="14">
      <c r="A102" s="22" t="s">
        <v>190</v>
      </c>
      <c r="B102" s="22" t="s">
        <v>149</v>
      </c>
      <c r="C102" s="22" t="s">
        <v>150</v>
      </c>
      <c r="D102" s="23" t="s">
        <v>151</v>
      </c>
      <c r="E102" s="22" t="s">
        <v>61</v>
      </c>
      <c r="F102" s="22" t="s">
        <v>152</v>
      </c>
      <c r="G102" s="20" t="s">
        <v>164</v>
      </c>
      <c r="H102" s="26" t="s">
        <v>165</v>
      </c>
      <c r="I102" s="22" t="s">
        <v>32</v>
      </c>
      <c r="J102" s="21" t="s">
        <v>188</v>
      </c>
      <c r="K102" s="22" t="s">
        <v>184</v>
      </c>
      <c r="L102" s="22" t="s">
        <v>191</v>
      </c>
      <c r="N102" s="22" t="s">
        <v>192</v>
      </c>
      <c r="O102" s="22" t="s">
        <v>158</v>
      </c>
      <c r="P102" s="22">
        <v>10733</v>
      </c>
      <c r="Q102" s="22">
        <v>3.5</v>
      </c>
      <c r="R102" s="22">
        <v>3.5</v>
      </c>
      <c r="S102" s="22">
        <v>3.5</v>
      </c>
      <c r="T102" s="21" t="s">
        <v>159</v>
      </c>
      <c r="U102" s="21">
        <v>1</v>
      </c>
      <c r="V102" s="21">
        <v>1</v>
      </c>
      <c r="W102" s="24">
        <f>(4*3.14*(((Q102^1.6*R102^1.6+Q102^1.6*S102^1.6+R102^1.6+S102^1.6)/3)^(1/1.6)))*(1/V102)</f>
        <v>129.23451491074422</v>
      </c>
      <c r="X102" s="24">
        <f>3.14/6*Q102*R102*S102*U102</f>
        <v>22.437916666666666</v>
      </c>
      <c r="Y102" s="21">
        <v>29</v>
      </c>
      <c r="Z102" s="24">
        <f>Y102*W102</f>
        <v>3747.8009324115824</v>
      </c>
      <c r="AA102" s="24">
        <f>Y102*X102</f>
        <v>650.69958333333329</v>
      </c>
      <c r="AB102" s="22">
        <v>100</v>
      </c>
      <c r="AC102" s="22">
        <v>3.5</v>
      </c>
      <c r="AD102" s="22">
        <v>3.5</v>
      </c>
      <c r="AE102" s="21" t="s">
        <v>160</v>
      </c>
      <c r="AF102" s="21">
        <v>1</v>
      </c>
      <c r="AG102" s="21">
        <v>1</v>
      </c>
      <c r="AH102" s="24">
        <f>3.14*AC102*AB102+2*3.14*(AD102/2)^2/AG102</f>
        <v>1118.2325000000001</v>
      </c>
      <c r="AI102" s="25">
        <f>(3.14/4*AC102^2*AB102)*AF102</f>
        <v>961.62500000000011</v>
      </c>
      <c r="AJ102" s="21">
        <v>961.62500000000011</v>
      </c>
      <c r="AK102" s="21">
        <v>100</v>
      </c>
      <c r="AL102" s="22" t="s">
        <v>161</v>
      </c>
      <c r="AM102" s="22">
        <v>0.22</v>
      </c>
      <c r="AN102" s="22" t="s">
        <v>193</v>
      </c>
      <c r="AO102" s="22" t="s">
        <v>193</v>
      </c>
      <c r="AP102" s="22" t="s">
        <v>169</v>
      </c>
      <c r="AQ102" s="22" t="str">
        <f>IF(AND($AK102&lt;20,AJ102&lt;10000),"Nanophytoplankton","Microphytoplankton")</f>
        <v>Microphytoplankton</v>
      </c>
      <c r="AR102" s="22">
        <v>0</v>
      </c>
      <c r="AS102" s="22">
        <v>0</v>
      </c>
      <c r="AT102" s="22">
        <v>0</v>
      </c>
      <c r="AU102" s="22">
        <v>1</v>
      </c>
      <c r="AV102" s="22">
        <v>1</v>
      </c>
      <c r="AW102" s="22">
        <v>0</v>
      </c>
      <c r="AX102" s="22">
        <v>0</v>
      </c>
      <c r="AY102" s="22">
        <v>1</v>
      </c>
      <c r="BH102" s="22">
        <f>X102/W102</f>
        <v>0.17362170378527289</v>
      </c>
    </row>
    <row r="103" spans="1:60" s="22" customFormat="1" ht="14">
      <c r="A103" s="21" t="s">
        <v>197</v>
      </c>
      <c r="B103" s="22" t="s">
        <v>149</v>
      </c>
      <c r="C103" s="22" t="s">
        <v>150</v>
      </c>
      <c r="D103" s="23" t="s">
        <v>151</v>
      </c>
      <c r="E103" s="22" t="s">
        <v>61</v>
      </c>
      <c r="F103" s="22" t="s">
        <v>152</v>
      </c>
      <c r="G103" s="20" t="s">
        <v>164</v>
      </c>
      <c r="H103" s="26" t="s">
        <v>165</v>
      </c>
      <c r="I103" s="22" t="s">
        <v>32</v>
      </c>
      <c r="J103" s="21" t="s">
        <v>198</v>
      </c>
      <c r="K103" s="21"/>
      <c r="L103" s="21"/>
      <c r="N103" s="22" t="s">
        <v>199</v>
      </c>
      <c r="O103" s="22" t="s">
        <v>158</v>
      </c>
      <c r="P103" s="21">
        <v>10740</v>
      </c>
      <c r="Q103" s="21">
        <v>9</v>
      </c>
      <c r="R103" s="21">
        <v>9</v>
      </c>
      <c r="S103" s="21">
        <v>9</v>
      </c>
      <c r="T103" s="21" t="s">
        <v>159</v>
      </c>
      <c r="U103" s="21">
        <v>1</v>
      </c>
      <c r="V103" s="21">
        <v>1</v>
      </c>
      <c r="W103" s="24">
        <f>(4*3.14*(((Q103^1.6*R103^1.6+Q103^1.6*S103^1.6+R103^1.6+S103^1.6)/3)^(1/1.6)))*(1/V103)</f>
        <v>804.21104428016463</v>
      </c>
      <c r="X103" s="24">
        <f>3.14/6*Q103*R103*S103*U103</f>
        <v>381.51</v>
      </c>
      <c r="Y103" s="21">
        <v>11</v>
      </c>
      <c r="Z103" s="24">
        <f>Y103*W103</f>
        <v>8846.3214870818101</v>
      </c>
      <c r="AA103" s="24">
        <f>Y103*X103</f>
        <v>4196.6099999999997</v>
      </c>
      <c r="AB103" s="21">
        <v>100</v>
      </c>
      <c r="AC103" s="21">
        <v>9</v>
      </c>
      <c r="AD103" s="21">
        <v>9</v>
      </c>
      <c r="AE103" s="21" t="s">
        <v>160</v>
      </c>
      <c r="AF103" s="21">
        <v>1</v>
      </c>
      <c r="AG103" s="21">
        <v>1</v>
      </c>
      <c r="AH103" s="24">
        <f>3.14*AC103*AB103+2*3.14*(AD103/2)^2/AG103</f>
        <v>2953.17</v>
      </c>
      <c r="AI103" s="25">
        <f>(3.14/4*AC103^2*AB103)*AF103</f>
        <v>6358.5</v>
      </c>
      <c r="AJ103" s="21">
        <v>6358.5</v>
      </c>
      <c r="AK103" s="21">
        <v>100</v>
      </c>
      <c r="AL103" s="22" t="s">
        <v>161</v>
      </c>
      <c r="AM103" s="22">
        <v>0.22</v>
      </c>
      <c r="AO103" s="22" t="s">
        <v>168</v>
      </c>
      <c r="AP103" s="22" t="s">
        <v>169</v>
      </c>
      <c r="AQ103" s="22" t="str">
        <f>IF(AND($AK103&lt;20,AJ103&lt;10000),"Nanophytoplankton","Microphytoplankton")</f>
        <v>Microphytoplankton</v>
      </c>
      <c r="AR103" s="22">
        <v>0</v>
      </c>
      <c r="AS103" s="22">
        <v>0</v>
      </c>
      <c r="AT103" s="22">
        <v>0</v>
      </c>
      <c r="AU103" s="22">
        <v>1</v>
      </c>
      <c r="AV103" s="22">
        <v>1</v>
      </c>
      <c r="AW103" s="22">
        <v>0</v>
      </c>
      <c r="AX103" s="22">
        <v>0</v>
      </c>
      <c r="AY103" s="22">
        <v>1</v>
      </c>
      <c r="BH103" s="22">
        <f t="shared" si="20"/>
        <v>0.4743904012677207</v>
      </c>
    </row>
    <row r="104" spans="1:60">
      <c r="BH104" s="22"/>
    </row>
    <row r="105" spans="1:60">
      <c r="BH105" s="22"/>
    </row>
    <row r="106" spans="1:60" s="22" customFormat="1" ht="13">
      <c r="A106" s="22" t="s">
        <v>2252</v>
      </c>
      <c r="B106" s="22" t="s">
        <v>663</v>
      </c>
      <c r="C106" s="22" t="s">
        <v>2223</v>
      </c>
      <c r="D106" s="22" t="s">
        <v>2224</v>
      </c>
      <c r="E106" s="23" t="s">
        <v>63</v>
      </c>
      <c r="F106" s="23" t="s">
        <v>2225</v>
      </c>
      <c r="G106" s="23" t="s">
        <v>2226</v>
      </c>
      <c r="H106" s="22" t="s">
        <v>2253</v>
      </c>
      <c r="I106" s="22" t="s">
        <v>2254</v>
      </c>
      <c r="J106" s="22" t="s">
        <v>2255</v>
      </c>
      <c r="N106" s="22" t="s">
        <v>2256</v>
      </c>
      <c r="O106" s="22" t="s">
        <v>2229</v>
      </c>
      <c r="P106" s="21">
        <v>81631</v>
      </c>
      <c r="Q106" s="22">
        <v>43.5</v>
      </c>
      <c r="R106" s="22">
        <v>3</v>
      </c>
      <c r="S106" s="22">
        <v>3</v>
      </c>
      <c r="T106" s="22" t="s">
        <v>281</v>
      </c>
      <c r="U106" s="21">
        <v>1</v>
      </c>
      <c r="V106" s="22">
        <v>1</v>
      </c>
      <c r="W106" s="24">
        <f>(4*3.14*(((Q106^1.6*R106^1.6+Q106^1.6*S106^1.6+R106^1.6+S106^1.6)/3)^(1/1.6)))*(1/V106)</f>
        <v>1274.0635653884312</v>
      </c>
      <c r="X106" s="24">
        <f>3.14/6*Q106*R106*S106*U106</f>
        <v>204.88499999999999</v>
      </c>
      <c r="Y106" s="22">
        <v>20</v>
      </c>
      <c r="Z106" s="24">
        <f t="shared" ref="Z106:Z122" si="27">Y106*W106</f>
        <v>25481.271307768624</v>
      </c>
      <c r="AA106" s="24">
        <f t="shared" ref="AA106:AA122" si="28">Y106*X106</f>
        <v>4097.7</v>
      </c>
      <c r="AB106" s="22">
        <v>55</v>
      </c>
      <c r="AC106" s="22">
        <v>55</v>
      </c>
      <c r="AD106" s="22">
        <v>55</v>
      </c>
      <c r="AE106" s="22" t="s">
        <v>159</v>
      </c>
      <c r="AF106" s="21">
        <v>0.1</v>
      </c>
      <c r="AG106" s="22">
        <v>10</v>
      </c>
      <c r="AH106" s="24">
        <f>(4*3.14*(((AB106^1.6*AC106^1.6+AB106^1.6*AD106^1.6+AC106^1.6+AD106^1.6)/3)^(1/1.6)))*(1/AG106)</f>
        <v>2951.9116727680575</v>
      </c>
      <c r="AI106" s="24">
        <f>3.14/6*AB106*AC106*AD106*AF106</f>
        <v>8706.9583333333339</v>
      </c>
      <c r="AJ106" s="21">
        <v>4097.7</v>
      </c>
      <c r="AK106" s="21">
        <v>43.5</v>
      </c>
      <c r="AL106" s="22" t="s">
        <v>161</v>
      </c>
      <c r="AM106" s="22">
        <v>0.16</v>
      </c>
      <c r="AO106" s="22" t="s">
        <v>2257</v>
      </c>
      <c r="AP106" s="22" t="s">
        <v>162</v>
      </c>
      <c r="AQ106" s="22" t="str">
        <f t="shared" ref="AQ106:AQ122" si="29">IF(AND($AK106&lt;20,AJ106&lt;10000),"Nanophytoplankton","Microphytoplankton")</f>
        <v>Microphytoplankton</v>
      </c>
      <c r="AR106" s="22">
        <v>0</v>
      </c>
      <c r="AS106" s="22">
        <v>0</v>
      </c>
      <c r="AT106" s="22">
        <v>0</v>
      </c>
      <c r="AU106" s="22">
        <v>1</v>
      </c>
      <c r="AV106" s="22">
        <v>0</v>
      </c>
      <c r="AW106" s="22">
        <v>0</v>
      </c>
      <c r="AX106" s="22">
        <v>0</v>
      </c>
      <c r="AY106" s="22">
        <v>1</v>
      </c>
      <c r="BH106" s="22">
        <f t="shared" si="20"/>
        <v>0.16081222755752811</v>
      </c>
    </row>
    <row r="107" spans="1:60" s="22" customFormat="1" ht="14">
      <c r="A107" s="22" t="s">
        <v>221</v>
      </c>
      <c r="B107" s="22" t="s">
        <v>149</v>
      </c>
      <c r="C107" s="22" t="s">
        <v>150</v>
      </c>
      <c r="D107" s="23" t="s">
        <v>151</v>
      </c>
      <c r="E107" s="22" t="s">
        <v>61</v>
      </c>
      <c r="F107" s="22" t="s">
        <v>152</v>
      </c>
      <c r="G107" s="20" t="s">
        <v>164</v>
      </c>
      <c r="H107" s="26" t="s">
        <v>165</v>
      </c>
      <c r="I107" s="22" t="s">
        <v>33</v>
      </c>
      <c r="J107" s="22" t="s">
        <v>219</v>
      </c>
      <c r="K107" s="22" t="s">
        <v>175</v>
      </c>
      <c r="L107" s="22" t="s">
        <v>222</v>
      </c>
      <c r="N107" s="22" t="s">
        <v>167</v>
      </c>
      <c r="O107" s="22" t="s">
        <v>158</v>
      </c>
      <c r="P107" s="21">
        <v>10811</v>
      </c>
      <c r="Q107" s="22">
        <v>5</v>
      </c>
      <c r="R107" s="22">
        <v>3.5</v>
      </c>
      <c r="S107" s="22">
        <v>3.5</v>
      </c>
      <c r="T107" s="21" t="s">
        <v>159</v>
      </c>
      <c r="U107" s="21">
        <v>1</v>
      </c>
      <c r="V107" s="21">
        <v>1</v>
      </c>
      <c r="W107" s="24">
        <f>(4*3.14*(((Q107^1.6*R107^1.6+Q107^1.6*S107^1.6+R107^1.6+S107^1.6)/3)^(1/1.6)))*(1/V107)</f>
        <v>178.60359170479779</v>
      </c>
      <c r="X107" s="24">
        <f>3.14/6*Q107*R107*S107*U107</f>
        <v>32.054166666666667</v>
      </c>
      <c r="Y107" s="21">
        <f>AB107/5</f>
        <v>20</v>
      </c>
      <c r="Z107" s="24">
        <f t="shared" si="27"/>
        <v>3572.0718340959556</v>
      </c>
      <c r="AA107" s="24">
        <f t="shared" si="28"/>
        <v>641.08333333333337</v>
      </c>
      <c r="AB107" s="22">
        <v>100</v>
      </c>
      <c r="AC107" s="22">
        <v>3.5</v>
      </c>
      <c r="AD107" s="22">
        <v>3.5</v>
      </c>
      <c r="AE107" s="21" t="s">
        <v>160</v>
      </c>
      <c r="AF107" s="21">
        <v>1</v>
      </c>
      <c r="AG107" s="21">
        <v>1</v>
      </c>
      <c r="AH107" s="24">
        <f>3.14*AC107*AB107+2*3.14*(AD107/2)^2/AG107</f>
        <v>1118.2325000000001</v>
      </c>
      <c r="AI107" s="25">
        <f>(3.14/4*AC107^2*AB107)*AF107</f>
        <v>961.62500000000011</v>
      </c>
      <c r="AJ107" s="21">
        <v>961.62500000000011</v>
      </c>
      <c r="AK107" s="21">
        <v>100</v>
      </c>
      <c r="AL107" s="22" t="s">
        <v>161</v>
      </c>
      <c r="AM107" s="22">
        <v>0.22</v>
      </c>
      <c r="AN107" s="22" t="s">
        <v>168</v>
      </c>
      <c r="AO107" s="22" t="s">
        <v>168</v>
      </c>
      <c r="AP107" s="22" t="s">
        <v>169</v>
      </c>
      <c r="AQ107" s="22" t="str">
        <f t="shared" si="29"/>
        <v>Microphytoplankton</v>
      </c>
      <c r="AR107" s="22">
        <v>0</v>
      </c>
      <c r="AS107" s="22">
        <v>0</v>
      </c>
      <c r="AT107" s="22">
        <v>0</v>
      </c>
      <c r="AU107" s="22">
        <v>1</v>
      </c>
      <c r="AV107" s="22">
        <v>1</v>
      </c>
      <c r="AW107" s="22">
        <v>0</v>
      </c>
      <c r="AX107" s="22">
        <v>0</v>
      </c>
      <c r="AY107" s="22">
        <v>1</v>
      </c>
      <c r="BH107" s="22">
        <f t="shared" si="20"/>
        <v>0.17947100817349129</v>
      </c>
    </row>
    <row r="108" spans="1:60" s="22" customFormat="1" ht="14">
      <c r="A108" s="22" t="s">
        <v>223</v>
      </c>
      <c r="B108" s="22" t="s">
        <v>149</v>
      </c>
      <c r="C108" s="22" t="s">
        <v>150</v>
      </c>
      <c r="D108" s="23" t="s">
        <v>151</v>
      </c>
      <c r="E108" s="22" t="s">
        <v>61</v>
      </c>
      <c r="F108" s="22" t="s">
        <v>152</v>
      </c>
      <c r="G108" s="20" t="s">
        <v>164</v>
      </c>
      <c r="H108" s="26" t="s">
        <v>165</v>
      </c>
      <c r="I108" s="22" t="s">
        <v>33</v>
      </c>
      <c r="J108" s="22" t="s">
        <v>224</v>
      </c>
      <c r="N108" s="22" t="s">
        <v>225</v>
      </c>
      <c r="O108" s="22" t="s">
        <v>158</v>
      </c>
      <c r="P108" s="21">
        <v>10812</v>
      </c>
      <c r="Q108" s="22">
        <v>10</v>
      </c>
      <c r="R108" s="22">
        <v>3.5</v>
      </c>
      <c r="S108" s="22">
        <v>3.5</v>
      </c>
      <c r="T108" s="21" t="s">
        <v>159</v>
      </c>
      <c r="U108" s="21">
        <v>1</v>
      </c>
      <c r="V108" s="21">
        <v>1</v>
      </c>
      <c r="W108" s="24">
        <f>(4*3.14*(((Q108^1.6*R108^1.6+Q108^1.6*S108^1.6+R108^1.6+S108^1.6)/3)^(1/1.6)))*(1/V108)</f>
        <v>346.52497254489134</v>
      </c>
      <c r="X108" s="24">
        <f>3.14/6*Q108*R108*S108*U108</f>
        <v>64.108333333333334</v>
      </c>
      <c r="Y108" s="22">
        <f>AB108/10</f>
        <v>10</v>
      </c>
      <c r="Z108" s="24">
        <f t="shared" si="27"/>
        <v>3465.2497254489135</v>
      </c>
      <c r="AA108" s="24">
        <f t="shared" si="28"/>
        <v>641.08333333333337</v>
      </c>
      <c r="AB108" s="22">
        <v>100</v>
      </c>
      <c r="AC108" s="22">
        <v>10</v>
      </c>
      <c r="AD108" s="22">
        <v>3.5</v>
      </c>
      <c r="AE108" s="21" t="s">
        <v>160</v>
      </c>
      <c r="AF108" s="21">
        <v>1</v>
      </c>
      <c r="AG108" s="22">
        <v>1</v>
      </c>
      <c r="AH108" s="24">
        <f>3.14*AC108*AB108+2*3.14*(AD108/2)^2/AG108</f>
        <v>3159.2325000000001</v>
      </c>
      <c r="AI108" s="25">
        <f>(3.14/4*AC108^2*AB108)*AF108</f>
        <v>7850</v>
      </c>
      <c r="AJ108" s="21">
        <v>7850</v>
      </c>
      <c r="AK108" s="21">
        <v>100</v>
      </c>
      <c r="AL108" s="22" t="s">
        <v>161</v>
      </c>
      <c r="AM108" s="22">
        <v>0.22</v>
      </c>
      <c r="AN108" s="22" t="s">
        <v>168</v>
      </c>
      <c r="AO108" s="22" t="s">
        <v>168</v>
      </c>
      <c r="AP108" s="22" t="s">
        <v>169</v>
      </c>
      <c r="AQ108" s="22" t="str">
        <f t="shared" si="29"/>
        <v>Microphytoplankton</v>
      </c>
      <c r="AR108" s="22">
        <v>0</v>
      </c>
      <c r="AS108" s="22">
        <v>0</v>
      </c>
      <c r="AT108" s="22">
        <v>0</v>
      </c>
      <c r="AU108" s="22">
        <v>1</v>
      </c>
      <c r="AV108" s="22">
        <v>1</v>
      </c>
      <c r="AW108" s="22">
        <v>0</v>
      </c>
      <c r="AX108" s="22">
        <v>0</v>
      </c>
      <c r="AY108" s="22">
        <v>1</v>
      </c>
      <c r="BH108" s="22">
        <f t="shared" si="20"/>
        <v>0.18500350165969143</v>
      </c>
    </row>
    <row r="109" spans="1:60" s="22" customFormat="1" ht="13">
      <c r="A109" s="21" t="s">
        <v>259</v>
      </c>
      <c r="B109" s="22" t="s">
        <v>149</v>
      </c>
      <c r="C109" s="22" t="s">
        <v>150</v>
      </c>
      <c r="D109" s="23" t="s">
        <v>151</v>
      </c>
      <c r="E109" s="22" t="s">
        <v>61</v>
      </c>
      <c r="F109" s="22" t="s">
        <v>152</v>
      </c>
      <c r="G109" s="22" t="s">
        <v>60</v>
      </c>
      <c r="H109" s="22" t="s">
        <v>226</v>
      </c>
      <c r="I109" s="22" t="s">
        <v>34</v>
      </c>
      <c r="J109" s="22" t="s">
        <v>260</v>
      </c>
      <c r="N109" s="22" t="s">
        <v>261</v>
      </c>
      <c r="O109" s="22" t="s">
        <v>158</v>
      </c>
      <c r="P109" s="21">
        <v>10675</v>
      </c>
      <c r="Q109" s="22">
        <v>1.5</v>
      </c>
      <c r="R109" s="22">
        <v>1.5</v>
      </c>
      <c r="S109" s="22">
        <v>1.5</v>
      </c>
      <c r="T109" s="21" t="s">
        <v>159</v>
      </c>
      <c r="U109" s="21">
        <v>1</v>
      </c>
      <c r="V109" s="21">
        <v>1</v>
      </c>
      <c r="W109" s="24">
        <f>(4*3.14*(((Q109^1.6*R109^1.6+Q109^1.6*S109^1.6+R109^1.6+S109^1.6)/3)^(1/1.6)))*(1/V109)</f>
        <v>28.52656020435148</v>
      </c>
      <c r="X109" s="24">
        <f>3.14/6*Q109*R109*S109*U109</f>
        <v>1.7662499999999997</v>
      </c>
      <c r="Y109" s="21">
        <v>370</v>
      </c>
      <c r="Z109" s="24">
        <f t="shared" si="27"/>
        <v>10554.827275610047</v>
      </c>
      <c r="AA109" s="24">
        <f t="shared" si="28"/>
        <v>653.51249999999982</v>
      </c>
      <c r="AB109" s="22">
        <v>50</v>
      </c>
      <c r="AC109" s="21">
        <v>50</v>
      </c>
      <c r="AD109" s="21">
        <v>50</v>
      </c>
      <c r="AE109" s="21" t="s">
        <v>159</v>
      </c>
      <c r="AF109" s="21">
        <v>0.01</v>
      </c>
      <c r="AG109" s="22">
        <v>1</v>
      </c>
      <c r="AH109" s="24">
        <f>(4*3.14*(((AB109^1.6*AC109^1.6+AB109^1.6*AD109^1.6+AC109^1.6+AD109^1.6)/3)^(1/1.6)))*(1/AG109)</f>
        <v>24400.082151651244</v>
      </c>
      <c r="AI109" s="24">
        <f>3.14/6*AB109*AC109*AD109*AF109</f>
        <v>654.16666666666663</v>
      </c>
      <c r="AJ109" s="21">
        <v>654.5</v>
      </c>
      <c r="AK109" s="21">
        <v>50</v>
      </c>
      <c r="AL109" s="22" t="s">
        <v>161</v>
      </c>
      <c r="AM109" s="22">
        <v>0.22</v>
      </c>
      <c r="AN109" s="22" t="s">
        <v>229</v>
      </c>
      <c r="AO109" s="22" t="s">
        <v>229</v>
      </c>
      <c r="AP109" s="22" t="s">
        <v>230</v>
      </c>
      <c r="AQ109" s="22" t="str">
        <f t="shared" si="29"/>
        <v>Microphytoplankton</v>
      </c>
      <c r="AR109" s="22">
        <v>0</v>
      </c>
      <c r="AS109" s="22">
        <v>0</v>
      </c>
      <c r="AT109" s="22">
        <v>0</v>
      </c>
      <c r="AU109" s="22">
        <v>1</v>
      </c>
      <c r="AV109" s="22">
        <v>0</v>
      </c>
      <c r="AW109" s="22">
        <v>0</v>
      </c>
      <c r="AX109" s="22">
        <v>0</v>
      </c>
      <c r="AY109" s="22">
        <v>1</v>
      </c>
      <c r="BH109" s="22">
        <f t="shared" si="20"/>
        <v>6.1915982415944197E-2</v>
      </c>
    </row>
    <row r="110" spans="1:60" s="22" customFormat="1" ht="13">
      <c r="A110" s="21" t="s">
        <v>262</v>
      </c>
      <c r="B110" s="22" t="s">
        <v>149</v>
      </c>
      <c r="C110" s="22" t="s">
        <v>150</v>
      </c>
      <c r="D110" s="23" t="s">
        <v>151</v>
      </c>
      <c r="E110" s="22" t="s">
        <v>61</v>
      </c>
      <c r="F110" s="22" t="s">
        <v>152</v>
      </c>
      <c r="G110" s="22" t="s">
        <v>60</v>
      </c>
      <c r="H110" s="22" t="s">
        <v>226</v>
      </c>
      <c r="I110" s="22" t="s">
        <v>34</v>
      </c>
      <c r="J110" s="22" t="s">
        <v>260</v>
      </c>
      <c r="K110" s="22" t="s">
        <v>184</v>
      </c>
      <c r="L110" s="22" t="s">
        <v>263</v>
      </c>
      <c r="N110" s="22" t="s">
        <v>264</v>
      </c>
      <c r="O110" s="22" t="s">
        <v>158</v>
      </c>
      <c r="P110" s="21">
        <v>10677</v>
      </c>
      <c r="Q110" s="22">
        <v>1.5</v>
      </c>
      <c r="R110" s="22">
        <v>1.5</v>
      </c>
      <c r="S110" s="22">
        <v>1.5</v>
      </c>
      <c r="T110" s="21" t="s">
        <v>159</v>
      </c>
      <c r="U110" s="21">
        <v>1</v>
      </c>
      <c r="V110" s="21">
        <v>1</v>
      </c>
      <c r="W110" s="24">
        <f>(4*3.14*(((Q110^1.6*R110^1.6+Q110^1.6*S110^1.6+R110^1.6+S110^1.6)/3)^(1/1.6)))*(1/V110)</f>
        <v>28.52656020435148</v>
      </c>
      <c r="X110" s="24">
        <f>3.14/6*Q110*R110*S110*U110</f>
        <v>1.7662499999999997</v>
      </c>
      <c r="Y110" s="21">
        <v>6</v>
      </c>
      <c r="Z110" s="24">
        <f t="shared" si="27"/>
        <v>171.15936122610887</v>
      </c>
      <c r="AA110" s="24">
        <f t="shared" si="28"/>
        <v>10.597499999999998</v>
      </c>
      <c r="AB110" s="21">
        <v>10</v>
      </c>
      <c r="AC110" s="21">
        <v>10</v>
      </c>
      <c r="AD110" s="21">
        <v>10</v>
      </c>
      <c r="AE110" s="21" t="s">
        <v>159</v>
      </c>
      <c r="AF110" s="21">
        <v>0.02</v>
      </c>
      <c r="AG110" s="22">
        <v>1</v>
      </c>
      <c r="AH110" s="24">
        <f>(4*3.14*(((AB110^1.6*AC110^1.6+AB110^1.6*AD110^1.6+AC110^1.6+AD110^1.6)/3)^(1/1.6)))*(1/AG110)</f>
        <v>990.0713501282612</v>
      </c>
      <c r="AI110" s="24">
        <f>3.14/6*AB110*AC110*AD110*AF110</f>
        <v>10.466666666666667</v>
      </c>
      <c r="AJ110" s="21">
        <v>10.466666666666667</v>
      </c>
      <c r="AK110" s="21">
        <v>10</v>
      </c>
      <c r="AL110" s="22" t="s">
        <v>265</v>
      </c>
      <c r="AM110" s="22">
        <v>0.22</v>
      </c>
      <c r="AN110" s="22" t="s">
        <v>229</v>
      </c>
      <c r="AO110" s="22" t="s">
        <v>229</v>
      </c>
      <c r="AP110" s="22" t="s">
        <v>230</v>
      </c>
      <c r="AQ110" s="22" t="str">
        <f t="shared" si="29"/>
        <v>Nanophytoplankton</v>
      </c>
      <c r="AR110" s="22">
        <v>0</v>
      </c>
      <c r="AS110" s="22">
        <v>0</v>
      </c>
      <c r="AT110" s="22">
        <v>0</v>
      </c>
      <c r="AU110" s="22">
        <v>1</v>
      </c>
      <c r="AV110" s="22">
        <v>0</v>
      </c>
      <c r="AW110" s="22">
        <v>0</v>
      </c>
      <c r="AX110" s="22">
        <v>0</v>
      </c>
      <c r="AY110" s="22">
        <v>1</v>
      </c>
      <c r="BH110" s="22">
        <f t="shared" si="20"/>
        <v>6.1915982415944197E-2</v>
      </c>
    </row>
    <row r="111" spans="1:60" s="22" customFormat="1" ht="13">
      <c r="A111" s="22" t="s">
        <v>266</v>
      </c>
      <c r="B111" s="22" t="s">
        <v>149</v>
      </c>
      <c r="C111" s="22" t="s">
        <v>150</v>
      </c>
      <c r="D111" s="23" t="s">
        <v>151</v>
      </c>
      <c r="E111" s="22" t="s">
        <v>61</v>
      </c>
      <c r="F111" s="22" t="s">
        <v>152</v>
      </c>
      <c r="G111" s="22" t="s">
        <v>60</v>
      </c>
      <c r="H111" s="22" t="s">
        <v>226</v>
      </c>
      <c r="I111" s="22" t="s">
        <v>34</v>
      </c>
      <c r="J111" s="22" t="s">
        <v>260</v>
      </c>
      <c r="K111" s="22" t="s">
        <v>184</v>
      </c>
      <c r="L111" s="22" t="s">
        <v>245</v>
      </c>
      <c r="N111" s="22" t="s">
        <v>264</v>
      </c>
      <c r="O111" s="22" t="s">
        <v>158</v>
      </c>
      <c r="P111" s="21">
        <v>10676</v>
      </c>
      <c r="Q111" s="22">
        <v>1.5</v>
      </c>
      <c r="R111" s="22">
        <v>1.5</v>
      </c>
      <c r="S111" s="22">
        <v>1.5</v>
      </c>
      <c r="T111" s="21" t="s">
        <v>246</v>
      </c>
      <c r="U111" s="21">
        <v>1</v>
      </c>
      <c r="V111" s="21">
        <v>1</v>
      </c>
      <c r="W111" s="25">
        <f>4*3.14*(R111/2)*(Q111/2)/V111</f>
        <v>7.0649999999999995</v>
      </c>
      <c r="X111" s="25">
        <f>(3.14/6*(Q111*S111*R111))*U111</f>
        <v>1.7662499999999999</v>
      </c>
      <c r="Y111" s="22">
        <v>1</v>
      </c>
      <c r="Z111" s="24">
        <f t="shared" si="27"/>
        <v>7.0649999999999995</v>
      </c>
      <c r="AA111" s="24">
        <f t="shared" si="28"/>
        <v>1.7662499999999999</v>
      </c>
      <c r="AF111" s="21" t="s">
        <v>247</v>
      </c>
      <c r="AH111" s="25"/>
      <c r="AI111" s="25"/>
      <c r="AJ111" s="21">
        <v>1.7662499999999999</v>
      </c>
      <c r="AK111" s="21">
        <v>1.5</v>
      </c>
      <c r="AL111" s="22" t="s">
        <v>161</v>
      </c>
      <c r="AM111" s="22">
        <v>0.22</v>
      </c>
      <c r="AN111" s="22" t="s">
        <v>229</v>
      </c>
      <c r="AO111" s="22" t="s">
        <v>229</v>
      </c>
      <c r="AP111" s="22" t="s">
        <v>230</v>
      </c>
      <c r="AQ111" s="22" t="str">
        <f t="shared" si="29"/>
        <v>Nanophytoplankton</v>
      </c>
      <c r="AR111" s="22">
        <v>0</v>
      </c>
      <c r="AS111" s="22">
        <v>0</v>
      </c>
      <c r="AT111" s="22">
        <v>0</v>
      </c>
      <c r="AU111" s="22">
        <v>1</v>
      </c>
      <c r="AV111" s="22">
        <v>0</v>
      </c>
      <c r="AW111" s="22">
        <v>0</v>
      </c>
      <c r="AX111" s="22">
        <v>0</v>
      </c>
      <c r="AY111" s="22">
        <v>1</v>
      </c>
      <c r="BH111" s="22">
        <f t="shared" si="20"/>
        <v>0.25</v>
      </c>
    </row>
    <row r="112" spans="1:60" s="22" customFormat="1" ht="13">
      <c r="A112" s="21" t="s">
        <v>267</v>
      </c>
      <c r="B112" s="22" t="s">
        <v>149</v>
      </c>
      <c r="C112" s="22" t="s">
        <v>150</v>
      </c>
      <c r="D112" s="23" t="s">
        <v>151</v>
      </c>
      <c r="E112" s="22" t="s">
        <v>61</v>
      </c>
      <c r="F112" s="22" t="s">
        <v>152</v>
      </c>
      <c r="G112" s="22" t="s">
        <v>60</v>
      </c>
      <c r="H112" s="22" t="s">
        <v>226</v>
      </c>
      <c r="I112" s="22" t="s">
        <v>34</v>
      </c>
      <c r="J112" s="22" t="s">
        <v>268</v>
      </c>
      <c r="N112" s="22" t="s">
        <v>261</v>
      </c>
      <c r="O112" s="22" t="s">
        <v>158</v>
      </c>
      <c r="P112" s="21">
        <v>10260</v>
      </c>
      <c r="Q112" s="22">
        <v>1</v>
      </c>
      <c r="R112" s="22">
        <v>1</v>
      </c>
      <c r="S112" s="22">
        <v>1</v>
      </c>
      <c r="T112" s="21" t="s">
        <v>159</v>
      </c>
      <c r="U112" s="21">
        <v>1</v>
      </c>
      <c r="V112" s="21">
        <v>1</v>
      </c>
      <c r="W112" s="24">
        <f>(4*3.14*(((Q112^1.6*R112^1.6+Q112^1.6*S112^1.6+R112^1.6+S112^1.6)/3)^(1/1.6)))*(1/V112)</f>
        <v>15.034062444858044</v>
      </c>
      <c r="X112" s="24">
        <f>3.14/6*Q112*R112*S112*U112</f>
        <v>0.52333333333333332</v>
      </c>
      <c r="Y112" s="22">
        <v>130</v>
      </c>
      <c r="Z112" s="24">
        <f t="shared" si="27"/>
        <v>1954.4281178315457</v>
      </c>
      <c r="AA112" s="24">
        <f t="shared" si="28"/>
        <v>68.033333333333331</v>
      </c>
      <c r="AB112" s="22">
        <v>35</v>
      </c>
      <c r="AC112" s="22">
        <v>35</v>
      </c>
      <c r="AD112" s="22">
        <v>35</v>
      </c>
      <c r="AE112" s="21" t="s">
        <v>159</v>
      </c>
      <c r="AF112" s="21">
        <v>0.7</v>
      </c>
      <c r="AG112" s="22">
        <v>1</v>
      </c>
      <c r="AH112" s="24">
        <f>(4*3.14*(((AB112^1.6*AC112^1.6+AB112^1.6*AD112^1.6+AC112^1.6+AD112^1.6)/3)^(1/1.6)))*(1/AG112)</f>
        <v>11967.014065345904</v>
      </c>
      <c r="AI112" s="24">
        <f>3.14/6*AB112*AC112*AD112*AF112</f>
        <v>15706.541666666666</v>
      </c>
      <c r="AJ112" s="21">
        <v>15714.5</v>
      </c>
      <c r="AK112" s="21">
        <v>35</v>
      </c>
      <c r="AL112" s="22" t="s">
        <v>161</v>
      </c>
      <c r="AM112" s="22">
        <v>0.22</v>
      </c>
      <c r="AN112" s="22" t="s">
        <v>229</v>
      </c>
      <c r="AO112" s="22" t="s">
        <v>229</v>
      </c>
      <c r="AP112" s="22" t="s">
        <v>230</v>
      </c>
      <c r="AQ112" s="22" t="str">
        <f t="shared" si="29"/>
        <v>Microphytoplankton</v>
      </c>
      <c r="AR112" s="22">
        <v>0</v>
      </c>
      <c r="AS112" s="22">
        <v>0</v>
      </c>
      <c r="AT112" s="22">
        <v>0</v>
      </c>
      <c r="AU112" s="22">
        <v>1</v>
      </c>
      <c r="AV112" s="22">
        <v>0</v>
      </c>
      <c r="AW112" s="22">
        <v>0</v>
      </c>
      <c r="AX112" s="22">
        <v>0</v>
      </c>
      <c r="AY112" s="22">
        <v>1</v>
      </c>
      <c r="BH112" s="22">
        <f t="shared" si="20"/>
        <v>3.4809841668066506E-2</v>
      </c>
    </row>
    <row r="113" spans="1:60" s="22" customFormat="1" ht="13">
      <c r="A113" s="22" t="s">
        <v>269</v>
      </c>
      <c r="B113" s="22" t="s">
        <v>149</v>
      </c>
      <c r="C113" s="22" t="s">
        <v>150</v>
      </c>
      <c r="D113" s="23" t="s">
        <v>151</v>
      </c>
      <c r="E113" s="22" t="s">
        <v>61</v>
      </c>
      <c r="F113" s="22" t="s">
        <v>152</v>
      </c>
      <c r="G113" s="22" t="s">
        <v>60</v>
      </c>
      <c r="H113" s="22" t="s">
        <v>226</v>
      </c>
      <c r="I113" s="22" t="s">
        <v>34</v>
      </c>
      <c r="J113" s="22" t="s">
        <v>268</v>
      </c>
      <c r="K113" s="22" t="s">
        <v>184</v>
      </c>
      <c r="L113" s="22" t="s">
        <v>270</v>
      </c>
      <c r="N113" s="22" t="s">
        <v>264</v>
      </c>
      <c r="O113" s="22" t="s">
        <v>158</v>
      </c>
      <c r="P113" s="21">
        <v>10261</v>
      </c>
      <c r="Q113" s="22">
        <v>1</v>
      </c>
      <c r="R113" s="22">
        <v>1</v>
      </c>
      <c r="S113" s="22">
        <v>1</v>
      </c>
      <c r="T113" s="21" t="s">
        <v>159</v>
      </c>
      <c r="U113" s="21">
        <v>1</v>
      </c>
      <c r="V113" s="21">
        <v>1</v>
      </c>
      <c r="W113" s="24">
        <f>(4*3.14*(((Q113^1.6*R113^1.6+Q113^1.6*S113^1.6+R113^1.6+S113^1.6)/3)^(1/1.6)))*(1/V113)</f>
        <v>15.034062444858044</v>
      </c>
      <c r="X113" s="24">
        <f>3.14/6*Q113*R113*S113*U113</f>
        <v>0.52333333333333332</v>
      </c>
      <c r="Y113" s="22">
        <v>50</v>
      </c>
      <c r="Z113" s="24">
        <f t="shared" si="27"/>
        <v>751.70312224290217</v>
      </c>
      <c r="AA113" s="24">
        <f t="shared" si="28"/>
        <v>26.166666666666664</v>
      </c>
      <c r="AB113" s="22">
        <v>50</v>
      </c>
      <c r="AC113" s="22">
        <v>50</v>
      </c>
      <c r="AD113" s="22">
        <v>50</v>
      </c>
      <c r="AE113" s="21" t="s">
        <v>159</v>
      </c>
      <c r="AF113" s="21">
        <v>0.1</v>
      </c>
      <c r="AG113" s="22">
        <v>1</v>
      </c>
      <c r="AH113" s="24">
        <f>(4*3.14*(((AB113^1.6*AC113^1.6+AB113^1.6*AD113^1.6+AC113^1.6+AD113^1.6)/3)^(1/1.6)))*(1/AG113)</f>
        <v>24400.082151651244</v>
      </c>
      <c r="AI113" s="24">
        <f>3.14/6*AB113*AC113*AD113*AF113</f>
        <v>6541.666666666667</v>
      </c>
      <c r="AJ113" s="21">
        <v>26.166666666666664</v>
      </c>
      <c r="AK113" s="21">
        <v>50</v>
      </c>
      <c r="AL113" s="22" t="s">
        <v>161</v>
      </c>
      <c r="AM113" s="22">
        <v>0.22</v>
      </c>
      <c r="AN113" s="22" t="s">
        <v>229</v>
      </c>
      <c r="AO113" s="22" t="s">
        <v>229</v>
      </c>
      <c r="AP113" s="22" t="s">
        <v>230</v>
      </c>
      <c r="AQ113" s="22" t="str">
        <f t="shared" si="29"/>
        <v>Microphytoplankton</v>
      </c>
      <c r="AR113" s="22">
        <v>0</v>
      </c>
      <c r="AS113" s="22">
        <v>0</v>
      </c>
      <c r="AT113" s="22">
        <v>0</v>
      </c>
      <c r="AU113" s="22">
        <v>1</v>
      </c>
      <c r="AV113" s="22">
        <v>0</v>
      </c>
      <c r="AW113" s="22">
        <v>0</v>
      </c>
      <c r="AX113" s="22">
        <v>0</v>
      </c>
      <c r="AY113" s="22">
        <v>1</v>
      </c>
      <c r="BH113" s="22">
        <f t="shared" si="20"/>
        <v>3.4809841668066506E-2</v>
      </c>
    </row>
    <row r="114" spans="1:60" s="22" customFormat="1" ht="13">
      <c r="D114" s="23"/>
      <c r="P114" s="21"/>
      <c r="T114" s="21"/>
      <c r="U114" s="21"/>
      <c r="V114" s="21"/>
      <c r="W114" s="24"/>
      <c r="X114" s="24"/>
      <c r="Z114" s="24"/>
      <c r="AA114" s="24"/>
      <c r="AE114" s="21"/>
      <c r="AF114" s="21"/>
      <c r="AH114" s="24"/>
      <c r="AI114" s="24"/>
      <c r="AJ114" s="21"/>
      <c r="AK114" s="21"/>
    </row>
    <row r="115" spans="1:60" s="22" customFormat="1" ht="13">
      <c r="A115" s="21" t="s">
        <v>292</v>
      </c>
      <c r="B115" s="22" t="s">
        <v>149</v>
      </c>
      <c r="C115" s="22" t="s">
        <v>150</v>
      </c>
      <c r="D115" s="23" t="s">
        <v>151</v>
      </c>
      <c r="E115" s="22" t="s">
        <v>61</v>
      </c>
      <c r="F115" s="22" t="s">
        <v>152</v>
      </c>
      <c r="G115" s="22" t="s">
        <v>60</v>
      </c>
      <c r="H115" s="22" t="s">
        <v>293</v>
      </c>
      <c r="I115" s="22" t="s">
        <v>294</v>
      </c>
      <c r="J115" s="22" t="s">
        <v>295</v>
      </c>
      <c r="N115" s="22" t="s">
        <v>239</v>
      </c>
      <c r="O115" s="22" t="s">
        <v>158</v>
      </c>
      <c r="P115" s="21">
        <v>10310</v>
      </c>
      <c r="Q115" s="21">
        <v>2.5</v>
      </c>
      <c r="R115" s="21">
        <v>1</v>
      </c>
      <c r="S115" s="21">
        <v>1</v>
      </c>
      <c r="T115" s="21" t="s">
        <v>159</v>
      </c>
      <c r="U115" s="21">
        <v>1</v>
      </c>
      <c r="V115" s="21">
        <v>1</v>
      </c>
      <c r="W115" s="24">
        <f>(4*3.14*(((Q115^1.6*R115^1.6+Q115^1.6*S115^1.6+R115^1.6+S115^1.6)/3)^(1/1.6)))*(1/V115)</f>
        <v>27.748968542876781</v>
      </c>
      <c r="X115" s="24">
        <f>3.14/6*Q115*R115*S115*U115</f>
        <v>1.3083333333333333</v>
      </c>
      <c r="Y115" s="21">
        <v>4000</v>
      </c>
      <c r="Z115" s="24">
        <f t="shared" si="27"/>
        <v>110995.87417150712</v>
      </c>
      <c r="AA115" s="24">
        <f t="shared" si="28"/>
        <v>5233.333333333333</v>
      </c>
      <c r="AB115" s="21">
        <v>100</v>
      </c>
      <c r="AC115" s="21">
        <v>100</v>
      </c>
      <c r="AD115" s="21">
        <v>100</v>
      </c>
      <c r="AE115" s="21" t="s">
        <v>159</v>
      </c>
      <c r="AF115" s="21">
        <v>0.01</v>
      </c>
      <c r="AG115" s="22">
        <v>1</v>
      </c>
      <c r="AH115" s="24">
        <f>(4*3.14*(((AB115^1.6*AC115^1.6+AB115^1.6*AD115^1.6+AC115^1.6+AD115^1.6)/3)^(1/1.6)))*(1/AG115)</f>
        <v>97522.272269543319</v>
      </c>
      <c r="AI115" s="24">
        <f>3.14/6*AB115*AC115*AD115*AF115</f>
        <v>5233.333333333333</v>
      </c>
      <c r="AJ115" s="21">
        <v>5236</v>
      </c>
      <c r="AK115" s="21">
        <v>100</v>
      </c>
      <c r="AL115" s="22" t="s">
        <v>161</v>
      </c>
      <c r="AM115" s="22">
        <v>0.22</v>
      </c>
      <c r="AN115" s="22" t="s">
        <v>229</v>
      </c>
      <c r="AO115" s="22" t="s">
        <v>229</v>
      </c>
      <c r="AP115" s="22" t="s">
        <v>230</v>
      </c>
      <c r="AQ115" s="22" t="str">
        <f t="shared" si="29"/>
        <v>Microphytoplankton</v>
      </c>
      <c r="AR115" s="22">
        <v>0</v>
      </c>
      <c r="AS115" s="22">
        <v>0</v>
      </c>
      <c r="AT115" s="22">
        <v>0</v>
      </c>
      <c r="AU115" s="22">
        <v>1</v>
      </c>
      <c r="AV115" s="22">
        <v>0</v>
      </c>
      <c r="AW115" s="22">
        <v>0</v>
      </c>
      <c r="AX115" s="22">
        <v>0</v>
      </c>
      <c r="AY115" s="22">
        <v>1</v>
      </c>
      <c r="AZ115" s="22">
        <v>1</v>
      </c>
      <c r="BA115" s="22">
        <v>1</v>
      </c>
      <c r="BB115" s="22">
        <v>3</v>
      </c>
      <c r="BC115" s="22">
        <v>2</v>
      </c>
      <c r="BD115" s="22">
        <v>2</v>
      </c>
      <c r="BE115" s="22">
        <v>1</v>
      </c>
      <c r="BH115" s="22">
        <f t="shared" si="20"/>
        <v>4.7148899654116526E-2</v>
      </c>
    </row>
    <row r="116" spans="1:60" s="22" customFormat="1" ht="13">
      <c r="A116" s="21" t="s">
        <v>1498</v>
      </c>
      <c r="B116" s="22" t="s">
        <v>663</v>
      </c>
      <c r="C116" s="23" t="s">
        <v>822</v>
      </c>
      <c r="D116" s="23" t="s">
        <v>965</v>
      </c>
      <c r="E116" s="22" t="s">
        <v>62</v>
      </c>
      <c r="F116" s="23" t="s">
        <v>1499</v>
      </c>
      <c r="G116" s="23" t="s">
        <v>1500</v>
      </c>
      <c r="H116" s="23" t="s">
        <v>1501</v>
      </c>
      <c r="I116" s="22" t="s">
        <v>1502</v>
      </c>
      <c r="J116" s="22" t="s">
        <v>1503</v>
      </c>
      <c r="N116" s="22" t="s">
        <v>1504</v>
      </c>
      <c r="O116" s="22" t="s">
        <v>1430</v>
      </c>
      <c r="P116" s="21">
        <v>70710</v>
      </c>
      <c r="Q116" s="21">
        <v>65</v>
      </c>
      <c r="R116" s="21">
        <v>2</v>
      </c>
      <c r="S116" s="21">
        <v>2</v>
      </c>
      <c r="T116" s="22" t="s">
        <v>330</v>
      </c>
      <c r="U116" s="21">
        <v>1</v>
      </c>
      <c r="V116" s="22">
        <v>1</v>
      </c>
      <c r="W116" s="25">
        <f>(Q116*R116*2+Q116*S116*2+R116*S116*2)/V116</f>
        <v>528</v>
      </c>
      <c r="X116" s="25">
        <f>Q116*R116*S116*U116</f>
        <v>260</v>
      </c>
      <c r="Y116" s="22">
        <v>1</v>
      </c>
      <c r="Z116" s="24">
        <f t="shared" si="27"/>
        <v>528</v>
      </c>
      <c r="AA116" s="24">
        <f t="shared" si="28"/>
        <v>260</v>
      </c>
      <c r="AB116" s="21"/>
      <c r="AC116" s="21"/>
      <c r="AD116" s="21"/>
      <c r="AF116" s="21" t="s">
        <v>247</v>
      </c>
      <c r="AH116" s="25"/>
      <c r="AI116" s="25"/>
      <c r="AJ116" s="21">
        <v>260</v>
      </c>
      <c r="AK116" s="21">
        <v>130</v>
      </c>
      <c r="AL116" s="22" t="s">
        <v>161</v>
      </c>
      <c r="AM116" s="22">
        <v>0.11</v>
      </c>
      <c r="AN116" s="22" t="s">
        <v>1505</v>
      </c>
      <c r="AO116" s="22" t="s">
        <v>1505</v>
      </c>
      <c r="AP116" s="22" t="s">
        <v>1432</v>
      </c>
      <c r="AQ116" s="22" t="str">
        <f t="shared" si="29"/>
        <v>Microphytoplankton</v>
      </c>
      <c r="AR116" s="22">
        <v>0</v>
      </c>
      <c r="AS116" s="22">
        <v>0</v>
      </c>
      <c r="AT116" s="22">
        <v>0</v>
      </c>
      <c r="AU116" s="22">
        <v>1</v>
      </c>
      <c r="AV116" s="22">
        <v>0</v>
      </c>
      <c r="AW116" s="22">
        <v>0</v>
      </c>
      <c r="AX116" s="22">
        <v>1</v>
      </c>
      <c r="AY116" s="22">
        <v>0</v>
      </c>
      <c r="BF116" s="22">
        <v>0</v>
      </c>
      <c r="BG116" s="22">
        <v>1</v>
      </c>
      <c r="BH116" s="22">
        <f t="shared" si="20"/>
        <v>0.49242424242424243</v>
      </c>
    </row>
    <row r="117" spans="1:60" s="22" customFormat="1" ht="13">
      <c r="A117" s="22" t="s">
        <v>1511</v>
      </c>
      <c r="B117" s="22" t="s">
        <v>663</v>
      </c>
      <c r="C117" s="23" t="s">
        <v>822</v>
      </c>
      <c r="D117" s="23" t="s">
        <v>965</v>
      </c>
      <c r="E117" s="22" t="s">
        <v>62</v>
      </c>
      <c r="F117" s="22" t="s">
        <v>1424</v>
      </c>
      <c r="G117" s="23" t="s">
        <v>1507</v>
      </c>
      <c r="H117" s="23" t="s">
        <v>1508</v>
      </c>
      <c r="I117" s="22" t="s">
        <v>40</v>
      </c>
      <c r="J117" s="22" t="s">
        <v>1509</v>
      </c>
      <c r="N117" s="22" t="s">
        <v>1510</v>
      </c>
      <c r="O117" s="22" t="s">
        <v>1430</v>
      </c>
      <c r="P117" s="21">
        <v>70114</v>
      </c>
      <c r="Q117" s="22">
        <v>10.5</v>
      </c>
      <c r="R117" s="22">
        <v>9</v>
      </c>
      <c r="S117" s="22">
        <v>9</v>
      </c>
      <c r="T117" s="21" t="s">
        <v>160</v>
      </c>
      <c r="U117" s="21">
        <v>1</v>
      </c>
      <c r="V117" s="22">
        <v>1</v>
      </c>
      <c r="W117" s="24">
        <f>3.14*R117*Q117+2*3.14*(S117/2)^2/V117</f>
        <v>423.90000000000003</v>
      </c>
      <c r="X117" s="25">
        <f>(3.14/4*R117^2*Q117)*U117</f>
        <v>667.64250000000004</v>
      </c>
      <c r="Y117" s="22">
        <v>1</v>
      </c>
      <c r="Z117" s="24">
        <f t="shared" si="27"/>
        <v>423.90000000000003</v>
      </c>
      <c r="AA117" s="24">
        <f t="shared" si="28"/>
        <v>667.64250000000004</v>
      </c>
      <c r="AF117" s="21" t="s">
        <v>247</v>
      </c>
      <c r="AH117" s="25"/>
      <c r="AI117" s="25"/>
      <c r="AJ117" s="21">
        <v>779</v>
      </c>
      <c r="AK117" s="21">
        <v>100</v>
      </c>
      <c r="AL117" s="22" t="s">
        <v>161</v>
      </c>
      <c r="AM117" s="22">
        <v>0.11</v>
      </c>
      <c r="AN117" s="22" t="s">
        <v>1505</v>
      </c>
      <c r="AO117" s="22" t="s">
        <v>1505</v>
      </c>
      <c r="AP117" s="22" t="s">
        <v>1432</v>
      </c>
      <c r="AQ117" s="22" t="str">
        <f t="shared" si="29"/>
        <v>Microphytoplankton</v>
      </c>
      <c r="AR117" s="22">
        <v>0</v>
      </c>
      <c r="AS117" s="22">
        <v>0</v>
      </c>
      <c r="AT117" s="22">
        <v>0</v>
      </c>
      <c r="AU117" s="22">
        <v>1</v>
      </c>
      <c r="AV117" s="22">
        <v>1</v>
      </c>
      <c r="AW117" s="22">
        <v>0</v>
      </c>
      <c r="AX117" s="22">
        <v>1</v>
      </c>
      <c r="AY117" s="22">
        <v>0</v>
      </c>
      <c r="BH117" s="22">
        <f t="shared" si="20"/>
        <v>1.575</v>
      </c>
    </row>
    <row r="118" spans="1:60" s="22" customFormat="1" ht="13">
      <c r="A118" s="21" t="s">
        <v>1514</v>
      </c>
      <c r="B118" s="22" t="s">
        <v>663</v>
      </c>
      <c r="C118" s="23" t="s">
        <v>822</v>
      </c>
      <c r="D118" s="23" t="s">
        <v>965</v>
      </c>
      <c r="E118" s="22" t="s">
        <v>62</v>
      </c>
      <c r="F118" s="22" t="s">
        <v>1424</v>
      </c>
      <c r="G118" s="23" t="s">
        <v>1507</v>
      </c>
      <c r="H118" s="23" t="s">
        <v>1508</v>
      </c>
      <c r="I118" s="22" t="s">
        <v>40</v>
      </c>
      <c r="J118" s="22" t="s">
        <v>1515</v>
      </c>
      <c r="N118" s="22" t="s">
        <v>1516</v>
      </c>
      <c r="O118" s="22" t="s">
        <v>1430</v>
      </c>
      <c r="P118" s="21">
        <v>70115</v>
      </c>
      <c r="Q118" s="21">
        <v>30</v>
      </c>
      <c r="R118" s="21">
        <v>8</v>
      </c>
      <c r="S118" s="21">
        <v>8</v>
      </c>
      <c r="T118" s="21" t="s">
        <v>160</v>
      </c>
      <c r="U118" s="21">
        <v>1</v>
      </c>
      <c r="V118" s="22">
        <v>1</v>
      </c>
      <c r="W118" s="24">
        <f>3.14*R118*Q118+2*3.14*(S118/2)^2/V118</f>
        <v>854.08</v>
      </c>
      <c r="X118" s="25">
        <f>(3.14/4*R118^2*Q118)*U118</f>
        <v>1507.2</v>
      </c>
      <c r="Y118" s="22">
        <v>1</v>
      </c>
      <c r="Z118" s="24">
        <f t="shared" si="27"/>
        <v>854.08</v>
      </c>
      <c r="AA118" s="24">
        <f t="shared" si="28"/>
        <v>1507.2</v>
      </c>
      <c r="AB118" s="21"/>
      <c r="AC118" s="21"/>
      <c r="AD118" s="21"/>
      <c r="AF118" s="21" t="s">
        <v>247</v>
      </c>
      <c r="AH118" s="25"/>
      <c r="AI118" s="25"/>
      <c r="AJ118" s="21">
        <v>1920</v>
      </c>
      <c r="AK118" s="21">
        <v>100</v>
      </c>
      <c r="AL118" s="22" t="s">
        <v>161</v>
      </c>
      <c r="AM118" s="22">
        <v>0.11</v>
      </c>
      <c r="AN118" s="22" t="s">
        <v>1517</v>
      </c>
      <c r="AO118" s="22" t="s">
        <v>1517</v>
      </c>
      <c r="AP118" s="22" t="s">
        <v>1432</v>
      </c>
      <c r="AQ118" s="22" t="str">
        <f t="shared" si="29"/>
        <v>Microphytoplankton</v>
      </c>
      <c r="AR118" s="22">
        <v>0</v>
      </c>
      <c r="AS118" s="22">
        <v>0</v>
      </c>
      <c r="AT118" s="22">
        <v>0</v>
      </c>
      <c r="AU118" s="22">
        <v>1</v>
      </c>
      <c r="AV118" s="22">
        <v>1</v>
      </c>
      <c r="AW118" s="22">
        <v>0</v>
      </c>
      <c r="AX118" s="22">
        <v>1</v>
      </c>
      <c r="AY118" s="22">
        <v>0</v>
      </c>
      <c r="AZ118" s="22">
        <v>0</v>
      </c>
      <c r="BA118" s="22">
        <v>0</v>
      </c>
      <c r="BB118" s="22">
        <v>0</v>
      </c>
      <c r="BC118" s="22">
        <v>4</v>
      </c>
      <c r="BD118" s="22">
        <v>3</v>
      </c>
      <c r="BE118" s="22">
        <v>3</v>
      </c>
      <c r="BF118" s="22">
        <v>0</v>
      </c>
      <c r="BG118" s="22">
        <v>1</v>
      </c>
      <c r="BH118" s="22">
        <f t="shared" si="20"/>
        <v>1.7647058823529411</v>
      </c>
    </row>
    <row r="119" spans="1:60" s="22" customFormat="1" ht="13">
      <c r="A119" s="21" t="s">
        <v>1518</v>
      </c>
      <c r="B119" s="22" t="s">
        <v>663</v>
      </c>
      <c r="C119" s="23" t="s">
        <v>822</v>
      </c>
      <c r="D119" s="23" t="s">
        <v>965</v>
      </c>
      <c r="E119" s="22" t="s">
        <v>62</v>
      </c>
      <c r="F119" s="22" t="s">
        <v>1424</v>
      </c>
      <c r="G119" s="23" t="s">
        <v>1507</v>
      </c>
      <c r="H119" s="23" t="s">
        <v>1508</v>
      </c>
      <c r="I119" s="22" t="s">
        <v>40</v>
      </c>
      <c r="J119" s="22" t="s">
        <v>1515</v>
      </c>
      <c r="K119" s="22" t="s">
        <v>175</v>
      </c>
      <c r="L119" s="22" t="s">
        <v>1519</v>
      </c>
      <c r="N119" s="22" t="s">
        <v>1520</v>
      </c>
      <c r="O119" s="22" t="s">
        <v>1430</v>
      </c>
      <c r="P119" s="21">
        <v>70110</v>
      </c>
      <c r="Q119" s="21">
        <v>36</v>
      </c>
      <c r="R119" s="21">
        <v>4</v>
      </c>
      <c r="S119" s="21">
        <v>4</v>
      </c>
      <c r="T119" s="21" t="s">
        <v>160</v>
      </c>
      <c r="U119" s="21">
        <v>1</v>
      </c>
      <c r="V119" s="22">
        <v>1</v>
      </c>
      <c r="W119" s="24">
        <f>3.14*R119*Q119+2*3.14*(S119/2)^2/V119</f>
        <v>477.28000000000003</v>
      </c>
      <c r="X119" s="25">
        <f>(3.14/4*R119^2*Q119)*U119</f>
        <v>452.16</v>
      </c>
      <c r="Y119" s="22">
        <v>1</v>
      </c>
      <c r="Z119" s="24">
        <f t="shared" si="27"/>
        <v>477.28000000000003</v>
      </c>
      <c r="AA119" s="24">
        <f t="shared" si="28"/>
        <v>452.16</v>
      </c>
      <c r="AB119" s="21"/>
      <c r="AC119" s="21"/>
      <c r="AD119" s="21"/>
      <c r="AF119" s="21" t="s">
        <v>247</v>
      </c>
      <c r="AH119" s="25"/>
      <c r="AI119" s="25"/>
      <c r="AJ119" s="21">
        <v>452.4</v>
      </c>
      <c r="AK119" s="21">
        <v>100</v>
      </c>
      <c r="AL119" s="22" t="s">
        <v>161</v>
      </c>
      <c r="AM119" s="22">
        <v>0.11</v>
      </c>
      <c r="AN119" s="22" t="s">
        <v>1517</v>
      </c>
      <c r="AO119" s="22" t="s">
        <v>1517</v>
      </c>
      <c r="AP119" s="22" t="s">
        <v>1432</v>
      </c>
      <c r="AQ119" s="22" t="str">
        <f t="shared" si="29"/>
        <v>Microphytoplankton</v>
      </c>
      <c r="AR119" s="22">
        <v>0</v>
      </c>
      <c r="AS119" s="22">
        <v>0</v>
      </c>
      <c r="AT119" s="22">
        <v>0</v>
      </c>
      <c r="AU119" s="22">
        <v>1</v>
      </c>
      <c r="AV119" s="22">
        <v>1</v>
      </c>
      <c r="AW119" s="22">
        <v>0</v>
      </c>
      <c r="AX119" s="22">
        <v>1</v>
      </c>
      <c r="AY119" s="22">
        <v>0</v>
      </c>
      <c r="AZ119" s="22">
        <v>0</v>
      </c>
      <c r="BA119" s="22">
        <v>0</v>
      </c>
      <c r="BB119" s="22">
        <v>0</v>
      </c>
      <c r="BC119" s="22">
        <v>2</v>
      </c>
      <c r="BD119" s="22">
        <v>4</v>
      </c>
      <c r="BE119" s="22">
        <v>4</v>
      </c>
      <c r="BF119" s="22">
        <v>0</v>
      </c>
      <c r="BG119" s="22">
        <v>1</v>
      </c>
      <c r="BH119" s="22">
        <f t="shared" si="20"/>
        <v>0.94736842105263153</v>
      </c>
    </row>
    <row r="120" spans="1:60" s="22" customFormat="1" ht="13">
      <c r="A120" s="22" t="s">
        <v>1521</v>
      </c>
      <c r="B120" s="22" t="s">
        <v>663</v>
      </c>
      <c r="C120" s="23" t="s">
        <v>822</v>
      </c>
      <c r="D120" s="23" t="s">
        <v>965</v>
      </c>
      <c r="E120" s="22" t="s">
        <v>62</v>
      </c>
      <c r="F120" s="22" t="s">
        <v>1424</v>
      </c>
      <c r="G120" s="23" t="s">
        <v>1507</v>
      </c>
      <c r="H120" s="23" t="s">
        <v>1508</v>
      </c>
      <c r="I120" s="22" t="s">
        <v>40</v>
      </c>
      <c r="J120" s="22" t="s">
        <v>1515</v>
      </c>
      <c r="K120" s="22" t="s">
        <v>175</v>
      </c>
      <c r="L120" s="22" t="s">
        <v>1522</v>
      </c>
      <c r="N120" s="22" t="s">
        <v>1523</v>
      </c>
      <c r="O120" s="22" t="s">
        <v>1430</v>
      </c>
      <c r="P120" s="21">
        <v>70113</v>
      </c>
      <c r="Q120" s="22">
        <v>17</v>
      </c>
      <c r="R120" s="22">
        <v>4</v>
      </c>
      <c r="S120" s="22">
        <v>4</v>
      </c>
      <c r="T120" s="21" t="s">
        <v>160</v>
      </c>
      <c r="U120" s="21">
        <v>1</v>
      </c>
      <c r="V120" s="22">
        <v>1</v>
      </c>
      <c r="W120" s="24">
        <f>3.14*R120*Q120+2*3.14*(S120/2)^2/V120</f>
        <v>238.64000000000001</v>
      </c>
      <c r="X120" s="25">
        <f>(3.14/4*R120^2*Q120)*U120</f>
        <v>213.52</v>
      </c>
      <c r="Y120" s="22">
        <v>1</v>
      </c>
      <c r="Z120" s="24">
        <f t="shared" si="27"/>
        <v>238.64000000000001</v>
      </c>
      <c r="AA120" s="24">
        <f t="shared" si="28"/>
        <v>213.52</v>
      </c>
      <c r="AF120" s="21" t="s">
        <v>247</v>
      </c>
      <c r="AH120" s="25"/>
      <c r="AI120" s="25"/>
      <c r="AJ120" s="21">
        <v>908</v>
      </c>
      <c r="AK120" s="21">
        <v>100</v>
      </c>
      <c r="AL120" s="22" t="s">
        <v>161</v>
      </c>
      <c r="AM120" s="22">
        <v>0.11</v>
      </c>
      <c r="AN120" s="22" t="s">
        <v>1517</v>
      </c>
      <c r="AO120" s="22" t="s">
        <v>1517</v>
      </c>
      <c r="AP120" s="22" t="s">
        <v>1432</v>
      </c>
      <c r="AQ120" s="22" t="str">
        <f t="shared" si="29"/>
        <v>Microphytoplankton</v>
      </c>
      <c r="AR120" s="22">
        <v>0</v>
      </c>
      <c r="AS120" s="22">
        <v>0</v>
      </c>
      <c r="AT120" s="22">
        <v>0</v>
      </c>
      <c r="AU120" s="22">
        <v>1</v>
      </c>
      <c r="AV120" s="22">
        <v>1</v>
      </c>
      <c r="AW120" s="22">
        <v>0</v>
      </c>
      <c r="AX120" s="22">
        <v>1</v>
      </c>
      <c r="AY120" s="22">
        <v>0</v>
      </c>
      <c r="BF120" s="22">
        <v>0</v>
      </c>
      <c r="BG120" s="22">
        <v>1</v>
      </c>
      <c r="BH120" s="22">
        <f t="shared" si="20"/>
        <v>0.89473684210526316</v>
      </c>
    </row>
    <row r="121" spans="1:60" s="22" customFormat="1" ht="13">
      <c r="A121" s="21" t="s">
        <v>2278</v>
      </c>
      <c r="B121" s="22" t="s">
        <v>663</v>
      </c>
      <c r="C121" s="22" t="s">
        <v>2223</v>
      </c>
      <c r="D121" s="22" t="s">
        <v>2224</v>
      </c>
      <c r="E121" s="23" t="s">
        <v>63</v>
      </c>
      <c r="F121" s="23" t="s">
        <v>2225</v>
      </c>
      <c r="G121" s="23" t="s">
        <v>2226</v>
      </c>
      <c r="H121" s="22" t="s">
        <v>2279</v>
      </c>
      <c r="I121" s="22" t="s">
        <v>2280</v>
      </c>
      <c r="J121" s="22" t="s">
        <v>2281</v>
      </c>
      <c r="N121" s="22" t="s">
        <v>413</v>
      </c>
      <c r="O121" s="22" t="s">
        <v>2229</v>
      </c>
      <c r="P121" s="21">
        <v>81910</v>
      </c>
      <c r="Q121" s="21">
        <v>9</v>
      </c>
      <c r="R121" s="21">
        <v>4.5</v>
      </c>
      <c r="S121" s="21">
        <v>4.5</v>
      </c>
      <c r="T121" s="21" t="s">
        <v>281</v>
      </c>
      <c r="U121" s="21">
        <v>1</v>
      </c>
      <c r="V121" s="22">
        <v>1</v>
      </c>
      <c r="W121" s="24">
        <f>(4*3.14*(((Q121^1.6*R121^1.6+Q121^1.6*S121^1.6+R121^1.6+S121^1.6)/3)^(1/1.6)))*(1/V121)</f>
        <v>402.1055221400822</v>
      </c>
      <c r="X121" s="24">
        <f>3.14/6*Q121*R121*S121*U121</f>
        <v>95.377499999999998</v>
      </c>
      <c r="Y121" s="21">
        <v>32</v>
      </c>
      <c r="Z121" s="24">
        <f t="shared" si="27"/>
        <v>12867.37670848263</v>
      </c>
      <c r="AA121" s="24">
        <f t="shared" si="28"/>
        <v>3052.08</v>
      </c>
      <c r="AB121" s="21">
        <v>60</v>
      </c>
      <c r="AC121" s="21">
        <v>30</v>
      </c>
      <c r="AD121" s="21">
        <v>30</v>
      </c>
      <c r="AE121" s="21" t="s">
        <v>159</v>
      </c>
      <c r="AF121" s="21">
        <v>0.9</v>
      </c>
      <c r="AG121" s="21">
        <v>1.2</v>
      </c>
      <c r="AH121" s="24">
        <f>(4*3.14*(((AB121^1.6*AC121^1.6+AB121^1.6*AD121^1.6+AC121^1.6+AD121^1.6)/3)^(1/1.6)))*(1/AG121)</f>
        <v>14635.629193901632</v>
      </c>
      <c r="AI121" s="24">
        <f>3.14/6*AB121*AC121*AD121*AF121</f>
        <v>25434</v>
      </c>
      <c r="AJ121" s="21">
        <v>1750</v>
      </c>
      <c r="AK121" s="21">
        <v>50</v>
      </c>
      <c r="AL121" s="22" t="s">
        <v>161</v>
      </c>
      <c r="AM121" s="22">
        <v>0.16</v>
      </c>
      <c r="AN121" s="22" t="s">
        <v>2282</v>
      </c>
      <c r="AO121" s="22" t="s">
        <v>2282</v>
      </c>
      <c r="AP121" s="22" t="s">
        <v>230</v>
      </c>
      <c r="AQ121" s="22" t="str">
        <f t="shared" si="29"/>
        <v>Microphytoplankton</v>
      </c>
      <c r="AR121" s="22">
        <v>0</v>
      </c>
      <c r="AS121" s="22">
        <v>0</v>
      </c>
      <c r="AT121" s="22">
        <v>0</v>
      </c>
      <c r="AU121" s="22">
        <v>1</v>
      </c>
      <c r="AV121" s="22">
        <v>0</v>
      </c>
      <c r="AW121" s="22">
        <v>0</v>
      </c>
      <c r="AX121" s="22">
        <v>0</v>
      </c>
      <c r="AY121" s="22">
        <v>1</v>
      </c>
      <c r="AZ121" s="22">
        <v>1</v>
      </c>
      <c r="BA121" s="22">
        <v>5</v>
      </c>
      <c r="BB121" s="22">
        <v>3</v>
      </c>
      <c r="BC121" s="22">
        <v>1</v>
      </c>
      <c r="BD121" s="22">
        <v>0</v>
      </c>
      <c r="BE121" s="22">
        <v>0</v>
      </c>
      <c r="BH121" s="22">
        <f t="shared" si="20"/>
        <v>0.2371952006338604</v>
      </c>
    </row>
    <row r="122" spans="1:60" s="22" customFormat="1" ht="13">
      <c r="A122" s="21" t="s">
        <v>674</v>
      </c>
      <c r="B122" s="22" t="s">
        <v>663</v>
      </c>
      <c r="C122" s="22" t="s">
        <v>664</v>
      </c>
      <c r="D122" s="22" t="s">
        <v>665</v>
      </c>
      <c r="E122" s="22" t="s">
        <v>666</v>
      </c>
      <c r="F122" s="22" t="s">
        <v>667</v>
      </c>
      <c r="G122" s="22" t="s">
        <v>675</v>
      </c>
      <c r="H122" s="22" t="s">
        <v>676</v>
      </c>
      <c r="I122" s="22" t="s">
        <v>677</v>
      </c>
      <c r="J122" s="22" t="s">
        <v>678</v>
      </c>
      <c r="N122" s="22" t="s">
        <v>679</v>
      </c>
      <c r="O122" s="21" t="s">
        <v>672</v>
      </c>
      <c r="P122" s="21">
        <v>20410</v>
      </c>
      <c r="Q122" s="21">
        <v>60</v>
      </c>
      <c r="R122" s="21">
        <v>50</v>
      </c>
      <c r="S122" s="21">
        <v>25</v>
      </c>
      <c r="T122" s="21" t="s">
        <v>281</v>
      </c>
      <c r="U122" s="21">
        <v>1</v>
      </c>
      <c r="V122" s="22">
        <v>1</v>
      </c>
      <c r="W122" s="24">
        <f>(4*3.14*(((Q122^1.6*R122^1.6+Q122^1.6*S122^1.6+R122^1.6+S122^1.6)/3)^(1/1.6)))*(1/V122)</f>
        <v>22681.919953844474</v>
      </c>
      <c r="X122" s="24">
        <f>3.14/6*Q122*R122*S122*U122</f>
        <v>39250</v>
      </c>
      <c r="Y122" s="21">
        <v>1</v>
      </c>
      <c r="Z122" s="24">
        <f t="shared" si="27"/>
        <v>22681.919953844474</v>
      </c>
      <c r="AA122" s="24">
        <f t="shared" si="28"/>
        <v>39250</v>
      </c>
      <c r="AB122" s="21"/>
      <c r="AC122" s="21"/>
      <c r="AD122" s="21"/>
      <c r="AE122" s="21"/>
      <c r="AF122" s="21" t="s">
        <v>247</v>
      </c>
      <c r="AG122" s="21"/>
      <c r="AH122" s="24"/>
      <c r="AI122" s="24"/>
      <c r="AJ122" s="21">
        <v>39269.9</v>
      </c>
      <c r="AK122" s="21">
        <v>240</v>
      </c>
      <c r="AL122" s="22" t="s">
        <v>161</v>
      </c>
      <c r="AM122" s="22">
        <v>0.13</v>
      </c>
      <c r="AN122" s="22" t="s">
        <v>414</v>
      </c>
      <c r="AO122" s="22" t="s">
        <v>331</v>
      </c>
      <c r="AP122" s="22" t="s">
        <v>673</v>
      </c>
      <c r="AQ122" s="22" t="str">
        <f t="shared" si="29"/>
        <v>Microphytoplankton</v>
      </c>
      <c r="AR122" s="22">
        <v>1</v>
      </c>
      <c r="AS122" s="22">
        <v>1</v>
      </c>
      <c r="AT122" s="22">
        <v>0</v>
      </c>
      <c r="AU122" s="22">
        <v>0</v>
      </c>
      <c r="AV122" s="22">
        <v>0</v>
      </c>
      <c r="AW122" s="22">
        <v>0</v>
      </c>
      <c r="AX122" s="22">
        <v>1</v>
      </c>
      <c r="AY122" s="22">
        <v>0</v>
      </c>
      <c r="AZ122" s="22">
        <v>3</v>
      </c>
      <c r="BA122" s="22">
        <v>2</v>
      </c>
      <c r="BB122" s="22">
        <v>2</v>
      </c>
      <c r="BC122" s="22">
        <v>1</v>
      </c>
      <c r="BD122" s="22">
        <v>1</v>
      </c>
      <c r="BE122" s="22">
        <v>1</v>
      </c>
      <c r="BH122" s="22">
        <f t="shared" si="20"/>
        <v>1.7304531573989317</v>
      </c>
    </row>
    <row r="123" spans="1:60">
      <c r="BH123" s="22"/>
    </row>
    <row r="124" spans="1:60" s="22" customFormat="1" ht="13">
      <c r="A124" s="21" t="s">
        <v>2337</v>
      </c>
      <c r="B124" s="22" t="s">
        <v>663</v>
      </c>
      <c r="C124" s="22" t="s">
        <v>2223</v>
      </c>
      <c r="D124" s="22" t="s">
        <v>2224</v>
      </c>
      <c r="E124" s="23" t="s">
        <v>63</v>
      </c>
      <c r="F124" s="23" t="s">
        <v>2225</v>
      </c>
      <c r="G124" s="23" t="s">
        <v>2284</v>
      </c>
      <c r="H124" s="23" t="s">
        <v>2285</v>
      </c>
      <c r="I124" s="22" t="s">
        <v>45</v>
      </c>
      <c r="J124" s="38" t="s">
        <v>2338</v>
      </c>
      <c r="K124" s="38"/>
      <c r="L124" s="38"/>
      <c r="N124" s="22" t="s">
        <v>2339</v>
      </c>
      <c r="O124" s="22" t="s">
        <v>2229</v>
      </c>
      <c r="P124" s="21">
        <v>80120</v>
      </c>
      <c r="Q124" s="21">
        <v>6</v>
      </c>
      <c r="R124" s="21">
        <v>6</v>
      </c>
      <c r="S124" s="21">
        <v>6</v>
      </c>
      <c r="T124" s="21" t="s">
        <v>281</v>
      </c>
      <c r="U124" s="21">
        <v>1</v>
      </c>
      <c r="V124" s="22">
        <v>1</v>
      </c>
      <c r="W124" s="24">
        <f>(4*3.14*(((Q124^1.6*R124^1.6+Q124^1.6*S124^1.6+R124^1.6+S124^1.6)/3)^(1/1.6)))*(1/V124)</f>
        <v>363.28803924381305</v>
      </c>
      <c r="X124" s="24">
        <f>3.14/6*Q124*R124*S124*U124</f>
        <v>113.03999999999998</v>
      </c>
      <c r="Y124" s="21">
        <v>1</v>
      </c>
      <c r="Z124" s="24">
        <f>Y124*W124</f>
        <v>363.28803924381305</v>
      </c>
      <c r="AA124" s="24">
        <f>Y124*X124</f>
        <v>113.03999999999998</v>
      </c>
      <c r="AB124" s="21"/>
      <c r="AC124" s="21"/>
      <c r="AD124" s="21"/>
      <c r="AE124" s="21"/>
      <c r="AF124" s="21" t="s">
        <v>247</v>
      </c>
      <c r="AG124" s="21"/>
      <c r="AH124" s="24"/>
      <c r="AI124" s="24"/>
      <c r="AJ124" s="21">
        <v>113.1</v>
      </c>
      <c r="AK124" s="21">
        <v>6</v>
      </c>
      <c r="AL124" s="22" t="s">
        <v>161</v>
      </c>
      <c r="AM124" s="22">
        <v>0.16</v>
      </c>
      <c r="AN124" s="38"/>
      <c r="AO124" s="22" t="s">
        <v>830</v>
      </c>
      <c r="AP124" s="22" t="s">
        <v>673</v>
      </c>
      <c r="AQ124" s="22" t="str">
        <f>IF(AND($AK124&lt;20,AJ124&lt;10000),"Nanophytoplankton","Microphytoplankton")</f>
        <v>Nanophytoplankton</v>
      </c>
      <c r="AR124" s="22">
        <v>1</v>
      </c>
      <c r="AS124" s="22">
        <v>1</v>
      </c>
      <c r="AT124" s="22">
        <v>0</v>
      </c>
      <c r="AU124" s="22">
        <v>0</v>
      </c>
      <c r="AV124" s="22">
        <v>0</v>
      </c>
      <c r="AW124" s="22">
        <v>0</v>
      </c>
      <c r="AX124" s="22">
        <v>0</v>
      </c>
      <c r="AY124" s="22">
        <v>1</v>
      </c>
      <c r="BH124" s="22">
        <f t="shared" si="20"/>
        <v>0.31115805583716338</v>
      </c>
    </row>
    <row r="125" spans="1:60">
      <c r="BH125" s="22"/>
    </row>
    <row r="126" spans="1:60">
      <c r="BH126" s="22"/>
    </row>
    <row r="127" spans="1:60">
      <c r="BH127" s="22"/>
    </row>
    <row r="128" spans="1:60" s="22" customFormat="1" ht="13">
      <c r="A128" s="21" t="s">
        <v>2366</v>
      </c>
      <c r="B128" s="22" t="s">
        <v>663</v>
      </c>
      <c r="C128" s="22" t="s">
        <v>2223</v>
      </c>
      <c r="D128" s="22" t="s">
        <v>2224</v>
      </c>
      <c r="E128" s="23" t="s">
        <v>63</v>
      </c>
      <c r="F128" s="23" t="s">
        <v>2225</v>
      </c>
      <c r="G128" s="23" t="s">
        <v>2226</v>
      </c>
      <c r="H128" s="22" t="s">
        <v>2253</v>
      </c>
      <c r="I128" s="22" t="s">
        <v>46</v>
      </c>
      <c r="J128" s="22" t="s">
        <v>1733</v>
      </c>
      <c r="N128" s="22" t="s">
        <v>2367</v>
      </c>
      <c r="O128" s="22" t="s">
        <v>2229</v>
      </c>
      <c r="P128" s="21">
        <v>83110</v>
      </c>
      <c r="Q128" s="21">
        <v>2</v>
      </c>
      <c r="R128" s="21">
        <v>2</v>
      </c>
      <c r="S128" s="21">
        <v>2</v>
      </c>
      <c r="T128" s="21" t="s">
        <v>281</v>
      </c>
      <c r="U128" s="21">
        <v>1</v>
      </c>
      <c r="V128" s="22">
        <v>1</v>
      </c>
      <c r="W128" s="24">
        <f>(4*3.14*(((Q128^1.6*R128^1.6+Q128^1.6*S128^1.6+R128^1.6+S128^1.6)/3)^(1/1.6)))*(1/V128)</f>
        <v>46.59880302207403</v>
      </c>
      <c r="X128" s="24">
        <f>3.14/6*Q128*R128*S128*U128</f>
        <v>4.1866666666666665</v>
      </c>
      <c r="Y128" s="22">
        <v>1</v>
      </c>
      <c r="Z128" s="24">
        <f>Y128*W128</f>
        <v>46.59880302207403</v>
      </c>
      <c r="AA128" s="24">
        <f>Y128*X128</f>
        <v>4.1866666666666665</v>
      </c>
      <c r="AB128" s="21"/>
      <c r="AC128" s="21"/>
      <c r="AD128" s="21"/>
      <c r="AF128" s="21" t="s">
        <v>247</v>
      </c>
      <c r="AH128" s="25"/>
      <c r="AI128" s="25"/>
      <c r="AJ128" s="21">
        <v>4.2</v>
      </c>
      <c r="AK128" s="21">
        <v>2</v>
      </c>
      <c r="AL128" s="22" t="s">
        <v>161</v>
      </c>
      <c r="AM128" s="22">
        <v>0.16</v>
      </c>
      <c r="AN128" s="22" t="s">
        <v>2257</v>
      </c>
      <c r="AO128" s="22" t="s">
        <v>2257</v>
      </c>
      <c r="AP128" s="22" t="s">
        <v>626</v>
      </c>
      <c r="AQ128" s="22" t="str">
        <f>IF(AND($AK128&lt;20,AJ128&lt;10000),"Nanophytoplankton","Microphytoplankton")</f>
        <v>Nanophytoplankton</v>
      </c>
      <c r="AR128" s="22">
        <v>0</v>
      </c>
      <c r="AS128" s="22">
        <v>0</v>
      </c>
      <c r="AT128" s="22">
        <v>0</v>
      </c>
      <c r="AU128" s="22">
        <v>0</v>
      </c>
      <c r="AV128" s="22">
        <v>0</v>
      </c>
      <c r="AW128" s="22">
        <v>0</v>
      </c>
      <c r="AX128" s="22">
        <v>0</v>
      </c>
      <c r="AY128" s="22">
        <v>1</v>
      </c>
      <c r="AZ128" s="22">
        <v>0</v>
      </c>
      <c r="BA128" s="22">
        <v>0</v>
      </c>
      <c r="BB128" s="22">
        <v>0</v>
      </c>
      <c r="BC128" s="22">
        <v>0</v>
      </c>
      <c r="BD128" s="22">
        <v>2</v>
      </c>
      <c r="BE128" s="22">
        <v>8</v>
      </c>
      <c r="BF128" s="22">
        <v>0</v>
      </c>
      <c r="BG128" s="22">
        <v>0</v>
      </c>
      <c r="BH128" s="22">
        <f t="shared" si="20"/>
        <v>8.9844940108942853E-2</v>
      </c>
    </row>
    <row r="129" spans="1:60" s="22" customFormat="1" ht="13">
      <c r="A129" s="21"/>
      <c r="E129" s="23"/>
      <c r="F129" s="23"/>
      <c r="G129" s="23"/>
      <c r="P129" s="21"/>
      <c r="Q129" s="21"/>
      <c r="R129" s="21"/>
      <c r="S129" s="21"/>
      <c r="T129" s="21"/>
      <c r="U129" s="21"/>
      <c r="W129" s="24"/>
      <c r="X129" s="24"/>
      <c r="Z129" s="24"/>
      <c r="AA129" s="24"/>
      <c r="AB129" s="21"/>
      <c r="AC129" s="21"/>
      <c r="AD129" s="21"/>
      <c r="AF129" s="21"/>
      <c r="AH129" s="25"/>
      <c r="AI129" s="25"/>
      <c r="AJ129" s="21"/>
      <c r="AK129" s="21"/>
    </row>
    <row r="130" spans="1:60" s="22" customFormat="1" ht="13">
      <c r="A130" s="21"/>
      <c r="E130" s="23"/>
      <c r="F130" s="23"/>
      <c r="G130" s="23"/>
      <c r="P130" s="21"/>
      <c r="Q130" s="21"/>
      <c r="R130" s="21"/>
      <c r="S130" s="21"/>
      <c r="T130" s="21"/>
      <c r="U130" s="21"/>
      <c r="W130" s="24"/>
      <c r="X130" s="24"/>
      <c r="Z130" s="24"/>
      <c r="AA130" s="24"/>
      <c r="AB130" s="21"/>
      <c r="AC130" s="21"/>
      <c r="AD130" s="21"/>
      <c r="AF130" s="21"/>
      <c r="AH130" s="25"/>
      <c r="AI130" s="25"/>
      <c r="AJ130" s="21"/>
      <c r="AK130" s="21"/>
    </row>
    <row r="131" spans="1:60" s="22" customFormat="1" ht="13">
      <c r="A131" s="22" t="s">
        <v>332</v>
      </c>
      <c r="B131" s="22" t="s">
        <v>149</v>
      </c>
      <c r="C131" s="22" t="s">
        <v>150</v>
      </c>
      <c r="D131" s="23" t="s">
        <v>151</v>
      </c>
      <c r="E131" s="22" t="s">
        <v>61</v>
      </c>
      <c r="F131" s="22" t="s">
        <v>152</v>
      </c>
      <c r="G131" s="22" t="s">
        <v>60</v>
      </c>
      <c r="H131" s="22" t="s">
        <v>326</v>
      </c>
      <c r="I131" s="22" t="s">
        <v>35</v>
      </c>
      <c r="J131" s="22" t="s">
        <v>333</v>
      </c>
      <c r="N131" s="22" t="s">
        <v>167</v>
      </c>
      <c r="O131" s="22" t="s">
        <v>158</v>
      </c>
      <c r="P131" s="22">
        <v>10410</v>
      </c>
      <c r="Q131" s="21">
        <v>12</v>
      </c>
      <c r="R131" s="21">
        <v>12</v>
      </c>
      <c r="S131" s="21">
        <v>12</v>
      </c>
      <c r="T131" s="22" t="s">
        <v>246</v>
      </c>
      <c r="U131" s="21">
        <v>1</v>
      </c>
      <c r="V131" s="21">
        <v>1</v>
      </c>
      <c r="W131" s="25">
        <f>4*3.14*(R131/2)*(Q131/2)/V131</f>
        <v>452.15999999999997</v>
      </c>
      <c r="X131" s="25">
        <f>(3.14/6*(Q131*S131*R131))*U131</f>
        <v>904.31999999999994</v>
      </c>
      <c r="Y131" s="21">
        <v>4</v>
      </c>
      <c r="Z131" s="24">
        <f>Y131*W131</f>
        <v>1808.6399999999999</v>
      </c>
      <c r="AA131" s="24">
        <f>Y131*X131</f>
        <v>3617.2799999999997</v>
      </c>
      <c r="AB131" s="21">
        <v>60</v>
      </c>
      <c r="AC131" s="21">
        <v>60</v>
      </c>
      <c r="AD131" s="21">
        <v>30</v>
      </c>
      <c r="AE131" s="22" t="s">
        <v>330</v>
      </c>
      <c r="AF131" s="21">
        <v>0.3</v>
      </c>
      <c r="AG131" s="22">
        <v>1</v>
      </c>
      <c r="AH131" s="25">
        <f>(AB131*AC131*2+AB131*AD131*2+AC131*AD131*2)/AG131</f>
        <v>14400</v>
      </c>
      <c r="AI131" s="25">
        <f>AB131*AC131*AD131*AF131</f>
        <v>32400</v>
      </c>
      <c r="AJ131" s="21">
        <v>16964</v>
      </c>
      <c r="AK131" s="21">
        <v>60</v>
      </c>
      <c r="AL131" s="22" t="s">
        <v>161</v>
      </c>
      <c r="AM131" s="22">
        <v>0.22</v>
      </c>
      <c r="AO131" s="22" t="s">
        <v>331</v>
      </c>
      <c r="AP131" s="22" t="s">
        <v>230</v>
      </c>
      <c r="AQ131" s="22" t="str">
        <f>IF(AND($AK131&lt;20,AJ131&lt;10000),"Nanophytoplankton","Microphytoplankton")</f>
        <v>Microphytoplankton</v>
      </c>
      <c r="AR131" s="22">
        <v>0</v>
      </c>
      <c r="AS131" s="22">
        <v>0</v>
      </c>
      <c r="AT131" s="22">
        <v>0</v>
      </c>
      <c r="AU131" s="22">
        <v>1</v>
      </c>
      <c r="AV131" s="22">
        <v>0</v>
      </c>
      <c r="AW131" s="22">
        <v>0</v>
      </c>
      <c r="AX131" s="22">
        <v>0</v>
      </c>
      <c r="AY131" s="22">
        <v>1</v>
      </c>
      <c r="AZ131" s="22">
        <v>1</v>
      </c>
      <c r="BA131" s="22">
        <v>3</v>
      </c>
      <c r="BB131" s="22">
        <v>3</v>
      </c>
      <c r="BC131" s="22">
        <v>2</v>
      </c>
      <c r="BD131" s="22">
        <v>1</v>
      </c>
      <c r="BE131" s="22">
        <v>0</v>
      </c>
      <c r="BH131" s="22">
        <f t="shared" si="20"/>
        <v>2</v>
      </c>
    </row>
    <row r="132" spans="1:60" s="22" customFormat="1" ht="13">
      <c r="A132" s="21" t="s">
        <v>339</v>
      </c>
      <c r="B132" s="22" t="s">
        <v>149</v>
      </c>
      <c r="C132" s="22" t="s">
        <v>150</v>
      </c>
      <c r="D132" s="23" t="s">
        <v>151</v>
      </c>
      <c r="E132" s="22" t="s">
        <v>61</v>
      </c>
      <c r="F132" s="22" t="s">
        <v>152</v>
      </c>
      <c r="G132" s="22" t="s">
        <v>60</v>
      </c>
      <c r="H132" s="22" t="s">
        <v>326</v>
      </c>
      <c r="I132" s="22" t="s">
        <v>35</v>
      </c>
      <c r="J132" s="22" t="s">
        <v>340</v>
      </c>
      <c r="N132" s="22" t="s">
        <v>341</v>
      </c>
      <c r="O132" s="22" t="s">
        <v>158</v>
      </c>
      <c r="P132" s="21">
        <v>10419</v>
      </c>
      <c r="Q132" s="21">
        <v>7.5</v>
      </c>
      <c r="R132" s="21">
        <v>7.5</v>
      </c>
      <c r="S132" s="21">
        <v>7.5</v>
      </c>
      <c r="T132" s="21" t="s">
        <v>281</v>
      </c>
      <c r="U132" s="21">
        <v>1</v>
      </c>
      <c r="V132" s="21">
        <v>1</v>
      </c>
      <c r="W132" s="24">
        <f>(4*3.14*(((Q132^1.6*R132^1.6+Q132^1.6*S132^1.6+R132^1.6+S132^1.6)/3)^(1/1.6)))*(1/V132)</f>
        <v>561.88729826443785</v>
      </c>
      <c r="X132" s="24">
        <f>3.14/6*Q132*R132*S132*U132</f>
        <v>220.78125</v>
      </c>
      <c r="Y132" s="21">
        <v>2</v>
      </c>
      <c r="Z132" s="24">
        <f>Y132*W132</f>
        <v>1123.7745965288757</v>
      </c>
      <c r="AA132" s="24">
        <f>Y132*X132</f>
        <v>441.5625</v>
      </c>
      <c r="AB132" s="21">
        <v>25</v>
      </c>
      <c r="AC132" s="21">
        <v>25</v>
      </c>
      <c r="AD132" s="21">
        <v>25</v>
      </c>
      <c r="AE132" s="22" t="s">
        <v>330</v>
      </c>
      <c r="AF132" s="21">
        <v>0.2</v>
      </c>
      <c r="AG132" s="22">
        <v>1</v>
      </c>
      <c r="AH132" s="25">
        <f>(AB132*AC132*2+AB132*AD132*2+AC132*AD132*2)/AG132</f>
        <v>3750</v>
      </c>
      <c r="AI132" s="25">
        <f>AB132*AC132*AD132*AF132</f>
        <v>3125</v>
      </c>
      <c r="AJ132" s="21">
        <v>441.5625</v>
      </c>
      <c r="AK132" s="21">
        <v>25</v>
      </c>
      <c r="AL132" s="22" t="s">
        <v>161</v>
      </c>
      <c r="AM132" s="22">
        <v>0.22</v>
      </c>
      <c r="AO132" s="22" t="s">
        <v>331</v>
      </c>
      <c r="AP132" s="22" t="s">
        <v>230</v>
      </c>
      <c r="AQ132" s="22" t="str">
        <f>IF(AND($AK132&lt;20,AJ132&lt;10000),"Nanophytoplankton","Microphytoplankton")</f>
        <v>Microphytoplankton</v>
      </c>
      <c r="AR132" s="22">
        <v>0</v>
      </c>
      <c r="AS132" s="22">
        <v>0</v>
      </c>
      <c r="AT132" s="22">
        <v>0</v>
      </c>
      <c r="AU132" s="22">
        <v>1</v>
      </c>
      <c r="AV132" s="22">
        <v>0</v>
      </c>
      <c r="AW132" s="22">
        <v>0</v>
      </c>
      <c r="AX132" s="22">
        <v>0</v>
      </c>
      <c r="AY132" s="22">
        <v>1</v>
      </c>
      <c r="BH132" s="22">
        <f t="shared" si="20"/>
        <v>0.39292799584890237</v>
      </c>
    </row>
    <row r="133" spans="1:60" s="22" customFormat="1" ht="13">
      <c r="A133" s="21" t="s">
        <v>1152</v>
      </c>
      <c r="B133" s="22" t="s">
        <v>663</v>
      </c>
      <c r="C133" s="23" t="s">
        <v>822</v>
      </c>
      <c r="D133" s="23" t="s">
        <v>965</v>
      </c>
      <c r="E133" s="22" t="s">
        <v>1153</v>
      </c>
      <c r="F133" s="23" t="s">
        <v>1154</v>
      </c>
      <c r="G133" s="22" t="s">
        <v>1155</v>
      </c>
      <c r="H133" s="22" t="s">
        <v>1156</v>
      </c>
      <c r="I133" s="22" t="s">
        <v>1157</v>
      </c>
      <c r="J133" s="22" t="s">
        <v>1158</v>
      </c>
      <c r="N133" s="22" t="s">
        <v>850</v>
      </c>
      <c r="O133" s="22" t="s">
        <v>962</v>
      </c>
      <c r="P133" s="21">
        <v>51200</v>
      </c>
      <c r="Q133" s="21">
        <v>4.5</v>
      </c>
      <c r="R133" s="21">
        <v>4.5</v>
      </c>
      <c r="S133" s="21">
        <v>3</v>
      </c>
      <c r="T133" s="22" t="s">
        <v>281</v>
      </c>
      <c r="U133" s="21">
        <v>1.1000000000000001</v>
      </c>
      <c r="V133" s="21">
        <v>1.1000000000000001</v>
      </c>
      <c r="W133" s="24">
        <f>(4*3.14*(((Q133^1.6*R133^1.6+Q133^1.6*S133^1.6+R133^1.6+S133^1.6)/3)^(1/1.6)))*(1/V133)</f>
        <v>159.72721905179992</v>
      </c>
      <c r="X133" s="24">
        <f>3.14/6*Q133*R133*S133*U133</f>
        <v>34.97175</v>
      </c>
      <c r="Y133" s="21">
        <v>1</v>
      </c>
      <c r="Z133" s="24">
        <f>Y133*W133</f>
        <v>159.72721905179992</v>
      </c>
      <c r="AA133" s="24">
        <f>Y133*X133</f>
        <v>34.97175</v>
      </c>
      <c r="AB133" s="21"/>
      <c r="AC133" s="21"/>
      <c r="AD133" s="21"/>
      <c r="AE133" s="21"/>
      <c r="AF133" s="21" t="s">
        <v>247</v>
      </c>
      <c r="AG133" s="21"/>
      <c r="AH133" s="24"/>
      <c r="AI133" s="24"/>
      <c r="AJ133" s="21">
        <v>35</v>
      </c>
      <c r="AK133" s="21">
        <v>4.5</v>
      </c>
      <c r="AL133" s="22" t="s">
        <v>161</v>
      </c>
      <c r="AM133" s="22">
        <v>0.11</v>
      </c>
      <c r="AO133" s="22" t="s">
        <v>1057</v>
      </c>
      <c r="AP133" s="22" t="s">
        <v>963</v>
      </c>
      <c r="AQ133" s="22" t="str">
        <f>IF(AND($AK133&lt;20,AJ133&lt;10000),"Nanophytoplankton","Microphytoplankton")</f>
        <v>Nanophytoplankton</v>
      </c>
      <c r="AR133" s="22">
        <v>1</v>
      </c>
      <c r="AS133" s="22">
        <v>1</v>
      </c>
      <c r="AT133" s="22">
        <v>0</v>
      </c>
      <c r="AU133" s="22">
        <v>0</v>
      </c>
      <c r="AV133" s="22">
        <v>0</v>
      </c>
      <c r="AW133" s="22">
        <v>0</v>
      </c>
      <c r="AX133" s="22">
        <v>1</v>
      </c>
      <c r="AY133" s="22">
        <v>0</v>
      </c>
      <c r="BH133" s="22">
        <f t="shared" si="20"/>
        <v>0.21894671557925627</v>
      </c>
    </row>
    <row r="134" spans="1:60" s="22" customFormat="1" ht="13">
      <c r="A134" s="21" t="s">
        <v>1150</v>
      </c>
      <c r="B134" s="22" t="s">
        <v>663</v>
      </c>
      <c r="C134" s="23" t="s">
        <v>822</v>
      </c>
      <c r="D134" s="23" t="s">
        <v>965</v>
      </c>
      <c r="E134" s="22" t="s">
        <v>991</v>
      </c>
      <c r="F134" s="23" t="s">
        <v>992</v>
      </c>
      <c r="G134" s="23" t="s">
        <v>1005</v>
      </c>
      <c r="H134" s="22" t="s">
        <v>1022</v>
      </c>
      <c r="I134" s="22" t="s">
        <v>1023</v>
      </c>
      <c r="J134" s="22" t="s">
        <v>340</v>
      </c>
      <c r="N134" s="22" t="s">
        <v>1151</v>
      </c>
      <c r="O134" s="22" t="s">
        <v>962</v>
      </c>
      <c r="P134" s="21">
        <v>51400</v>
      </c>
      <c r="Q134" s="21">
        <v>8</v>
      </c>
      <c r="R134" s="21">
        <v>8</v>
      </c>
      <c r="S134" s="21">
        <v>8</v>
      </c>
      <c r="T134" s="22" t="s">
        <v>281</v>
      </c>
      <c r="U134" s="21">
        <v>0.9</v>
      </c>
      <c r="V134" s="21">
        <v>0.9</v>
      </c>
      <c r="W134" s="24">
        <f>(4*3.14*(((Q134^1.6*R134^1.6+Q134^1.6*S134^1.6+R134^1.6+S134^1.6)/3)^(1/1.6)))*(1/V134)</f>
        <v>708.66809434877553</v>
      </c>
      <c r="X134" s="24">
        <f>3.14/6*Q134*R134*S134*U134</f>
        <v>241.15199999999999</v>
      </c>
      <c r="Y134" s="21">
        <v>1</v>
      </c>
      <c r="Z134" s="24">
        <f>Y134*W134</f>
        <v>708.66809434877553</v>
      </c>
      <c r="AA134" s="24">
        <f>Y134*X134</f>
        <v>241.15199999999999</v>
      </c>
      <c r="AB134" s="21"/>
      <c r="AC134" s="21"/>
      <c r="AD134" s="21"/>
      <c r="AE134" s="21"/>
      <c r="AF134" s="21"/>
      <c r="AG134" s="21"/>
      <c r="AH134" s="24"/>
      <c r="AI134" s="24"/>
      <c r="AJ134" s="21">
        <v>241.15</v>
      </c>
      <c r="AK134" s="21">
        <v>8</v>
      </c>
      <c r="AL134" s="22" t="s">
        <v>161</v>
      </c>
      <c r="AM134" s="22">
        <v>0.11</v>
      </c>
      <c r="AQ134" s="22" t="str">
        <f>IF(AND($AK134&lt;20,AJ134&lt;10000),"Nanophytoplankton","Microphytoplankton")</f>
        <v>Nanophytoplankton</v>
      </c>
      <c r="AR134" s="22">
        <v>1</v>
      </c>
      <c r="AS134" s="22">
        <v>1</v>
      </c>
      <c r="AT134" s="22">
        <v>0</v>
      </c>
      <c r="AU134" s="22">
        <v>0</v>
      </c>
      <c r="AV134" s="22">
        <v>0</v>
      </c>
      <c r="AW134" s="22">
        <v>0</v>
      </c>
      <c r="AX134" s="22">
        <v>1</v>
      </c>
      <c r="AY134" s="22">
        <v>0</v>
      </c>
      <c r="BH134" s="22">
        <f t="shared" ref="BH134:BH198" si="30">X134/W134</f>
        <v>0.34028906045446361</v>
      </c>
    </row>
    <row r="135" spans="1:60">
      <c r="BH135" s="22"/>
    </row>
    <row r="136" spans="1:60">
      <c r="BH136" s="22"/>
    </row>
    <row r="137" spans="1:60" s="22" customFormat="1" ht="13">
      <c r="A137" s="21" t="s">
        <v>1565</v>
      </c>
      <c r="B137" s="22" t="s">
        <v>663</v>
      </c>
      <c r="C137" s="23" t="s">
        <v>822</v>
      </c>
      <c r="D137" s="23" t="s">
        <v>965</v>
      </c>
      <c r="E137" s="22" t="s">
        <v>62</v>
      </c>
      <c r="F137" s="23" t="s">
        <v>1434</v>
      </c>
      <c r="G137" s="23" t="s">
        <v>1435</v>
      </c>
      <c r="H137" s="23" t="s">
        <v>1564</v>
      </c>
      <c r="I137" s="22" t="s">
        <v>1564</v>
      </c>
      <c r="J137" s="22" t="s">
        <v>1566</v>
      </c>
      <c r="N137" s="22" t="s">
        <v>694</v>
      </c>
      <c r="O137" s="22" t="s">
        <v>1430</v>
      </c>
      <c r="P137" s="21">
        <v>71010</v>
      </c>
      <c r="Q137" s="21">
        <v>35</v>
      </c>
      <c r="R137" s="21">
        <v>25</v>
      </c>
      <c r="S137" s="21">
        <v>7</v>
      </c>
      <c r="T137" s="22" t="s">
        <v>330</v>
      </c>
      <c r="U137" s="21">
        <v>0.75</v>
      </c>
      <c r="V137" s="21">
        <v>0.8</v>
      </c>
      <c r="W137" s="25">
        <f>(Q137*R137*2+Q137*S137*2+R137*S137*2)/V137</f>
        <v>3237.5</v>
      </c>
      <c r="X137" s="25">
        <f>Q137*R137*S137*U137</f>
        <v>4593.75</v>
      </c>
      <c r="Y137" s="22">
        <v>1</v>
      </c>
      <c r="Z137" s="24">
        <f>Y137*W137</f>
        <v>3237.5</v>
      </c>
      <c r="AA137" s="24">
        <f>Y137*X137</f>
        <v>4593.75</v>
      </c>
      <c r="AB137" s="21"/>
      <c r="AC137" s="21"/>
      <c r="AD137" s="21"/>
      <c r="AF137" s="21" t="s">
        <v>247</v>
      </c>
      <c r="AH137" s="25"/>
      <c r="AI137" s="25"/>
      <c r="AJ137" s="21">
        <v>4593.8</v>
      </c>
      <c r="AK137" s="21">
        <v>35</v>
      </c>
      <c r="AL137" s="22" t="s">
        <v>161</v>
      </c>
      <c r="AM137" s="22">
        <v>0.11</v>
      </c>
      <c r="AP137" s="22" t="s">
        <v>1432</v>
      </c>
      <c r="AQ137" s="22" t="str">
        <f>IF(AND($AK137&lt;20,AJ137&lt;10000),"Nanophytoplankton","Microphytoplankton")</f>
        <v>Microphytoplankton</v>
      </c>
      <c r="AR137" s="22">
        <v>1</v>
      </c>
      <c r="AS137" s="22">
        <v>0</v>
      </c>
      <c r="AT137" s="22">
        <v>1</v>
      </c>
      <c r="AU137" s="22">
        <v>0</v>
      </c>
      <c r="AV137" s="22">
        <v>0</v>
      </c>
      <c r="AW137" s="22">
        <v>0</v>
      </c>
      <c r="AX137" s="22">
        <v>1</v>
      </c>
      <c r="AY137" s="22">
        <v>0</v>
      </c>
      <c r="BH137" s="22">
        <f t="shared" si="30"/>
        <v>1.4189189189189189</v>
      </c>
    </row>
    <row r="138" spans="1:60">
      <c r="BH138" s="22"/>
    </row>
    <row r="139" spans="1:60" s="22" customFormat="1" ht="13">
      <c r="A139" s="21" t="s">
        <v>2420</v>
      </c>
      <c r="B139" s="22" t="s">
        <v>663</v>
      </c>
      <c r="C139" s="22" t="s">
        <v>2223</v>
      </c>
      <c r="D139" s="22" t="s">
        <v>2224</v>
      </c>
      <c r="E139" s="23" t="s">
        <v>63</v>
      </c>
      <c r="F139" s="23" t="s">
        <v>2225</v>
      </c>
      <c r="G139" s="23" t="s">
        <v>2226</v>
      </c>
      <c r="H139" s="38" t="s">
        <v>2231</v>
      </c>
      <c r="I139" s="22" t="s">
        <v>49</v>
      </c>
      <c r="J139" s="21" t="s">
        <v>2421</v>
      </c>
      <c r="K139" s="21"/>
      <c r="L139" s="21"/>
      <c r="N139" s="22" t="s">
        <v>2422</v>
      </c>
      <c r="O139" s="22" t="s">
        <v>2229</v>
      </c>
      <c r="P139" s="21">
        <v>82210</v>
      </c>
      <c r="Q139" s="21">
        <v>13</v>
      </c>
      <c r="R139" s="21">
        <v>13</v>
      </c>
      <c r="S139" s="21">
        <v>13</v>
      </c>
      <c r="T139" s="21" t="s">
        <v>281</v>
      </c>
      <c r="U139" s="21">
        <v>1</v>
      </c>
      <c r="V139" s="21">
        <v>1</v>
      </c>
      <c r="W139" s="24">
        <f>(4*3.14*(((Q139^1.6*R139^1.6+Q139^1.6*S139^1.6+R139^1.6+S139^1.6)/3)^(1/1.6)))*(1/V139)</f>
        <v>1664.4222732199528</v>
      </c>
      <c r="X139" s="24">
        <f>3.14/6*Q139*R139*S139*U139</f>
        <v>1149.7633333333333</v>
      </c>
      <c r="Y139" s="21">
        <v>16</v>
      </c>
      <c r="Z139" s="24">
        <f>Y139*W139</f>
        <v>26630.756371519245</v>
      </c>
      <c r="AA139" s="24">
        <f>Y139*X139</f>
        <v>18396.213333333333</v>
      </c>
      <c r="AB139" s="21">
        <v>39</v>
      </c>
      <c r="AC139" s="21">
        <v>39</v>
      </c>
      <c r="AD139" s="21">
        <v>39</v>
      </c>
      <c r="AE139" s="21" t="s">
        <v>246</v>
      </c>
      <c r="AF139" s="21">
        <v>0.8</v>
      </c>
      <c r="AG139" s="21">
        <v>1.5</v>
      </c>
      <c r="AH139" s="25">
        <f>4*3.14*(AC139/2)*(AB139/2)/AG139</f>
        <v>3183.9600000000005</v>
      </c>
      <c r="AI139" s="25">
        <f>(3.14/6*(AD139*AB139*AC139))*AF139</f>
        <v>24834.888000000003</v>
      </c>
      <c r="AJ139" s="21">
        <v>18405.2</v>
      </c>
      <c r="AK139" s="21">
        <v>50</v>
      </c>
      <c r="AL139" s="22" t="s">
        <v>161</v>
      </c>
      <c r="AM139" s="22">
        <v>0.16</v>
      </c>
      <c r="AN139" s="38" t="s">
        <v>1364</v>
      </c>
      <c r="AO139" s="38" t="s">
        <v>1364</v>
      </c>
      <c r="AP139" s="22" t="s">
        <v>162</v>
      </c>
      <c r="AQ139" s="22" t="str">
        <f>IF(AND($AK139&lt;20,AJ139&lt;10000),"Nanophytoplankton","Microphytoplankton")</f>
        <v>Microphytoplankton</v>
      </c>
      <c r="AR139" s="22">
        <v>0</v>
      </c>
      <c r="AS139" s="22">
        <v>0</v>
      </c>
      <c r="AT139" s="22">
        <v>0</v>
      </c>
      <c r="AU139" s="22">
        <v>1</v>
      </c>
      <c r="AV139" s="22">
        <v>0</v>
      </c>
      <c r="AW139" s="22">
        <v>0</v>
      </c>
      <c r="AX139" s="22">
        <v>0</v>
      </c>
      <c r="AY139" s="22">
        <v>1</v>
      </c>
      <c r="AZ139" s="22">
        <v>0</v>
      </c>
      <c r="BA139" s="22">
        <v>0</v>
      </c>
      <c r="BB139" s="22">
        <v>1</v>
      </c>
      <c r="BC139" s="22">
        <v>2</v>
      </c>
      <c r="BD139" s="22">
        <v>2</v>
      </c>
      <c r="BE139" s="22">
        <v>5</v>
      </c>
      <c r="BH139" s="22">
        <f t="shared" si="30"/>
        <v>0.69078824035983832</v>
      </c>
    </row>
    <row r="140" spans="1:60" s="22" customFormat="1" ht="13">
      <c r="A140" s="21" t="s">
        <v>654</v>
      </c>
      <c r="B140" s="22" t="s">
        <v>149</v>
      </c>
      <c r="C140" s="22" t="s">
        <v>150</v>
      </c>
      <c r="D140" s="23" t="s">
        <v>151</v>
      </c>
      <c r="E140" s="22" t="s">
        <v>61</v>
      </c>
      <c r="F140" s="22" t="s">
        <v>152</v>
      </c>
      <c r="G140" s="22" t="s">
        <v>60</v>
      </c>
      <c r="H140" s="22" t="s">
        <v>226</v>
      </c>
      <c r="I140" s="22" t="s">
        <v>651</v>
      </c>
      <c r="J140" s="22" t="s">
        <v>655</v>
      </c>
      <c r="K140" s="22" t="s">
        <v>184</v>
      </c>
      <c r="L140" s="22" t="s">
        <v>241</v>
      </c>
      <c r="N140" s="22" t="s">
        <v>656</v>
      </c>
      <c r="O140" s="22" t="s">
        <v>158</v>
      </c>
      <c r="P140" s="21">
        <v>11900</v>
      </c>
      <c r="Q140" s="21">
        <v>6</v>
      </c>
      <c r="R140" s="21">
        <v>3</v>
      </c>
      <c r="S140" s="21">
        <v>3</v>
      </c>
      <c r="T140" s="21" t="s">
        <v>281</v>
      </c>
      <c r="U140" s="21">
        <v>1</v>
      </c>
      <c r="V140" s="21">
        <v>1</v>
      </c>
      <c r="W140" s="24">
        <f>(4*3.14*(((Q140^1.6*R140^1.6+Q140^1.6*S140^1.6+R140^1.6+S140^1.6)/3)^(1/1.6)))*(1/V140)</f>
        <v>181.64401962190658</v>
      </c>
      <c r="X140" s="24">
        <f>3.14/6*Q140*R140*S140*U140</f>
        <v>28.259999999999994</v>
      </c>
      <c r="Y140" s="21">
        <v>64</v>
      </c>
      <c r="Z140" s="24">
        <f>Y140*W140</f>
        <v>11625.217255802021</v>
      </c>
      <c r="AA140" s="24">
        <f>Y140*X140</f>
        <v>1808.6399999999996</v>
      </c>
      <c r="AB140" s="21">
        <v>25</v>
      </c>
      <c r="AC140" s="21">
        <v>25</v>
      </c>
      <c r="AD140" s="21">
        <v>25</v>
      </c>
      <c r="AE140" s="22" t="s">
        <v>159</v>
      </c>
      <c r="AF140" s="21">
        <v>0.2</v>
      </c>
      <c r="AG140" s="22">
        <v>1</v>
      </c>
      <c r="AH140" s="24">
        <f>(4*3.14*(((AB140^1.6*AC140^1.6+AB140^1.6*AD140^1.6+AC140^1.6+AD140^1.6)/3)^(1/1.6)))*(1/AG140)</f>
        <v>6114.7951676261209</v>
      </c>
      <c r="AI140" s="24">
        <f>3.14/6*AB140*AC140*AD140*AF140</f>
        <v>1635.4166666666667</v>
      </c>
      <c r="AJ140" s="21">
        <v>33.5</v>
      </c>
      <c r="AK140" s="21">
        <v>4</v>
      </c>
      <c r="AL140" s="22" t="s">
        <v>161</v>
      </c>
      <c r="AM140" s="22">
        <v>0.22</v>
      </c>
      <c r="AN140" s="22" t="s">
        <v>331</v>
      </c>
      <c r="AO140" s="22" t="s">
        <v>331</v>
      </c>
      <c r="AP140" s="22" t="s">
        <v>230</v>
      </c>
      <c r="AQ140" s="22" t="str">
        <f>IF(AND($AK140&lt;20,AJ140&lt;10000),"Nanophytoplankton","Microphytoplankton")</f>
        <v>Nanophytoplankton</v>
      </c>
      <c r="AR140" s="22">
        <v>0</v>
      </c>
      <c r="AS140" s="22">
        <v>0</v>
      </c>
      <c r="AT140" s="22">
        <v>0</v>
      </c>
      <c r="AU140" s="22">
        <v>1</v>
      </c>
      <c r="AV140" s="22">
        <v>0</v>
      </c>
      <c r="AW140" s="22">
        <v>0</v>
      </c>
      <c r="AX140" s="22">
        <v>0</v>
      </c>
      <c r="AY140" s="22">
        <v>1</v>
      </c>
      <c r="BH140" s="22">
        <f t="shared" si="30"/>
        <v>0.15557902791858164</v>
      </c>
    </row>
    <row r="141" spans="1:60" s="22" customFormat="1" ht="13">
      <c r="A141" s="21" t="s">
        <v>2474</v>
      </c>
      <c r="B141" s="22" t="s">
        <v>663</v>
      </c>
      <c r="C141" s="22" t="s">
        <v>2223</v>
      </c>
      <c r="D141" s="22" t="s">
        <v>2224</v>
      </c>
      <c r="E141" s="23" t="s">
        <v>63</v>
      </c>
      <c r="F141" s="23" t="s">
        <v>2225</v>
      </c>
      <c r="G141" s="23" t="s">
        <v>2226</v>
      </c>
      <c r="H141" s="22" t="s">
        <v>2457</v>
      </c>
      <c r="I141" s="22" t="s">
        <v>2472</v>
      </c>
      <c r="J141" s="21" t="s">
        <v>2475</v>
      </c>
      <c r="K141" s="21"/>
      <c r="L141" s="21"/>
      <c r="N141" s="22" t="s">
        <v>2476</v>
      </c>
      <c r="O141" s="22" t="s">
        <v>2229</v>
      </c>
      <c r="P141" s="22">
        <v>83820</v>
      </c>
      <c r="Q141" s="21">
        <v>9</v>
      </c>
      <c r="R141" s="21">
        <v>4</v>
      </c>
      <c r="S141" s="21">
        <v>4</v>
      </c>
      <c r="T141" s="21" t="s">
        <v>281</v>
      </c>
      <c r="U141" s="21">
        <v>1</v>
      </c>
      <c r="V141" s="21">
        <v>1</v>
      </c>
      <c r="W141" s="24">
        <f>(4*3.14*(((Q141^1.6*R141^1.6+Q141^1.6*S141^1.6+R141^1.6+S141^1.6)/3)^(1/1.6)))*(1/V141)</f>
        <v>357.42713079118408</v>
      </c>
      <c r="X141" s="24">
        <f>3.14/6*Q141*R141*S141*U141</f>
        <v>75.36</v>
      </c>
      <c r="Y141" s="21">
        <v>4</v>
      </c>
      <c r="Z141" s="24">
        <f>Y141*W141</f>
        <v>1429.7085231647363</v>
      </c>
      <c r="AA141" s="24">
        <f>Y141*X141</f>
        <v>301.44</v>
      </c>
      <c r="AB141" s="21">
        <v>16</v>
      </c>
      <c r="AC141" s="21">
        <v>8</v>
      </c>
      <c r="AD141" s="21">
        <v>4</v>
      </c>
      <c r="AE141" s="22" t="s">
        <v>330</v>
      </c>
      <c r="AF141" s="22">
        <v>0.9</v>
      </c>
      <c r="AG141" s="22">
        <v>1.1000000000000001</v>
      </c>
      <c r="AH141" s="25">
        <f>(AB141*AC141*2+AB141*AD141*2+AC141*AD141*2)/AG141</f>
        <v>407.27272727272725</v>
      </c>
      <c r="AI141" s="25">
        <f>AB141*AC141*AD141*AF141</f>
        <v>460.8</v>
      </c>
      <c r="AJ141" s="21">
        <v>301.60000000000002</v>
      </c>
      <c r="AK141" s="21">
        <v>18</v>
      </c>
      <c r="AL141" s="22" t="s">
        <v>161</v>
      </c>
      <c r="AM141" s="22">
        <v>0.16</v>
      </c>
      <c r="AN141" s="38"/>
      <c r="AP141" s="22" t="s">
        <v>162</v>
      </c>
      <c r="AQ141" s="22" t="str">
        <f>IF(AND($AK141&lt;20,AJ141&lt;10000),"Nanophytoplankton","Microphytoplankton")</f>
        <v>Nanophytoplankton</v>
      </c>
      <c r="AR141" s="22">
        <v>0</v>
      </c>
      <c r="AS141" s="22">
        <v>0</v>
      </c>
      <c r="AT141" s="22">
        <v>0</v>
      </c>
      <c r="AU141" s="22">
        <v>1</v>
      </c>
      <c r="AV141" s="22">
        <v>0</v>
      </c>
      <c r="AW141" s="22">
        <v>0</v>
      </c>
      <c r="AX141" s="22">
        <v>0</v>
      </c>
      <c r="AY141" s="22">
        <v>1</v>
      </c>
      <c r="BH141" s="22">
        <f t="shared" si="30"/>
        <v>0.21084017834120933</v>
      </c>
    </row>
    <row r="142" spans="1:60">
      <c r="BH142" s="22"/>
    </row>
    <row r="143" spans="1:60">
      <c r="BH143" s="22"/>
    </row>
    <row r="144" spans="1:60" s="22" customFormat="1" ht="13">
      <c r="A144" s="21" t="s">
        <v>845</v>
      </c>
      <c r="B144" s="22" t="s">
        <v>663</v>
      </c>
      <c r="C144" s="23" t="s">
        <v>822</v>
      </c>
      <c r="D144" s="23" t="s">
        <v>823</v>
      </c>
      <c r="E144" s="23" t="s">
        <v>64</v>
      </c>
      <c r="F144" s="23" t="s">
        <v>824</v>
      </c>
      <c r="G144" s="22" t="s">
        <v>835</v>
      </c>
      <c r="H144" s="23" t="s">
        <v>836</v>
      </c>
      <c r="I144" s="22" t="s">
        <v>57</v>
      </c>
      <c r="J144" s="22" t="s">
        <v>846</v>
      </c>
      <c r="N144" s="22" t="s">
        <v>694</v>
      </c>
      <c r="O144" s="21" t="s">
        <v>829</v>
      </c>
      <c r="P144" s="22">
        <v>30105</v>
      </c>
      <c r="Q144" s="22">
        <f>(20+80)/2</f>
        <v>50</v>
      </c>
      <c r="R144" s="22">
        <f>(20+6)/2</f>
        <v>13</v>
      </c>
      <c r="S144" s="22">
        <f>(5+18)/2</f>
        <v>11.5</v>
      </c>
      <c r="T144" s="22" t="s">
        <v>159</v>
      </c>
      <c r="U144" s="21">
        <v>1</v>
      </c>
      <c r="V144" s="22">
        <v>1</v>
      </c>
      <c r="W144" s="24">
        <f>(4*3.14*(((Q144^1.6*R144^1.6+Q144^1.6*S144^1.6+R144^1.6+S144^1.6)/3)^(1/1.6)))*(1/V144)</f>
        <v>5984.7415090968807</v>
      </c>
      <c r="X144" s="24">
        <f>3.14/6*Q144*R144*S144*U144</f>
        <v>3911.9166666666661</v>
      </c>
      <c r="Y144" s="21">
        <v>1</v>
      </c>
      <c r="Z144" s="24">
        <f>Y144*W144</f>
        <v>5984.7415090968807</v>
      </c>
      <c r="AA144" s="24">
        <f>Y144*X144</f>
        <v>3911.9166666666661</v>
      </c>
      <c r="AB144" s="21"/>
      <c r="AC144" s="21"/>
      <c r="AD144" s="21"/>
      <c r="AE144" s="21"/>
      <c r="AF144" s="21" t="s">
        <v>247</v>
      </c>
      <c r="AG144" s="21"/>
      <c r="AH144" s="24"/>
      <c r="AI144" s="24"/>
      <c r="AJ144" s="21">
        <v>3911.9166666666661</v>
      </c>
      <c r="AK144" s="21">
        <v>50</v>
      </c>
      <c r="AL144" s="22" t="s">
        <v>847</v>
      </c>
      <c r="AM144" s="22">
        <v>0.11</v>
      </c>
      <c r="AN144" s="22" t="s">
        <v>713</v>
      </c>
      <c r="AO144" s="22" t="s">
        <v>713</v>
      </c>
      <c r="AP144" s="22" t="s">
        <v>673</v>
      </c>
      <c r="AQ144" s="22" t="str">
        <f>IF(AND($AK144&lt;20,AJ144&lt;10000),"Nanophytoplankton","Microphytoplankton")</f>
        <v>Microphytoplankton</v>
      </c>
      <c r="AR144" s="22">
        <v>1</v>
      </c>
      <c r="AS144" s="22">
        <v>1</v>
      </c>
      <c r="AT144" s="22">
        <v>0</v>
      </c>
      <c r="AU144" s="22">
        <v>0</v>
      </c>
      <c r="AV144" s="22">
        <v>0</v>
      </c>
      <c r="AW144" s="22">
        <v>0</v>
      </c>
      <c r="AX144" s="22">
        <v>1</v>
      </c>
      <c r="AY144" s="22">
        <v>0</v>
      </c>
      <c r="BH144" s="22">
        <f t="shared" si="30"/>
        <v>0.65364839245279094</v>
      </c>
    </row>
    <row r="145" spans="1:60" s="22" customFormat="1" ht="13">
      <c r="A145" s="21" t="s">
        <v>848</v>
      </c>
      <c r="B145" s="22" t="s">
        <v>663</v>
      </c>
      <c r="C145" s="23" t="s">
        <v>822</v>
      </c>
      <c r="D145" s="23" t="s">
        <v>823</v>
      </c>
      <c r="E145" s="23" t="s">
        <v>64</v>
      </c>
      <c r="F145" s="23" t="s">
        <v>824</v>
      </c>
      <c r="G145" s="22" t="s">
        <v>835</v>
      </c>
      <c r="H145" s="23" t="s">
        <v>836</v>
      </c>
      <c r="I145" s="22" t="s">
        <v>57</v>
      </c>
      <c r="J145" s="22" t="s">
        <v>849</v>
      </c>
      <c r="N145" s="22" t="s">
        <v>850</v>
      </c>
      <c r="O145" s="21" t="s">
        <v>829</v>
      </c>
      <c r="P145" s="21">
        <v>30110</v>
      </c>
      <c r="Q145" s="22">
        <v>39</v>
      </c>
      <c r="R145" s="22">
        <v>14</v>
      </c>
      <c r="S145" s="22">
        <v>9</v>
      </c>
      <c r="T145" s="22" t="s">
        <v>281</v>
      </c>
      <c r="U145" s="21">
        <v>1</v>
      </c>
      <c r="V145" s="22">
        <v>1</v>
      </c>
      <c r="W145" s="24">
        <f>(4*3.14*(((Q145^1.6*R145^1.6+Q145^1.6*S145^1.6+R145^1.6+S145^1.6)/3)^(1/1.6)))*(1/V145)</f>
        <v>4441.897280768475</v>
      </c>
      <c r="X145" s="24">
        <f>3.14/6*Q145*R145*S145*U145</f>
        <v>2571.66</v>
      </c>
      <c r="Y145" s="21">
        <v>1</v>
      </c>
      <c r="Z145" s="24">
        <f>Y145*W145</f>
        <v>4441.897280768475</v>
      </c>
      <c r="AA145" s="24">
        <f>Y145*X145</f>
        <v>2571.66</v>
      </c>
      <c r="AB145" s="21"/>
      <c r="AC145" s="21"/>
      <c r="AD145" s="21"/>
      <c r="AE145" s="21"/>
      <c r="AF145" s="21" t="s">
        <v>247</v>
      </c>
      <c r="AG145" s="21"/>
      <c r="AH145" s="24"/>
      <c r="AI145" s="24"/>
      <c r="AJ145" s="21">
        <v>2573</v>
      </c>
      <c r="AK145" s="21">
        <v>39</v>
      </c>
      <c r="AL145" s="22" t="s">
        <v>161</v>
      </c>
      <c r="AM145" s="22">
        <v>0.11</v>
      </c>
      <c r="AN145" s="22" t="s">
        <v>713</v>
      </c>
      <c r="AO145" s="22" t="s">
        <v>713</v>
      </c>
      <c r="AP145" s="22" t="s">
        <v>673</v>
      </c>
      <c r="AQ145" s="22" t="str">
        <f>IF(AND($AK145&lt;20,AJ145&lt;10000),"Nanophytoplankton","Microphytoplankton")</f>
        <v>Microphytoplankton</v>
      </c>
      <c r="AR145" s="22">
        <v>1</v>
      </c>
      <c r="AS145" s="22">
        <v>1</v>
      </c>
      <c r="AT145" s="22">
        <v>0</v>
      </c>
      <c r="AU145" s="22">
        <v>0</v>
      </c>
      <c r="AV145" s="22">
        <v>0</v>
      </c>
      <c r="AW145" s="22">
        <v>0</v>
      </c>
      <c r="AX145" s="22">
        <v>1</v>
      </c>
      <c r="AY145" s="22">
        <v>0</v>
      </c>
      <c r="BH145" s="22">
        <f t="shared" si="30"/>
        <v>0.57895530613330326</v>
      </c>
    </row>
    <row r="146" spans="1:60" s="22" customFormat="1" ht="14">
      <c r="A146" s="22" t="s">
        <v>223</v>
      </c>
      <c r="B146" s="22" t="s">
        <v>149</v>
      </c>
      <c r="C146" s="22" t="s">
        <v>150</v>
      </c>
      <c r="D146" s="23" t="s">
        <v>151</v>
      </c>
      <c r="E146" s="22" t="s">
        <v>61</v>
      </c>
      <c r="F146" s="22" t="s">
        <v>152</v>
      </c>
      <c r="G146" s="20" t="s">
        <v>164</v>
      </c>
      <c r="H146" s="26" t="s">
        <v>165</v>
      </c>
      <c r="I146" s="22" t="s">
        <v>33</v>
      </c>
      <c r="J146" s="22" t="s">
        <v>224</v>
      </c>
      <c r="N146" s="22" t="s">
        <v>225</v>
      </c>
      <c r="O146" s="22" t="s">
        <v>158</v>
      </c>
      <c r="P146" s="21">
        <v>10812</v>
      </c>
      <c r="Q146" s="22">
        <v>10</v>
      </c>
      <c r="R146" s="22">
        <v>3.5</v>
      </c>
      <c r="S146" s="22">
        <v>3.5</v>
      </c>
      <c r="T146" s="21" t="s">
        <v>159</v>
      </c>
      <c r="U146" s="21">
        <v>1</v>
      </c>
      <c r="V146" s="21">
        <v>1</v>
      </c>
      <c r="W146" s="24">
        <f>(4*3.14*(((Q146^1.6*R146^1.6+Q146^1.6*S146^1.6+R146^1.6+S146^1.6)/3)^(1/1.6)))*(1/V146)</f>
        <v>346.52497254489134</v>
      </c>
      <c r="X146" s="24">
        <f>3.14/6*Q146*R146*S146*U146</f>
        <v>64.108333333333334</v>
      </c>
      <c r="Y146" s="22">
        <f>AB146/10</f>
        <v>10</v>
      </c>
      <c r="Z146" s="24">
        <f>Y146*W146</f>
        <v>3465.2497254489135</v>
      </c>
      <c r="AA146" s="24">
        <f>Y146*X146</f>
        <v>641.08333333333337</v>
      </c>
      <c r="AB146" s="22">
        <v>100</v>
      </c>
      <c r="AC146" s="22">
        <v>10</v>
      </c>
      <c r="AD146" s="22">
        <v>3.5</v>
      </c>
      <c r="AE146" s="21" t="s">
        <v>160</v>
      </c>
      <c r="AF146" s="21">
        <v>1</v>
      </c>
      <c r="AG146" s="22">
        <v>1</v>
      </c>
      <c r="AH146" s="24">
        <f>3.14*AC146*AB146+2*3.14*(AD146/2)^2/AG146</f>
        <v>3159.2325000000001</v>
      </c>
      <c r="AI146" s="25">
        <f>(3.14/4*AC146^2*AB146)*AF146</f>
        <v>7850</v>
      </c>
      <c r="AJ146" s="21">
        <v>7850</v>
      </c>
      <c r="AK146" s="21">
        <v>100</v>
      </c>
      <c r="AL146" s="22" t="s">
        <v>161</v>
      </c>
      <c r="AM146" s="22">
        <v>0.22</v>
      </c>
      <c r="AN146" s="22" t="s">
        <v>168</v>
      </c>
      <c r="AO146" s="22" t="s">
        <v>168</v>
      </c>
      <c r="AP146" s="22" t="s">
        <v>169</v>
      </c>
      <c r="AQ146" s="22" t="str">
        <f>IF(AND($AK146&lt;20,AJ146&lt;10000),"Nanophytoplankton","Microphytoplankton")</f>
        <v>Microphytoplankton</v>
      </c>
      <c r="AR146" s="22">
        <v>0</v>
      </c>
      <c r="AS146" s="22">
        <v>0</v>
      </c>
      <c r="AT146" s="22">
        <v>0</v>
      </c>
      <c r="AU146" s="22">
        <v>1</v>
      </c>
      <c r="AV146" s="22">
        <v>1</v>
      </c>
      <c r="AW146" s="22">
        <v>0</v>
      </c>
      <c r="AX146" s="22">
        <v>0</v>
      </c>
      <c r="AY146" s="22">
        <v>1</v>
      </c>
      <c r="BH146" s="22">
        <f t="shared" si="30"/>
        <v>0.18500350165969143</v>
      </c>
    </row>
    <row r="147" spans="1:60">
      <c r="BH147" s="22"/>
    </row>
    <row r="148" spans="1:60">
      <c r="BH148" s="22"/>
    </row>
    <row r="149" spans="1:60" s="22" customFormat="1" ht="13">
      <c r="A149" s="22" t="s">
        <v>1575</v>
      </c>
      <c r="B149" s="22" t="s">
        <v>663</v>
      </c>
      <c r="C149" s="23" t="s">
        <v>822</v>
      </c>
      <c r="D149" s="23" t="s">
        <v>965</v>
      </c>
      <c r="E149" s="22" t="s">
        <v>62</v>
      </c>
      <c r="F149" s="22" t="s">
        <v>1424</v>
      </c>
      <c r="G149" s="23" t="s">
        <v>1553</v>
      </c>
      <c r="H149" s="23" t="s">
        <v>1554</v>
      </c>
      <c r="I149" s="22" t="s">
        <v>1572</v>
      </c>
      <c r="J149" s="22" t="s">
        <v>1576</v>
      </c>
      <c r="N149" s="22" t="s">
        <v>1577</v>
      </c>
      <c r="O149" s="22" t="s">
        <v>1430</v>
      </c>
      <c r="P149" s="21">
        <v>70302</v>
      </c>
      <c r="Q149" s="22">
        <v>10</v>
      </c>
      <c r="R149" s="22">
        <v>10</v>
      </c>
      <c r="S149" s="22">
        <v>3</v>
      </c>
      <c r="T149" s="21" t="s">
        <v>160</v>
      </c>
      <c r="U149" s="21">
        <v>1</v>
      </c>
      <c r="V149" s="22">
        <v>1</v>
      </c>
      <c r="W149" s="24">
        <f>3.14*R149*Q149+2*3.14*(S149/2)^2/V149</f>
        <v>328.13</v>
      </c>
      <c r="X149" s="25">
        <f>(3.14/4*R149^2*Q149)*U149</f>
        <v>785</v>
      </c>
      <c r="Y149" s="22">
        <v>1</v>
      </c>
      <c r="Z149" s="24">
        <f>Y149*W149</f>
        <v>328.13</v>
      </c>
      <c r="AA149" s="24">
        <f>Y149*X149</f>
        <v>785</v>
      </c>
      <c r="AF149" s="21" t="s">
        <v>247</v>
      </c>
      <c r="AH149" s="25"/>
      <c r="AI149" s="25"/>
      <c r="AJ149" s="21">
        <v>235.5</v>
      </c>
      <c r="AK149" s="21">
        <v>10</v>
      </c>
      <c r="AL149" s="22" t="s">
        <v>161</v>
      </c>
      <c r="AM149" s="22">
        <v>0.11</v>
      </c>
      <c r="AO149" s="22" t="s">
        <v>1431</v>
      </c>
      <c r="AP149" s="22" t="s">
        <v>1432</v>
      </c>
      <c r="AQ149" s="22" t="str">
        <f>IF(AND($AK149&lt;20,AJ149&lt;10000),"Nanophytoplankton","Microphytoplankton")</f>
        <v>Nanophytoplankton</v>
      </c>
      <c r="AR149" s="22">
        <v>0</v>
      </c>
      <c r="AS149" s="22">
        <v>0</v>
      </c>
      <c r="AT149" s="22">
        <v>0</v>
      </c>
      <c r="AU149" s="22">
        <v>0</v>
      </c>
      <c r="AV149" s="22">
        <v>0</v>
      </c>
      <c r="AW149" s="22">
        <v>0</v>
      </c>
      <c r="AX149" s="22">
        <v>1</v>
      </c>
      <c r="AY149" s="22">
        <v>0</v>
      </c>
      <c r="BH149" s="22">
        <f t="shared" si="30"/>
        <v>2.3923444976076556</v>
      </c>
    </row>
    <row r="150" spans="1:60">
      <c r="BH150" s="22"/>
    </row>
    <row r="151" spans="1:60" s="22" customFormat="1" ht="13">
      <c r="A151" s="21" t="s">
        <v>1622</v>
      </c>
      <c r="B151" s="22" t="s">
        <v>663</v>
      </c>
      <c r="C151" s="23" t="s">
        <v>822</v>
      </c>
      <c r="D151" s="23" t="s">
        <v>965</v>
      </c>
      <c r="E151" s="22" t="s">
        <v>62</v>
      </c>
      <c r="F151" s="22" t="s">
        <v>1424</v>
      </c>
      <c r="G151" s="23" t="s">
        <v>1553</v>
      </c>
      <c r="H151" s="23" t="s">
        <v>1554</v>
      </c>
      <c r="I151" s="22" t="s">
        <v>42</v>
      </c>
      <c r="J151" s="21" t="s">
        <v>1623</v>
      </c>
      <c r="K151" s="21"/>
      <c r="L151" s="21"/>
      <c r="N151" s="22" t="s">
        <v>413</v>
      </c>
      <c r="O151" s="22" t="s">
        <v>1430</v>
      </c>
      <c r="P151" s="21">
        <v>70290</v>
      </c>
      <c r="Q151" s="21">
        <v>20</v>
      </c>
      <c r="R151" s="21">
        <v>20</v>
      </c>
      <c r="S151" s="21">
        <v>5</v>
      </c>
      <c r="T151" s="21" t="s">
        <v>160</v>
      </c>
      <c r="U151" s="21">
        <v>1</v>
      </c>
      <c r="V151" s="22">
        <v>1</v>
      </c>
      <c r="W151" s="24">
        <f>3.14*R151*Q151+2*3.14*(S151/2)^2/V151</f>
        <v>1295.25</v>
      </c>
      <c r="X151" s="25">
        <f>(3.14/4*R151^2*Q151)*U151</f>
        <v>6280</v>
      </c>
      <c r="Y151" s="21">
        <v>1</v>
      </c>
      <c r="Z151" s="24">
        <f>Y151*W151</f>
        <v>1295.25</v>
      </c>
      <c r="AA151" s="24">
        <f>Y151*X151</f>
        <v>6280</v>
      </c>
      <c r="AB151" s="21"/>
      <c r="AC151" s="21"/>
      <c r="AD151" s="21"/>
      <c r="AE151" s="21"/>
      <c r="AF151" s="21" t="s">
        <v>247</v>
      </c>
      <c r="AG151" s="21"/>
      <c r="AH151" s="24"/>
      <c r="AI151" s="24"/>
      <c r="AJ151" s="21">
        <v>1570.8</v>
      </c>
      <c r="AK151" s="21">
        <v>20</v>
      </c>
      <c r="AL151" s="22" t="s">
        <v>161</v>
      </c>
      <c r="AM151" s="22">
        <v>0.11</v>
      </c>
      <c r="AO151" s="22" t="s">
        <v>1505</v>
      </c>
      <c r="AP151" s="22" t="s">
        <v>1432</v>
      </c>
      <c r="AQ151" s="22" t="str">
        <f>IF(AND($AK151&lt;20,AJ151&lt;10000),"Nanophytoplankton","Microphytoplankton")</f>
        <v>Microphytoplankton</v>
      </c>
      <c r="AR151" s="22">
        <v>0</v>
      </c>
      <c r="AS151" s="22">
        <v>0</v>
      </c>
      <c r="AT151" s="22">
        <v>0</v>
      </c>
      <c r="AU151" s="22">
        <v>0</v>
      </c>
      <c r="AV151" s="22">
        <v>0</v>
      </c>
      <c r="AW151" s="22">
        <v>0</v>
      </c>
      <c r="AX151" s="22">
        <v>1</v>
      </c>
      <c r="AY151" s="22">
        <v>0</v>
      </c>
      <c r="BH151" s="22">
        <f t="shared" si="30"/>
        <v>4.8484848484848486</v>
      </c>
    </row>
    <row r="152" spans="1:60" s="22" customFormat="1" ht="13">
      <c r="A152" s="21" t="s">
        <v>1627</v>
      </c>
      <c r="B152" s="22" t="s">
        <v>663</v>
      </c>
      <c r="C152" s="23" t="s">
        <v>822</v>
      </c>
      <c r="D152" s="23" t="s">
        <v>965</v>
      </c>
      <c r="E152" s="22" t="s">
        <v>62</v>
      </c>
      <c r="F152" s="22" t="s">
        <v>1424</v>
      </c>
      <c r="G152" s="23" t="s">
        <v>1553</v>
      </c>
      <c r="H152" s="23" t="s">
        <v>1554</v>
      </c>
      <c r="I152" s="22" t="s">
        <v>42</v>
      </c>
      <c r="J152" s="21" t="s">
        <v>1628</v>
      </c>
      <c r="K152" s="21"/>
      <c r="L152" s="21"/>
      <c r="N152" s="22" t="s">
        <v>1629</v>
      </c>
      <c r="O152" s="22" t="s">
        <v>1430</v>
      </c>
      <c r="P152" s="21">
        <v>70295</v>
      </c>
      <c r="Q152" s="22">
        <v>10</v>
      </c>
      <c r="R152" s="22">
        <v>10</v>
      </c>
      <c r="S152" s="22">
        <v>4</v>
      </c>
      <c r="T152" s="21" t="s">
        <v>160</v>
      </c>
      <c r="U152" s="21">
        <v>1</v>
      </c>
      <c r="V152" s="22">
        <v>1</v>
      </c>
      <c r="W152" s="24">
        <f>3.14*R152*Q152+2*3.14*(S152/2)^2/V152</f>
        <v>339.12</v>
      </c>
      <c r="X152" s="25">
        <f>(3.14/4*R152^2*Q152)*U152</f>
        <v>785</v>
      </c>
      <c r="Y152" s="22">
        <v>1</v>
      </c>
      <c r="Z152" s="24">
        <f>Y152*W152</f>
        <v>339.12</v>
      </c>
      <c r="AA152" s="24">
        <f>Y152*X152</f>
        <v>785</v>
      </c>
      <c r="AF152" s="21" t="s">
        <v>247</v>
      </c>
      <c r="AH152" s="25"/>
      <c r="AI152" s="25"/>
      <c r="AJ152" s="21">
        <v>314.2</v>
      </c>
      <c r="AK152" s="21">
        <v>10</v>
      </c>
      <c r="AL152" s="22" t="s">
        <v>161</v>
      </c>
      <c r="AM152" s="22">
        <v>0.11</v>
      </c>
      <c r="AO152" s="22" t="s">
        <v>1529</v>
      </c>
      <c r="AP152" s="22" t="s">
        <v>1432</v>
      </c>
      <c r="AQ152" s="22" t="str">
        <f>IF(AND($AK152&lt;20,AJ152&lt;10000),"Nanophytoplankton","Microphytoplankton")</f>
        <v>Nanophytoplankton</v>
      </c>
      <c r="AR152" s="22">
        <v>0</v>
      </c>
      <c r="AS152" s="22">
        <v>0</v>
      </c>
      <c r="AT152" s="22">
        <v>0</v>
      </c>
      <c r="AU152" s="22">
        <v>0</v>
      </c>
      <c r="AV152" s="22">
        <v>0</v>
      </c>
      <c r="AW152" s="22">
        <v>0</v>
      </c>
      <c r="AX152" s="22">
        <v>1</v>
      </c>
      <c r="AY152" s="22">
        <v>0</v>
      </c>
      <c r="AZ152" s="22">
        <v>0</v>
      </c>
      <c r="BA152" s="22">
        <v>0</v>
      </c>
      <c r="BB152" s="22">
        <v>0</v>
      </c>
      <c r="BC152" s="22">
        <v>3</v>
      </c>
      <c r="BD152" s="22">
        <v>5</v>
      </c>
      <c r="BE152" s="22">
        <v>2</v>
      </c>
      <c r="BH152" s="22">
        <f t="shared" si="30"/>
        <v>2.3148148148148149</v>
      </c>
    </row>
    <row r="153" spans="1:60" s="22" customFormat="1" ht="13">
      <c r="A153" s="22" t="s">
        <v>1637</v>
      </c>
      <c r="B153" s="22" t="s">
        <v>663</v>
      </c>
      <c r="C153" s="23" t="s">
        <v>822</v>
      </c>
      <c r="D153" s="23" t="s">
        <v>965</v>
      </c>
      <c r="E153" s="22" t="s">
        <v>62</v>
      </c>
      <c r="F153" s="22" t="s">
        <v>1424</v>
      </c>
      <c r="G153" s="23" t="s">
        <v>1553</v>
      </c>
      <c r="H153" s="23" t="s">
        <v>1554</v>
      </c>
      <c r="I153" s="22" t="s">
        <v>42</v>
      </c>
      <c r="J153" s="22" t="s">
        <v>1638</v>
      </c>
      <c r="N153" s="22" t="s">
        <v>1580</v>
      </c>
      <c r="O153" s="22" t="s">
        <v>1430</v>
      </c>
      <c r="P153" s="22">
        <v>70266</v>
      </c>
      <c r="Q153" s="22">
        <v>7</v>
      </c>
      <c r="R153" s="22">
        <v>7</v>
      </c>
      <c r="S153" s="22">
        <v>3</v>
      </c>
      <c r="T153" s="21" t="s">
        <v>160</v>
      </c>
      <c r="U153" s="21">
        <v>1</v>
      </c>
      <c r="V153" s="22">
        <v>1</v>
      </c>
      <c r="W153" s="24">
        <f>3.14*R153*Q153+2*3.14*(S153/2)^2/V153</f>
        <v>167.99</v>
      </c>
      <c r="X153" s="25">
        <f>(3.14/4*R153^2*Q153)*U153</f>
        <v>269.255</v>
      </c>
      <c r="Y153" s="22">
        <v>1</v>
      </c>
      <c r="Z153" s="24">
        <f>Y153*W153</f>
        <v>167.99</v>
      </c>
      <c r="AA153" s="24">
        <f>Y153*X153</f>
        <v>269.255</v>
      </c>
      <c r="AF153" s="21" t="s">
        <v>247</v>
      </c>
      <c r="AH153" s="25"/>
      <c r="AI153" s="25"/>
      <c r="AJ153" s="21">
        <v>115.4</v>
      </c>
      <c r="AK153" s="21">
        <v>7</v>
      </c>
      <c r="AL153" s="22" t="s">
        <v>161</v>
      </c>
      <c r="AM153" s="22">
        <v>0.11</v>
      </c>
      <c r="AO153" s="22" t="s">
        <v>1529</v>
      </c>
      <c r="AP153" s="22" t="s">
        <v>1432</v>
      </c>
      <c r="AQ153" s="22" t="str">
        <f>IF(AND($AK153&lt;20,AJ153&lt;10000),"Nanophytoplankton","Microphytoplankton")</f>
        <v>Nanophytoplankton</v>
      </c>
      <c r="AR153" s="22">
        <v>0</v>
      </c>
      <c r="AS153" s="22">
        <v>0</v>
      </c>
      <c r="AT153" s="22">
        <v>0</v>
      </c>
      <c r="AU153" s="22">
        <v>0</v>
      </c>
      <c r="AV153" s="22">
        <v>0</v>
      </c>
      <c r="AW153" s="22">
        <v>0</v>
      </c>
      <c r="AX153" s="22">
        <v>1</v>
      </c>
      <c r="AY153" s="22">
        <v>0</v>
      </c>
      <c r="AZ153" s="22">
        <v>4</v>
      </c>
      <c r="BA153" s="22">
        <v>4</v>
      </c>
      <c r="BB153" s="22">
        <v>1</v>
      </c>
      <c r="BC153" s="22">
        <v>1</v>
      </c>
      <c r="BD153" s="22">
        <v>0</v>
      </c>
      <c r="BE153" s="22">
        <v>0</v>
      </c>
      <c r="BH153" s="22">
        <f t="shared" si="30"/>
        <v>1.6028037383177569</v>
      </c>
    </row>
    <row r="154" spans="1:60">
      <c r="BH154" s="22"/>
    </row>
    <row r="155" spans="1:60">
      <c r="BH155" s="22"/>
    </row>
    <row r="156" spans="1:60" s="22" customFormat="1" ht="13">
      <c r="A156" s="22" t="s">
        <v>1648</v>
      </c>
      <c r="B156" s="22" t="s">
        <v>663</v>
      </c>
      <c r="C156" s="23" t="s">
        <v>822</v>
      </c>
      <c r="D156" s="23" t="s">
        <v>965</v>
      </c>
      <c r="E156" s="22" t="s">
        <v>62</v>
      </c>
      <c r="F156" s="22" t="s">
        <v>1424</v>
      </c>
      <c r="G156" s="23" t="s">
        <v>1553</v>
      </c>
      <c r="H156" s="23" t="s">
        <v>1554</v>
      </c>
      <c r="I156" s="22" t="s">
        <v>42</v>
      </c>
      <c r="J156" s="22" t="s">
        <v>1649</v>
      </c>
      <c r="N156" s="22" t="s">
        <v>1650</v>
      </c>
      <c r="O156" s="22" t="s">
        <v>1430</v>
      </c>
      <c r="P156" s="22">
        <v>70265</v>
      </c>
      <c r="Q156" s="22">
        <v>9</v>
      </c>
      <c r="R156" s="22">
        <v>9</v>
      </c>
      <c r="S156" s="22">
        <v>3.2</v>
      </c>
      <c r="T156" s="21" t="s">
        <v>160</v>
      </c>
      <c r="U156" s="21">
        <v>1</v>
      </c>
      <c r="V156" s="22">
        <v>1</v>
      </c>
      <c r="W156" s="24">
        <f>3.14*R156*Q156+2*3.14*(S156/2)^2/V156</f>
        <v>270.41680000000002</v>
      </c>
      <c r="X156" s="25">
        <f>(3.14/4*R156^2*Q156)*U156</f>
        <v>572.26499999999999</v>
      </c>
      <c r="Y156" s="22">
        <v>1</v>
      </c>
      <c r="Z156" s="24">
        <f>Y156*W156</f>
        <v>270.41680000000002</v>
      </c>
      <c r="AA156" s="24">
        <f>Y156*X156</f>
        <v>572.26499999999999</v>
      </c>
      <c r="AF156" s="21" t="s">
        <v>247</v>
      </c>
      <c r="AH156" s="25"/>
      <c r="AI156" s="25"/>
      <c r="AJ156" s="21">
        <v>203.6</v>
      </c>
      <c r="AK156" s="21">
        <v>9</v>
      </c>
      <c r="AL156" s="22" t="s">
        <v>161</v>
      </c>
      <c r="AM156" s="22">
        <v>0.11</v>
      </c>
      <c r="AO156" s="22" t="s">
        <v>1529</v>
      </c>
      <c r="AP156" s="22" t="s">
        <v>1432</v>
      </c>
      <c r="AQ156" s="22" t="str">
        <f>IF(AND($AK156&lt;20,AJ156&lt;10000),"Nanophytoplankton","Microphytoplankton")</f>
        <v>Nanophytoplankton</v>
      </c>
      <c r="AR156" s="22">
        <v>0</v>
      </c>
      <c r="AS156" s="22">
        <v>0</v>
      </c>
      <c r="AT156" s="22">
        <v>0</v>
      </c>
      <c r="AU156" s="22">
        <v>0</v>
      </c>
      <c r="AV156" s="22">
        <v>0</v>
      </c>
      <c r="AW156" s="22">
        <v>0</v>
      </c>
      <c r="AX156" s="22">
        <v>1</v>
      </c>
      <c r="AY156" s="22">
        <v>0</v>
      </c>
      <c r="AZ156" s="22">
        <v>4</v>
      </c>
      <c r="BA156" s="22">
        <v>4</v>
      </c>
      <c r="BB156" s="22">
        <v>1</v>
      </c>
      <c r="BC156" s="22">
        <v>1</v>
      </c>
      <c r="BD156" s="22">
        <v>0</v>
      </c>
      <c r="BE156" s="22">
        <v>0</v>
      </c>
      <c r="BH156" s="22">
        <f t="shared" si="30"/>
        <v>2.1162331630283324</v>
      </c>
    </row>
    <row r="157" spans="1:60" s="22" customFormat="1" ht="13">
      <c r="A157" s="22" t="s">
        <v>2712</v>
      </c>
      <c r="B157" s="22" t="s">
        <v>663</v>
      </c>
      <c r="C157" s="22" t="s">
        <v>2223</v>
      </c>
      <c r="D157" s="22" t="s">
        <v>2224</v>
      </c>
      <c r="E157" s="23" t="s">
        <v>63</v>
      </c>
      <c r="F157" s="23" t="s">
        <v>2225</v>
      </c>
      <c r="G157" s="23" t="s">
        <v>2226</v>
      </c>
      <c r="H157" s="22" t="s">
        <v>2253</v>
      </c>
      <c r="I157" s="22" t="s">
        <v>2692</v>
      </c>
      <c r="J157" s="22" t="s">
        <v>2175</v>
      </c>
      <c r="N157" s="22" t="s">
        <v>2713</v>
      </c>
      <c r="O157" s="22" t="s">
        <v>2229</v>
      </c>
      <c r="P157" s="21">
        <v>81799</v>
      </c>
      <c r="Q157" s="22">
        <v>55</v>
      </c>
      <c r="R157" s="22">
        <v>3</v>
      </c>
      <c r="S157" s="22">
        <v>3</v>
      </c>
      <c r="T157" s="22" t="s">
        <v>874</v>
      </c>
      <c r="U157" s="22">
        <v>1</v>
      </c>
      <c r="V157" s="22">
        <v>1</v>
      </c>
      <c r="W157" s="24">
        <f>(4*3.14*(((Q157^1.6*R157^1.6+Q157^1.6*S157^1.6+R157^1.6+S157^1.6)/3)^(1/1.6)))*(1/V157)</f>
        <v>1610.1336396916679</v>
      </c>
      <c r="X157" s="24">
        <f>3.14/12*R157*S157*Q157*U157</f>
        <v>129.52499999999998</v>
      </c>
      <c r="Y157" s="22">
        <v>1</v>
      </c>
      <c r="Z157" s="24">
        <f>Y157*W157</f>
        <v>1610.1336396916679</v>
      </c>
      <c r="AA157" s="24">
        <f>Y157*X157</f>
        <v>129.52499999999998</v>
      </c>
      <c r="AH157" s="25"/>
      <c r="AI157" s="25"/>
      <c r="AJ157" s="21">
        <v>129.52500000000001</v>
      </c>
      <c r="AK157" s="21">
        <v>55</v>
      </c>
      <c r="AL157" s="22" t="s">
        <v>161</v>
      </c>
      <c r="AM157" s="22">
        <v>0.16</v>
      </c>
      <c r="AN157" s="22" t="s">
        <v>2257</v>
      </c>
      <c r="AO157" s="22" t="s">
        <v>2257</v>
      </c>
      <c r="AP157" s="22" t="s">
        <v>162</v>
      </c>
      <c r="AQ157" s="22" t="str">
        <f>IF(AND($AK157&lt;20,AJ157&lt;10000),"Nanophytoplankton","Microphytoplankton")</f>
        <v>Microphytoplankton</v>
      </c>
      <c r="AR157" s="22">
        <v>0</v>
      </c>
      <c r="AS157" s="22">
        <v>0</v>
      </c>
      <c r="AT157" s="22">
        <v>0</v>
      </c>
      <c r="AU157" s="22">
        <v>0</v>
      </c>
      <c r="AV157" s="22">
        <v>0</v>
      </c>
      <c r="AW157" s="22">
        <v>0</v>
      </c>
      <c r="AX157" s="22">
        <v>0</v>
      </c>
      <c r="AY157" s="22">
        <v>1</v>
      </c>
      <c r="BH157" s="22">
        <f t="shared" si="30"/>
        <v>8.0443633253202099E-2</v>
      </c>
    </row>
    <row r="158" spans="1:60">
      <c r="BH158" s="22"/>
    </row>
    <row r="159" spans="1:60">
      <c r="BH159" s="22"/>
    </row>
    <row r="160" spans="1:60">
      <c r="BH160" s="22"/>
    </row>
    <row r="161" spans="1:60">
      <c r="BH161" s="22"/>
    </row>
    <row r="162" spans="1:60">
      <c r="BH162" s="22"/>
    </row>
    <row r="163" spans="1:60" s="22" customFormat="1" ht="13">
      <c r="A163" s="21" t="s">
        <v>1102</v>
      </c>
      <c r="B163" s="22" t="s">
        <v>663</v>
      </c>
      <c r="C163" s="23" t="s">
        <v>822</v>
      </c>
      <c r="D163" s="23" t="s">
        <v>965</v>
      </c>
      <c r="E163" s="22" t="s">
        <v>991</v>
      </c>
      <c r="F163" s="23" t="s">
        <v>992</v>
      </c>
      <c r="G163" s="23" t="s">
        <v>1005</v>
      </c>
      <c r="H163" s="22" t="s">
        <v>1022</v>
      </c>
      <c r="I163" s="22" t="s">
        <v>1054</v>
      </c>
      <c r="J163" s="22" t="s">
        <v>1103</v>
      </c>
      <c r="N163" s="22" t="s">
        <v>694</v>
      </c>
      <c r="O163" s="22" t="s">
        <v>962</v>
      </c>
      <c r="P163" s="21">
        <v>50340</v>
      </c>
      <c r="Q163" s="21">
        <v>35</v>
      </c>
      <c r="R163" s="21">
        <v>10</v>
      </c>
      <c r="S163" s="21">
        <v>10</v>
      </c>
      <c r="T163" s="22" t="s">
        <v>281</v>
      </c>
      <c r="U163" s="21">
        <v>0.5</v>
      </c>
      <c r="V163" s="21">
        <v>0.5</v>
      </c>
      <c r="W163" s="24">
        <f t="shared" ref="W163:W173" si="31">(4*3.14*(((Q163^1.6*R163^1.6+Q163^1.6*S163^1.6+R163^1.6+S163^1.6)/3)^(1/1.6)))*(1/V163)</f>
        <v>6838.2937516262309</v>
      </c>
      <c r="X163" s="24">
        <f>3.14/6*Q163*R163*S163*U163</f>
        <v>915.83333333333326</v>
      </c>
      <c r="Y163" s="21">
        <v>1</v>
      </c>
      <c r="Z163" s="24">
        <f t="shared" ref="Z163:Z173" si="32">Y163*W163</f>
        <v>6838.2937516262309</v>
      </c>
      <c r="AA163" s="24">
        <f t="shared" ref="AA163:AA173" si="33">Y163*X163</f>
        <v>915.83333333333326</v>
      </c>
      <c r="AB163" s="21"/>
      <c r="AC163" s="21"/>
      <c r="AD163" s="21"/>
      <c r="AE163" s="21"/>
      <c r="AF163" s="21" t="s">
        <v>247</v>
      </c>
      <c r="AG163" s="21"/>
      <c r="AH163" s="24"/>
      <c r="AI163" s="24"/>
      <c r="AJ163" s="21">
        <v>916.3</v>
      </c>
      <c r="AK163" s="21">
        <v>150</v>
      </c>
      <c r="AL163" s="22" t="s">
        <v>161</v>
      </c>
      <c r="AM163" s="22">
        <v>0.11</v>
      </c>
      <c r="AN163" s="22" t="s">
        <v>1057</v>
      </c>
      <c r="AO163" s="22" t="s">
        <v>1057</v>
      </c>
      <c r="AP163" s="22" t="s">
        <v>963</v>
      </c>
      <c r="AQ163" s="22" t="str">
        <f t="shared" ref="AQ163:AQ173" si="34">IF(AND($AK163&lt;20,AJ163&lt;10000),"Nanophytoplankton","Microphytoplankton")</f>
        <v>Microphytoplankton</v>
      </c>
      <c r="AR163" s="22">
        <v>1</v>
      </c>
      <c r="AS163" s="22">
        <v>1</v>
      </c>
      <c r="AT163" s="22">
        <v>0</v>
      </c>
      <c r="AU163" s="22">
        <v>1</v>
      </c>
      <c r="AV163" s="22">
        <v>0</v>
      </c>
      <c r="AW163" s="22">
        <v>0</v>
      </c>
      <c r="AX163" s="22">
        <v>1</v>
      </c>
      <c r="AY163" s="22">
        <v>0</v>
      </c>
      <c r="AZ163" s="22">
        <v>0</v>
      </c>
      <c r="BA163" s="22">
        <v>0</v>
      </c>
      <c r="BB163" s="22">
        <v>1</v>
      </c>
      <c r="BC163" s="22">
        <v>6</v>
      </c>
      <c r="BD163" s="22">
        <v>3</v>
      </c>
      <c r="BE163" s="22">
        <v>0</v>
      </c>
      <c r="BH163" s="22">
        <f t="shared" si="30"/>
        <v>0.13392717051904018</v>
      </c>
    </row>
    <row r="164" spans="1:60" s="22" customFormat="1" ht="13">
      <c r="A164" s="21" t="s">
        <v>1104</v>
      </c>
      <c r="B164" s="22" t="s">
        <v>663</v>
      </c>
      <c r="C164" s="23" t="s">
        <v>822</v>
      </c>
      <c r="D164" s="23" t="s">
        <v>965</v>
      </c>
      <c r="E164" s="22" t="s">
        <v>991</v>
      </c>
      <c r="F164" s="23" t="s">
        <v>992</v>
      </c>
      <c r="G164" s="23" t="s">
        <v>1005</v>
      </c>
      <c r="H164" s="22" t="s">
        <v>1022</v>
      </c>
      <c r="I164" s="22" t="s">
        <v>1054</v>
      </c>
      <c r="J164" s="22" t="s">
        <v>1103</v>
      </c>
      <c r="L164" s="22" t="s">
        <v>1062</v>
      </c>
      <c r="N164" s="22" t="s">
        <v>694</v>
      </c>
      <c r="O164" s="22" t="s">
        <v>962</v>
      </c>
      <c r="P164" s="21">
        <v>50341</v>
      </c>
      <c r="Q164" s="21">
        <v>35</v>
      </c>
      <c r="R164" s="21">
        <v>10</v>
      </c>
      <c r="S164" s="21">
        <v>10</v>
      </c>
      <c r="T164" s="22" t="s">
        <v>281</v>
      </c>
      <c r="U164" s="21">
        <v>0.5</v>
      </c>
      <c r="V164" s="21">
        <v>0.5</v>
      </c>
      <c r="W164" s="24">
        <f t="shared" si="31"/>
        <v>6838.2937516262309</v>
      </c>
      <c r="X164" s="24">
        <f>3.14/6*Q164*R164*S164*U164</f>
        <v>915.83333333333326</v>
      </c>
      <c r="Y164" s="21">
        <v>1</v>
      </c>
      <c r="Z164" s="24">
        <f t="shared" si="32"/>
        <v>6838.2937516262309</v>
      </c>
      <c r="AA164" s="24">
        <f t="shared" si="33"/>
        <v>915.83333333333326</v>
      </c>
      <c r="AB164" s="21"/>
      <c r="AC164" s="21"/>
      <c r="AD164" s="21"/>
      <c r="AE164" s="21"/>
      <c r="AF164" s="21" t="s">
        <v>247</v>
      </c>
      <c r="AG164" s="21"/>
      <c r="AH164" s="24"/>
      <c r="AI164" s="24"/>
      <c r="AJ164" s="21">
        <v>916.3</v>
      </c>
      <c r="AK164" s="21">
        <v>150</v>
      </c>
      <c r="AL164" s="22" t="s">
        <v>161</v>
      </c>
      <c r="AM164" s="22">
        <v>0.11</v>
      </c>
      <c r="AN164" s="22" t="s">
        <v>1057</v>
      </c>
      <c r="AO164" s="22" t="s">
        <v>1057</v>
      </c>
      <c r="AP164" s="22" t="s">
        <v>963</v>
      </c>
      <c r="AQ164" s="22" t="str">
        <f t="shared" si="34"/>
        <v>Microphytoplankton</v>
      </c>
      <c r="AR164" s="22">
        <v>1</v>
      </c>
      <c r="AS164" s="22">
        <v>1</v>
      </c>
      <c r="AT164" s="22">
        <v>0</v>
      </c>
      <c r="AU164" s="22">
        <v>1</v>
      </c>
      <c r="AV164" s="22">
        <v>0</v>
      </c>
      <c r="AW164" s="22">
        <v>0</v>
      </c>
      <c r="AX164" s="22">
        <v>1</v>
      </c>
      <c r="AY164" s="22">
        <v>0</v>
      </c>
      <c r="AZ164" s="22">
        <v>0</v>
      </c>
      <c r="BA164" s="22">
        <v>0</v>
      </c>
      <c r="BB164" s="22">
        <v>1</v>
      </c>
      <c r="BC164" s="22">
        <v>6</v>
      </c>
      <c r="BD164" s="22">
        <v>3</v>
      </c>
      <c r="BE164" s="22">
        <v>0</v>
      </c>
      <c r="BH164" s="22">
        <f t="shared" si="30"/>
        <v>0.13392717051904018</v>
      </c>
    </row>
    <row r="165" spans="1:60" s="22" customFormat="1" ht="13">
      <c r="A165" s="21" t="s">
        <v>1105</v>
      </c>
      <c r="B165" s="22" t="s">
        <v>663</v>
      </c>
      <c r="C165" s="23" t="s">
        <v>822</v>
      </c>
      <c r="D165" s="23" t="s">
        <v>965</v>
      </c>
      <c r="E165" s="22" t="s">
        <v>991</v>
      </c>
      <c r="F165" s="23" t="s">
        <v>992</v>
      </c>
      <c r="G165" s="23" t="s">
        <v>1005</v>
      </c>
      <c r="H165" s="22" t="s">
        <v>1022</v>
      </c>
      <c r="I165" s="22" t="s">
        <v>1054</v>
      </c>
      <c r="J165" s="22" t="s">
        <v>1103</v>
      </c>
      <c r="L165" s="22" t="s">
        <v>1065</v>
      </c>
      <c r="N165" s="22" t="s">
        <v>694</v>
      </c>
      <c r="O165" s="22" t="s">
        <v>962</v>
      </c>
      <c r="P165" s="21">
        <v>50342</v>
      </c>
      <c r="Q165" s="21">
        <v>35</v>
      </c>
      <c r="R165" s="21">
        <v>10</v>
      </c>
      <c r="S165" s="21">
        <v>10</v>
      </c>
      <c r="T165" s="22" t="s">
        <v>281</v>
      </c>
      <c r="U165" s="21">
        <v>0.5</v>
      </c>
      <c r="V165" s="21">
        <v>0.5</v>
      </c>
      <c r="W165" s="24">
        <f t="shared" si="31"/>
        <v>6838.2937516262309</v>
      </c>
      <c r="X165" s="24">
        <f>3.14/6*Q165*R165*S165*U165</f>
        <v>915.83333333333326</v>
      </c>
      <c r="Y165" s="21">
        <v>1</v>
      </c>
      <c r="Z165" s="24">
        <f t="shared" si="32"/>
        <v>6838.2937516262309</v>
      </c>
      <c r="AA165" s="24">
        <f t="shared" si="33"/>
        <v>915.83333333333326</v>
      </c>
      <c r="AB165" s="21"/>
      <c r="AC165" s="21"/>
      <c r="AD165" s="21"/>
      <c r="AE165" s="21"/>
      <c r="AF165" s="21" t="s">
        <v>247</v>
      </c>
      <c r="AG165" s="21"/>
      <c r="AH165" s="24"/>
      <c r="AI165" s="24"/>
      <c r="AJ165" s="21">
        <v>916.3</v>
      </c>
      <c r="AK165" s="21">
        <v>150</v>
      </c>
      <c r="AL165" s="22" t="s">
        <v>161</v>
      </c>
      <c r="AM165" s="22">
        <v>0.11</v>
      </c>
      <c r="AN165" s="22" t="s">
        <v>1057</v>
      </c>
      <c r="AO165" s="22" t="s">
        <v>1057</v>
      </c>
      <c r="AP165" s="22" t="s">
        <v>963</v>
      </c>
      <c r="AQ165" s="22" t="str">
        <f t="shared" si="34"/>
        <v>Microphytoplankton</v>
      </c>
      <c r="AR165" s="22">
        <v>1</v>
      </c>
      <c r="AS165" s="22">
        <v>1</v>
      </c>
      <c r="AT165" s="22">
        <v>0</v>
      </c>
      <c r="AU165" s="22">
        <v>1</v>
      </c>
      <c r="AV165" s="22">
        <v>0</v>
      </c>
      <c r="AW165" s="22">
        <v>0</v>
      </c>
      <c r="AX165" s="22">
        <v>1</v>
      </c>
      <c r="AY165" s="22">
        <v>0</v>
      </c>
      <c r="AZ165" s="22">
        <v>0</v>
      </c>
      <c r="BA165" s="22">
        <v>0</v>
      </c>
      <c r="BB165" s="22">
        <v>1</v>
      </c>
      <c r="BC165" s="22">
        <v>6</v>
      </c>
      <c r="BD165" s="22">
        <v>3</v>
      </c>
      <c r="BE165" s="22">
        <v>0</v>
      </c>
      <c r="BH165" s="22">
        <f t="shared" si="30"/>
        <v>0.13392717051904018</v>
      </c>
    </row>
    <row r="166" spans="1:60" s="22" customFormat="1" ht="13">
      <c r="A166" s="21" t="s">
        <v>1111</v>
      </c>
      <c r="B166" s="22" t="s">
        <v>663</v>
      </c>
      <c r="C166" s="23" t="s">
        <v>822</v>
      </c>
      <c r="D166" s="23" t="s">
        <v>965</v>
      </c>
      <c r="E166" s="22" t="s">
        <v>991</v>
      </c>
      <c r="F166" s="23" t="s">
        <v>992</v>
      </c>
      <c r="G166" s="23" t="s">
        <v>1005</v>
      </c>
      <c r="H166" s="22" t="s">
        <v>1022</v>
      </c>
      <c r="I166" s="22" t="s">
        <v>1054</v>
      </c>
      <c r="J166" s="22" t="s">
        <v>1112</v>
      </c>
      <c r="K166" s="22" t="s">
        <v>175</v>
      </c>
      <c r="L166" s="22" t="s">
        <v>1113</v>
      </c>
      <c r="N166" s="22" t="s">
        <v>1114</v>
      </c>
      <c r="O166" s="22" t="s">
        <v>962</v>
      </c>
      <c r="P166" s="21">
        <v>50350</v>
      </c>
      <c r="Q166" s="21">
        <v>38</v>
      </c>
      <c r="R166" s="21">
        <v>9</v>
      </c>
      <c r="S166" s="21">
        <v>9</v>
      </c>
      <c r="T166" s="22" t="s">
        <v>281</v>
      </c>
      <c r="U166" s="21">
        <v>0.5</v>
      </c>
      <c r="V166" s="21">
        <v>0.5</v>
      </c>
      <c r="W166" s="24">
        <f t="shared" si="31"/>
        <v>6680.2529844789524</v>
      </c>
      <c r="X166" s="24">
        <f t="shared" ref="X166:X173" si="35">3.14/6*Q166*R166*S166*U166</f>
        <v>805.41</v>
      </c>
      <c r="Y166" s="21">
        <v>1</v>
      </c>
      <c r="Z166" s="24">
        <f t="shared" si="32"/>
        <v>6680.2529844789524</v>
      </c>
      <c r="AA166" s="24">
        <f t="shared" si="33"/>
        <v>805.41</v>
      </c>
      <c r="AB166" s="21"/>
      <c r="AC166" s="21"/>
      <c r="AD166" s="21"/>
      <c r="AE166" s="21"/>
      <c r="AF166" s="21" t="s">
        <v>247</v>
      </c>
      <c r="AG166" s="21"/>
      <c r="AH166" s="24"/>
      <c r="AI166" s="24"/>
      <c r="AJ166" s="21">
        <v>805.8</v>
      </c>
      <c r="AK166" s="21">
        <v>150</v>
      </c>
      <c r="AL166" s="22" t="s">
        <v>161</v>
      </c>
      <c r="AM166" s="22">
        <v>0.11</v>
      </c>
      <c r="AN166" s="22" t="s">
        <v>1057</v>
      </c>
      <c r="AO166" s="22" t="s">
        <v>1057</v>
      </c>
      <c r="AP166" s="22" t="s">
        <v>963</v>
      </c>
      <c r="AQ166" s="22" t="str">
        <f t="shared" si="34"/>
        <v>Microphytoplankton</v>
      </c>
      <c r="AR166" s="22">
        <v>1</v>
      </c>
      <c r="AS166" s="22">
        <v>1</v>
      </c>
      <c r="AT166" s="22">
        <v>0</v>
      </c>
      <c r="AU166" s="22">
        <v>1</v>
      </c>
      <c r="AV166" s="22">
        <v>0</v>
      </c>
      <c r="AW166" s="22">
        <v>0</v>
      </c>
      <c r="AX166" s="22">
        <v>1</v>
      </c>
      <c r="AY166" s="22">
        <v>0</v>
      </c>
      <c r="BH166" s="22">
        <f t="shared" si="30"/>
        <v>0.12056579322239852</v>
      </c>
    </row>
    <row r="167" spans="1:60" s="22" customFormat="1" ht="13">
      <c r="A167" s="21" t="s">
        <v>1115</v>
      </c>
      <c r="B167" s="22" t="s">
        <v>663</v>
      </c>
      <c r="C167" s="23" t="s">
        <v>822</v>
      </c>
      <c r="D167" s="23" t="s">
        <v>965</v>
      </c>
      <c r="E167" s="22" t="s">
        <v>991</v>
      </c>
      <c r="F167" s="23" t="s">
        <v>992</v>
      </c>
      <c r="G167" s="23" t="s">
        <v>1005</v>
      </c>
      <c r="H167" s="22" t="s">
        <v>1022</v>
      </c>
      <c r="I167" s="22" t="s">
        <v>1054</v>
      </c>
      <c r="J167" s="22" t="s">
        <v>1112</v>
      </c>
      <c r="K167" s="22" t="s">
        <v>175</v>
      </c>
      <c r="L167" s="22" t="s">
        <v>1116</v>
      </c>
      <c r="N167" s="22" t="s">
        <v>1117</v>
      </c>
      <c r="O167" s="22" t="s">
        <v>962</v>
      </c>
      <c r="P167" s="21">
        <v>50351</v>
      </c>
      <c r="Q167" s="21">
        <v>38</v>
      </c>
      <c r="R167" s="21">
        <v>9</v>
      </c>
      <c r="S167" s="21">
        <v>9</v>
      </c>
      <c r="T167" s="22" t="s">
        <v>281</v>
      </c>
      <c r="U167" s="21">
        <v>0.5</v>
      </c>
      <c r="V167" s="21">
        <v>0.5</v>
      </c>
      <c r="W167" s="24">
        <f t="shared" si="31"/>
        <v>6680.2529844789524</v>
      </c>
      <c r="X167" s="24">
        <f t="shared" si="35"/>
        <v>805.41</v>
      </c>
      <c r="Y167" s="21">
        <v>1</v>
      </c>
      <c r="Z167" s="24">
        <f t="shared" si="32"/>
        <v>6680.2529844789524</v>
      </c>
      <c r="AA167" s="24">
        <f t="shared" si="33"/>
        <v>805.41</v>
      </c>
      <c r="AB167" s="21"/>
      <c r="AC167" s="21"/>
      <c r="AD167" s="21"/>
      <c r="AE167" s="21"/>
      <c r="AF167" s="21" t="s">
        <v>247</v>
      </c>
      <c r="AG167" s="21"/>
      <c r="AH167" s="24"/>
      <c r="AI167" s="24"/>
      <c r="AJ167" s="21">
        <v>805.8</v>
      </c>
      <c r="AK167" s="21">
        <v>150</v>
      </c>
      <c r="AL167" s="22" t="s">
        <v>161</v>
      </c>
      <c r="AM167" s="22">
        <v>0.11</v>
      </c>
      <c r="AN167" s="22" t="s">
        <v>1057</v>
      </c>
      <c r="AO167" s="22" t="s">
        <v>1057</v>
      </c>
      <c r="AP167" s="22" t="s">
        <v>963</v>
      </c>
      <c r="AQ167" s="22" t="str">
        <f t="shared" si="34"/>
        <v>Microphytoplankton</v>
      </c>
      <c r="AR167" s="22">
        <v>1</v>
      </c>
      <c r="AS167" s="22">
        <v>1</v>
      </c>
      <c r="AT167" s="22">
        <v>0</v>
      </c>
      <c r="AU167" s="22">
        <v>1</v>
      </c>
      <c r="AV167" s="22">
        <v>0</v>
      </c>
      <c r="AW167" s="22">
        <v>0</v>
      </c>
      <c r="AX167" s="22">
        <v>1</v>
      </c>
      <c r="AY167" s="22">
        <v>0</v>
      </c>
      <c r="BH167" s="22">
        <f t="shared" si="30"/>
        <v>0.12056579322239852</v>
      </c>
    </row>
    <row r="168" spans="1:60" s="22" customFormat="1" ht="13">
      <c r="A168" s="21" t="s">
        <v>1118</v>
      </c>
      <c r="B168" s="22" t="s">
        <v>663</v>
      </c>
      <c r="C168" s="23" t="s">
        <v>822</v>
      </c>
      <c r="D168" s="23" t="s">
        <v>965</v>
      </c>
      <c r="E168" s="22" t="s">
        <v>991</v>
      </c>
      <c r="F168" s="23" t="s">
        <v>992</v>
      </c>
      <c r="G168" s="23" t="s">
        <v>1005</v>
      </c>
      <c r="H168" s="22" t="s">
        <v>1022</v>
      </c>
      <c r="I168" s="22" t="s">
        <v>1054</v>
      </c>
      <c r="J168" s="22" t="s">
        <v>1112</v>
      </c>
      <c r="K168" s="22" t="s">
        <v>175</v>
      </c>
      <c r="L168" s="22" t="s">
        <v>1119</v>
      </c>
      <c r="N168" s="22" t="s">
        <v>1117</v>
      </c>
      <c r="O168" s="22" t="s">
        <v>962</v>
      </c>
      <c r="P168" s="21">
        <v>50352</v>
      </c>
      <c r="Q168" s="21">
        <v>38</v>
      </c>
      <c r="R168" s="21">
        <v>9</v>
      </c>
      <c r="S168" s="21">
        <v>9</v>
      </c>
      <c r="T168" s="22" t="s">
        <v>281</v>
      </c>
      <c r="U168" s="21">
        <v>0.5</v>
      </c>
      <c r="V168" s="21">
        <v>0.5</v>
      </c>
      <c r="W168" s="24">
        <f t="shared" si="31"/>
        <v>6680.2529844789524</v>
      </c>
      <c r="X168" s="24">
        <f t="shared" si="35"/>
        <v>805.41</v>
      </c>
      <c r="Y168" s="21">
        <v>1</v>
      </c>
      <c r="Z168" s="24">
        <f t="shared" si="32"/>
        <v>6680.2529844789524</v>
      </c>
      <c r="AA168" s="24">
        <f t="shared" si="33"/>
        <v>805.41</v>
      </c>
      <c r="AB168" s="21"/>
      <c r="AC168" s="21"/>
      <c r="AD168" s="21"/>
      <c r="AE168" s="21"/>
      <c r="AF168" s="21" t="s">
        <v>247</v>
      </c>
      <c r="AG168" s="21"/>
      <c r="AH168" s="24"/>
      <c r="AI168" s="24"/>
      <c r="AJ168" s="21">
        <v>805.8</v>
      </c>
      <c r="AK168" s="21">
        <v>150</v>
      </c>
      <c r="AL168" s="22" t="s">
        <v>161</v>
      </c>
      <c r="AM168" s="22">
        <v>0.11</v>
      </c>
      <c r="AN168" s="22" t="s">
        <v>1057</v>
      </c>
      <c r="AO168" s="22" t="s">
        <v>1057</v>
      </c>
      <c r="AP168" s="22" t="s">
        <v>963</v>
      </c>
      <c r="AQ168" s="22" t="str">
        <f t="shared" si="34"/>
        <v>Microphytoplankton</v>
      </c>
      <c r="AR168" s="22">
        <v>1</v>
      </c>
      <c r="AS168" s="22">
        <v>1</v>
      </c>
      <c r="AT168" s="22">
        <v>0</v>
      </c>
      <c r="AU168" s="22">
        <v>1</v>
      </c>
      <c r="AV168" s="22">
        <v>0</v>
      </c>
      <c r="AW168" s="22">
        <v>0</v>
      </c>
      <c r="AX168" s="22">
        <v>1</v>
      </c>
      <c r="AY168" s="22">
        <v>0</v>
      </c>
      <c r="BH168" s="22">
        <f t="shared" si="30"/>
        <v>0.12056579322239852</v>
      </c>
    </row>
    <row r="169" spans="1:60" s="22" customFormat="1" ht="13">
      <c r="A169" s="21" t="s">
        <v>1120</v>
      </c>
      <c r="B169" s="22" t="s">
        <v>663</v>
      </c>
      <c r="C169" s="23" t="s">
        <v>822</v>
      </c>
      <c r="D169" s="23" t="s">
        <v>965</v>
      </c>
      <c r="E169" s="22" t="s">
        <v>991</v>
      </c>
      <c r="F169" s="23" t="s">
        <v>992</v>
      </c>
      <c r="G169" s="23" t="s">
        <v>1005</v>
      </c>
      <c r="H169" s="22" t="s">
        <v>1022</v>
      </c>
      <c r="I169" s="22" t="s">
        <v>1054</v>
      </c>
      <c r="J169" s="22" t="s">
        <v>1112</v>
      </c>
      <c r="K169" s="22" t="s">
        <v>175</v>
      </c>
      <c r="L169" s="22" t="s">
        <v>1121</v>
      </c>
      <c r="N169" s="22" t="s">
        <v>1122</v>
      </c>
      <c r="O169" s="22" t="s">
        <v>962</v>
      </c>
      <c r="P169" s="21">
        <v>50360</v>
      </c>
      <c r="Q169" s="21">
        <v>38</v>
      </c>
      <c r="R169" s="21">
        <v>9</v>
      </c>
      <c r="S169" s="21">
        <v>9</v>
      </c>
      <c r="T169" s="22" t="s">
        <v>281</v>
      </c>
      <c r="U169" s="21">
        <v>0.5</v>
      </c>
      <c r="V169" s="21">
        <v>0.5</v>
      </c>
      <c r="W169" s="24">
        <f t="shared" si="31"/>
        <v>6680.2529844789524</v>
      </c>
      <c r="X169" s="24">
        <f t="shared" si="35"/>
        <v>805.41</v>
      </c>
      <c r="Y169" s="21">
        <v>1</v>
      </c>
      <c r="Z169" s="24">
        <f t="shared" si="32"/>
        <v>6680.2529844789524</v>
      </c>
      <c r="AA169" s="24">
        <f t="shared" si="33"/>
        <v>805.41</v>
      </c>
      <c r="AB169" s="21"/>
      <c r="AC169" s="21"/>
      <c r="AD169" s="21"/>
      <c r="AE169" s="21"/>
      <c r="AF169" s="21" t="s">
        <v>247</v>
      </c>
      <c r="AG169" s="21"/>
      <c r="AH169" s="24"/>
      <c r="AI169" s="24"/>
      <c r="AJ169" s="21">
        <v>805.8</v>
      </c>
      <c r="AK169" s="21">
        <v>150</v>
      </c>
      <c r="AL169" s="22" t="s">
        <v>161</v>
      </c>
      <c r="AM169" s="22">
        <v>0.11</v>
      </c>
      <c r="AN169" s="22" t="s">
        <v>1057</v>
      </c>
      <c r="AO169" s="22" t="s">
        <v>1057</v>
      </c>
      <c r="AP169" s="22" t="s">
        <v>963</v>
      </c>
      <c r="AQ169" s="22" t="str">
        <f t="shared" si="34"/>
        <v>Microphytoplankton</v>
      </c>
      <c r="AR169" s="22">
        <v>1</v>
      </c>
      <c r="AS169" s="22">
        <v>1</v>
      </c>
      <c r="AT169" s="22">
        <v>0</v>
      </c>
      <c r="AU169" s="22">
        <v>1</v>
      </c>
      <c r="AV169" s="22">
        <v>0</v>
      </c>
      <c r="AW169" s="22">
        <v>0</v>
      </c>
      <c r="AX169" s="22">
        <v>1</v>
      </c>
      <c r="AY169" s="22">
        <v>0</v>
      </c>
      <c r="BH169" s="22">
        <f t="shared" si="30"/>
        <v>0.12056579322239852</v>
      </c>
    </row>
    <row r="170" spans="1:60" s="22" customFormat="1" ht="13">
      <c r="A170" s="21" t="s">
        <v>1123</v>
      </c>
      <c r="B170" s="22" t="s">
        <v>663</v>
      </c>
      <c r="C170" s="23" t="s">
        <v>822</v>
      </c>
      <c r="D170" s="23" t="s">
        <v>965</v>
      </c>
      <c r="E170" s="22" t="s">
        <v>991</v>
      </c>
      <c r="F170" s="23" t="s">
        <v>992</v>
      </c>
      <c r="G170" s="23" t="s">
        <v>1005</v>
      </c>
      <c r="H170" s="22" t="s">
        <v>1022</v>
      </c>
      <c r="I170" s="22" t="s">
        <v>1054</v>
      </c>
      <c r="J170" s="22" t="s">
        <v>1112</v>
      </c>
      <c r="K170" s="22" t="s">
        <v>175</v>
      </c>
      <c r="L170" s="22" t="s">
        <v>1124</v>
      </c>
      <c r="N170" s="22" t="s">
        <v>1125</v>
      </c>
      <c r="O170" s="22" t="s">
        <v>962</v>
      </c>
      <c r="P170" s="21">
        <v>50361</v>
      </c>
      <c r="Q170" s="21">
        <v>38</v>
      </c>
      <c r="R170" s="21">
        <v>9</v>
      </c>
      <c r="S170" s="21">
        <v>9</v>
      </c>
      <c r="T170" s="22" t="s">
        <v>281</v>
      </c>
      <c r="U170" s="21">
        <v>0.5</v>
      </c>
      <c r="V170" s="21">
        <v>0.5</v>
      </c>
      <c r="W170" s="24">
        <f t="shared" si="31"/>
        <v>6680.2529844789524</v>
      </c>
      <c r="X170" s="24">
        <f t="shared" si="35"/>
        <v>805.41</v>
      </c>
      <c r="Y170" s="21">
        <v>1</v>
      </c>
      <c r="Z170" s="24">
        <f t="shared" si="32"/>
        <v>6680.2529844789524</v>
      </c>
      <c r="AA170" s="24">
        <f t="shared" si="33"/>
        <v>805.41</v>
      </c>
      <c r="AB170" s="21"/>
      <c r="AC170" s="21"/>
      <c r="AD170" s="21"/>
      <c r="AE170" s="21"/>
      <c r="AF170" s="21" t="s">
        <v>247</v>
      </c>
      <c r="AG170" s="21"/>
      <c r="AH170" s="24"/>
      <c r="AI170" s="24"/>
      <c r="AJ170" s="21">
        <v>805.8</v>
      </c>
      <c r="AK170" s="21">
        <v>150</v>
      </c>
      <c r="AL170" s="22" t="s">
        <v>161</v>
      </c>
      <c r="AM170" s="22">
        <v>0.11</v>
      </c>
      <c r="AN170" s="22" t="s">
        <v>1057</v>
      </c>
      <c r="AO170" s="22" t="s">
        <v>1057</v>
      </c>
      <c r="AP170" s="22" t="s">
        <v>963</v>
      </c>
      <c r="AQ170" s="22" t="str">
        <f t="shared" si="34"/>
        <v>Microphytoplankton</v>
      </c>
      <c r="AR170" s="22">
        <v>1</v>
      </c>
      <c r="AS170" s="22">
        <v>1</v>
      </c>
      <c r="AT170" s="22">
        <v>0</v>
      </c>
      <c r="AU170" s="22">
        <v>1</v>
      </c>
      <c r="AV170" s="22">
        <v>0</v>
      </c>
      <c r="AW170" s="22">
        <v>0</v>
      </c>
      <c r="AX170" s="22">
        <v>1</v>
      </c>
      <c r="AY170" s="22">
        <v>0</v>
      </c>
      <c r="BH170" s="22">
        <f t="shared" si="30"/>
        <v>0.12056579322239852</v>
      </c>
    </row>
    <row r="171" spans="1:60" s="22" customFormat="1" ht="13">
      <c r="A171" s="21" t="s">
        <v>1126</v>
      </c>
      <c r="B171" s="22" t="s">
        <v>663</v>
      </c>
      <c r="C171" s="23" t="s">
        <v>822</v>
      </c>
      <c r="D171" s="23" t="s">
        <v>965</v>
      </c>
      <c r="E171" s="22" t="s">
        <v>991</v>
      </c>
      <c r="F171" s="23" t="s">
        <v>992</v>
      </c>
      <c r="G171" s="23" t="s">
        <v>1005</v>
      </c>
      <c r="H171" s="22" t="s">
        <v>1022</v>
      </c>
      <c r="I171" s="22" t="s">
        <v>1054</v>
      </c>
      <c r="J171" s="22" t="s">
        <v>1112</v>
      </c>
      <c r="K171" s="22" t="s">
        <v>175</v>
      </c>
      <c r="L171" s="22" t="s">
        <v>1127</v>
      </c>
      <c r="N171" s="22" t="s">
        <v>1125</v>
      </c>
      <c r="O171" s="22" t="s">
        <v>962</v>
      </c>
      <c r="P171" s="21">
        <v>50362</v>
      </c>
      <c r="Q171" s="21">
        <v>38</v>
      </c>
      <c r="R171" s="21">
        <v>9</v>
      </c>
      <c r="S171" s="21">
        <v>9</v>
      </c>
      <c r="T171" s="22" t="s">
        <v>281</v>
      </c>
      <c r="U171" s="21">
        <v>0.5</v>
      </c>
      <c r="V171" s="21">
        <v>0.5</v>
      </c>
      <c r="W171" s="24">
        <f t="shared" si="31"/>
        <v>6680.2529844789524</v>
      </c>
      <c r="X171" s="24">
        <f t="shared" si="35"/>
        <v>805.41</v>
      </c>
      <c r="Y171" s="21">
        <v>1</v>
      </c>
      <c r="Z171" s="24">
        <f t="shared" si="32"/>
        <v>6680.2529844789524</v>
      </c>
      <c r="AA171" s="24">
        <f t="shared" si="33"/>
        <v>805.41</v>
      </c>
      <c r="AB171" s="21"/>
      <c r="AC171" s="21"/>
      <c r="AD171" s="21"/>
      <c r="AE171" s="21"/>
      <c r="AF171" s="21" t="s">
        <v>247</v>
      </c>
      <c r="AG171" s="21"/>
      <c r="AH171" s="24"/>
      <c r="AI171" s="24"/>
      <c r="AJ171" s="21">
        <v>805.8</v>
      </c>
      <c r="AK171" s="21">
        <v>150</v>
      </c>
      <c r="AL171" s="22" t="s">
        <v>161</v>
      </c>
      <c r="AM171" s="22">
        <v>0.11</v>
      </c>
      <c r="AN171" s="22" t="s">
        <v>1057</v>
      </c>
      <c r="AO171" s="22" t="s">
        <v>1057</v>
      </c>
      <c r="AP171" s="22" t="s">
        <v>963</v>
      </c>
      <c r="AQ171" s="22" t="str">
        <f t="shared" si="34"/>
        <v>Microphytoplankton</v>
      </c>
      <c r="AR171" s="22">
        <v>1</v>
      </c>
      <c r="AS171" s="22">
        <v>1</v>
      </c>
      <c r="AT171" s="22">
        <v>0</v>
      </c>
      <c r="AU171" s="22">
        <v>1</v>
      </c>
      <c r="AV171" s="22">
        <v>0</v>
      </c>
      <c r="AW171" s="22">
        <v>0</v>
      </c>
      <c r="AX171" s="22">
        <v>1</v>
      </c>
      <c r="AY171" s="22">
        <v>0</v>
      </c>
      <c r="BH171" s="22">
        <f t="shared" si="30"/>
        <v>0.12056579322239852</v>
      </c>
    </row>
    <row r="172" spans="1:60" s="22" customFormat="1" ht="14">
      <c r="A172" s="21" t="s">
        <v>180</v>
      </c>
      <c r="B172" s="22" t="s">
        <v>149</v>
      </c>
      <c r="C172" s="22" t="s">
        <v>150</v>
      </c>
      <c r="D172" s="23" t="s">
        <v>151</v>
      </c>
      <c r="E172" s="22" t="s">
        <v>61</v>
      </c>
      <c r="F172" s="22" t="s">
        <v>152</v>
      </c>
      <c r="G172" s="20" t="s">
        <v>164</v>
      </c>
      <c r="H172" s="26" t="s">
        <v>165</v>
      </c>
      <c r="I172" s="22" t="s">
        <v>32</v>
      </c>
      <c r="J172" s="21" t="s">
        <v>181</v>
      </c>
      <c r="K172" s="21"/>
      <c r="L172" s="21"/>
      <c r="N172" s="22" t="s">
        <v>182</v>
      </c>
      <c r="O172" s="22" t="s">
        <v>158</v>
      </c>
      <c r="P172" s="21">
        <v>10730</v>
      </c>
      <c r="Q172" s="21">
        <v>8</v>
      </c>
      <c r="R172" s="21">
        <v>8</v>
      </c>
      <c r="S172" s="21">
        <v>8</v>
      </c>
      <c r="T172" s="21" t="s">
        <v>159</v>
      </c>
      <c r="U172" s="21">
        <v>1</v>
      </c>
      <c r="V172" s="21">
        <v>1</v>
      </c>
      <c r="W172" s="24">
        <f t="shared" si="31"/>
        <v>637.80128491389792</v>
      </c>
      <c r="X172" s="24">
        <f t="shared" si="35"/>
        <v>267.94666666666666</v>
      </c>
      <c r="Y172" s="21">
        <v>10</v>
      </c>
      <c r="Z172" s="24">
        <f t="shared" si="32"/>
        <v>6378.0128491389787</v>
      </c>
      <c r="AA172" s="24">
        <f t="shared" si="33"/>
        <v>2679.4666666666667</v>
      </c>
      <c r="AB172" s="21">
        <v>80</v>
      </c>
      <c r="AC172" s="21">
        <v>8</v>
      </c>
      <c r="AD172" s="21">
        <v>8</v>
      </c>
      <c r="AE172" s="21" t="s">
        <v>160</v>
      </c>
      <c r="AF172" s="21">
        <v>1</v>
      </c>
      <c r="AG172" s="21">
        <v>1</v>
      </c>
      <c r="AH172" s="24">
        <f>3.14*AC172*AB172+2*3.14*(AD172/2)^2/AG172</f>
        <v>2110.08</v>
      </c>
      <c r="AI172" s="25">
        <f>(3.14/4*AC172^2*AB172)*AF172</f>
        <v>4019.2000000000003</v>
      </c>
      <c r="AJ172" s="21">
        <v>4021.2</v>
      </c>
      <c r="AK172" s="21">
        <v>100</v>
      </c>
      <c r="AL172" s="22" t="s">
        <v>161</v>
      </c>
      <c r="AM172" s="22">
        <v>0.22</v>
      </c>
      <c r="AO172" s="22" t="s">
        <v>168</v>
      </c>
      <c r="AP172" s="22" t="s">
        <v>169</v>
      </c>
      <c r="AQ172" s="22" t="str">
        <f t="shared" si="34"/>
        <v>Microphytoplankton</v>
      </c>
      <c r="AR172" s="22">
        <v>0</v>
      </c>
      <c r="AS172" s="22">
        <v>0</v>
      </c>
      <c r="AT172" s="22">
        <v>0</v>
      </c>
      <c r="AU172" s="22">
        <v>1</v>
      </c>
      <c r="AV172" s="22">
        <v>1</v>
      </c>
      <c r="AW172" s="22">
        <v>0</v>
      </c>
      <c r="AX172" s="22">
        <v>0</v>
      </c>
      <c r="AY172" s="22">
        <v>1</v>
      </c>
      <c r="BH172" s="22">
        <f t="shared" si="30"/>
        <v>0.42010995117835015</v>
      </c>
    </row>
    <row r="173" spans="1:60" s="22" customFormat="1" ht="14">
      <c r="A173" s="21" t="s">
        <v>183</v>
      </c>
      <c r="B173" s="22" t="s">
        <v>149</v>
      </c>
      <c r="C173" s="22" t="s">
        <v>150</v>
      </c>
      <c r="D173" s="23" t="s">
        <v>151</v>
      </c>
      <c r="E173" s="22" t="s">
        <v>61</v>
      </c>
      <c r="F173" s="22" t="s">
        <v>152</v>
      </c>
      <c r="G173" s="20" t="s">
        <v>164</v>
      </c>
      <c r="H173" s="26" t="s">
        <v>165</v>
      </c>
      <c r="I173" s="22" t="s">
        <v>32</v>
      </c>
      <c r="J173" s="21" t="s">
        <v>181</v>
      </c>
      <c r="K173" s="21" t="s">
        <v>184</v>
      </c>
      <c r="L173" s="21" t="s">
        <v>185</v>
      </c>
      <c r="N173" s="22" t="s">
        <v>186</v>
      </c>
      <c r="O173" s="22" t="s">
        <v>158</v>
      </c>
      <c r="P173" s="22">
        <v>10731</v>
      </c>
      <c r="Q173" s="21">
        <v>8</v>
      </c>
      <c r="R173" s="21">
        <v>6</v>
      </c>
      <c r="S173" s="21">
        <v>8</v>
      </c>
      <c r="T173" s="21" t="s">
        <v>159</v>
      </c>
      <c r="U173" s="21">
        <v>1</v>
      </c>
      <c r="V173" s="21">
        <v>1</v>
      </c>
      <c r="W173" s="24">
        <f t="shared" si="31"/>
        <v>561.48992953362938</v>
      </c>
      <c r="X173" s="24">
        <f t="shared" si="35"/>
        <v>200.95999999999998</v>
      </c>
      <c r="Y173" s="21">
        <v>10</v>
      </c>
      <c r="Z173" s="24">
        <f t="shared" si="32"/>
        <v>5614.899295336294</v>
      </c>
      <c r="AA173" s="24">
        <f t="shared" si="33"/>
        <v>2009.6</v>
      </c>
      <c r="AB173" s="21">
        <v>80</v>
      </c>
      <c r="AC173" s="21">
        <v>6</v>
      </c>
      <c r="AD173" s="21">
        <v>8</v>
      </c>
      <c r="AE173" s="21" t="s">
        <v>160</v>
      </c>
      <c r="AF173" s="21">
        <v>1</v>
      </c>
      <c r="AG173" s="21">
        <v>1</v>
      </c>
      <c r="AH173" s="24">
        <f>3.14*AC173*AB173+2*3.14*(AD173/2)^2/AG173</f>
        <v>1607.68</v>
      </c>
      <c r="AI173" s="25">
        <f>(3.14/4*AC173^2*AB173)*AF173</f>
        <v>2260.8000000000002</v>
      </c>
      <c r="AJ173" s="21">
        <v>3072</v>
      </c>
      <c r="AK173" s="21">
        <v>100</v>
      </c>
      <c r="AL173" s="22" t="s">
        <v>161</v>
      </c>
      <c r="AM173" s="22">
        <v>0.22</v>
      </c>
      <c r="AO173" s="22" t="s">
        <v>168</v>
      </c>
      <c r="AP173" s="22" t="s">
        <v>169</v>
      </c>
      <c r="AQ173" s="22" t="str">
        <f t="shared" si="34"/>
        <v>Microphytoplankton</v>
      </c>
      <c r="AR173" s="22">
        <v>0</v>
      </c>
      <c r="AS173" s="22">
        <v>0</v>
      </c>
      <c r="AT173" s="22">
        <v>0</v>
      </c>
      <c r="AU173" s="22">
        <v>1</v>
      </c>
      <c r="AV173" s="22">
        <v>1</v>
      </c>
      <c r="AW173" s="22">
        <v>0</v>
      </c>
      <c r="AX173" s="22">
        <v>0</v>
      </c>
      <c r="AY173" s="22">
        <v>1</v>
      </c>
      <c r="BH173" s="22">
        <f t="shared" si="30"/>
        <v>0.35790490519913032</v>
      </c>
    </row>
    <row r="174" spans="1:60">
      <c r="BH174" s="22"/>
    </row>
    <row r="175" spans="1:60" s="22" customFormat="1" ht="14">
      <c r="A175" s="22" t="s">
        <v>190</v>
      </c>
      <c r="B175" s="22" t="s">
        <v>149</v>
      </c>
      <c r="C175" s="22" t="s">
        <v>150</v>
      </c>
      <c r="D175" s="23" t="s">
        <v>151</v>
      </c>
      <c r="E175" s="22" t="s">
        <v>61</v>
      </c>
      <c r="F175" s="22" t="s">
        <v>152</v>
      </c>
      <c r="G175" s="20" t="s">
        <v>164</v>
      </c>
      <c r="H175" s="26" t="s">
        <v>165</v>
      </c>
      <c r="I175" s="22" t="s">
        <v>32</v>
      </c>
      <c r="J175" s="21" t="s">
        <v>188</v>
      </c>
      <c r="K175" s="22" t="s">
        <v>184</v>
      </c>
      <c r="L175" s="22" t="s">
        <v>191</v>
      </c>
      <c r="N175" s="22" t="s">
        <v>192</v>
      </c>
      <c r="O175" s="22" t="s">
        <v>158</v>
      </c>
      <c r="P175" s="22">
        <v>10733</v>
      </c>
      <c r="Q175" s="22">
        <v>3.5</v>
      </c>
      <c r="R175" s="22">
        <v>3.5</v>
      </c>
      <c r="S175" s="22">
        <v>3.5</v>
      </c>
      <c r="T175" s="21" t="s">
        <v>159</v>
      </c>
      <c r="U175" s="21">
        <v>1</v>
      </c>
      <c r="V175" s="21">
        <v>1</v>
      </c>
      <c r="W175" s="24">
        <f>(4*3.14*(((Q175^1.6*R175^1.6+Q175^1.6*S175^1.6+R175^1.6+S175^1.6)/3)^(1/1.6)))*(1/V175)</f>
        <v>129.23451491074422</v>
      </c>
      <c r="X175" s="24">
        <f>3.14/6*Q175*R175*S175*U175</f>
        <v>22.437916666666666</v>
      </c>
      <c r="Y175" s="21">
        <v>29</v>
      </c>
      <c r="Z175" s="24">
        <f t="shared" ref="Z175:Z182" si="36">Y175*W175</f>
        <v>3747.8009324115824</v>
      </c>
      <c r="AA175" s="24">
        <f t="shared" ref="AA175:AA182" si="37">Y175*X175</f>
        <v>650.69958333333329</v>
      </c>
      <c r="AB175" s="22">
        <v>100</v>
      </c>
      <c r="AC175" s="22">
        <v>3.5</v>
      </c>
      <c r="AD175" s="22">
        <v>3.5</v>
      </c>
      <c r="AE175" s="21" t="s">
        <v>160</v>
      </c>
      <c r="AF175" s="21">
        <v>1</v>
      </c>
      <c r="AG175" s="21">
        <v>1</v>
      </c>
      <c r="AH175" s="24">
        <f>3.14*AC175*AB175+2*3.14*(AD175/2)^2/AG175</f>
        <v>1118.2325000000001</v>
      </c>
      <c r="AI175" s="25">
        <f>(3.14/4*AC175^2*AB175)*AF175</f>
        <v>961.62500000000011</v>
      </c>
      <c r="AJ175" s="21">
        <v>961.62500000000011</v>
      </c>
      <c r="AK175" s="21">
        <v>100</v>
      </c>
      <c r="AL175" s="22" t="s">
        <v>161</v>
      </c>
      <c r="AM175" s="22">
        <v>0.22</v>
      </c>
      <c r="AN175" s="22" t="s">
        <v>193</v>
      </c>
      <c r="AO175" s="22" t="s">
        <v>193</v>
      </c>
      <c r="AP175" s="22" t="s">
        <v>169</v>
      </c>
      <c r="AQ175" s="22" t="str">
        <f t="shared" ref="AQ175:AQ182" si="38">IF(AND($AK175&lt;20,AJ175&lt;10000),"Nanophytoplankton","Microphytoplankton")</f>
        <v>Microphytoplankton</v>
      </c>
      <c r="AR175" s="22">
        <v>0</v>
      </c>
      <c r="AS175" s="22">
        <v>0</v>
      </c>
      <c r="AT175" s="22">
        <v>0</v>
      </c>
      <c r="AU175" s="22">
        <v>1</v>
      </c>
      <c r="AV175" s="22">
        <v>1</v>
      </c>
      <c r="AW175" s="22">
        <v>0</v>
      </c>
      <c r="AX175" s="22">
        <v>0</v>
      </c>
      <c r="AY175" s="22">
        <v>1</v>
      </c>
      <c r="BH175" s="22">
        <f t="shared" si="30"/>
        <v>0.17362170378527289</v>
      </c>
    </row>
    <row r="176" spans="1:60" s="22" customFormat="1" ht="14">
      <c r="A176" s="21" t="s">
        <v>197</v>
      </c>
      <c r="B176" s="22" t="s">
        <v>149</v>
      </c>
      <c r="C176" s="22" t="s">
        <v>150</v>
      </c>
      <c r="D176" s="23" t="s">
        <v>151</v>
      </c>
      <c r="E176" s="22" t="s">
        <v>61</v>
      </c>
      <c r="F176" s="22" t="s">
        <v>152</v>
      </c>
      <c r="G176" s="20" t="s">
        <v>164</v>
      </c>
      <c r="H176" s="26" t="s">
        <v>165</v>
      </c>
      <c r="I176" s="22" t="s">
        <v>32</v>
      </c>
      <c r="J176" s="21" t="s">
        <v>198</v>
      </c>
      <c r="K176" s="21"/>
      <c r="L176" s="21"/>
      <c r="N176" s="22" t="s">
        <v>199</v>
      </c>
      <c r="O176" s="22" t="s">
        <v>158</v>
      </c>
      <c r="P176" s="21">
        <v>10740</v>
      </c>
      <c r="Q176" s="21">
        <v>9</v>
      </c>
      <c r="R176" s="21">
        <v>9</v>
      </c>
      <c r="S176" s="21">
        <v>9</v>
      </c>
      <c r="T176" s="21" t="s">
        <v>159</v>
      </c>
      <c r="U176" s="21">
        <v>1</v>
      </c>
      <c r="V176" s="21">
        <v>1</v>
      </c>
      <c r="W176" s="24">
        <f>(4*3.14*(((Q176^1.6*R176^1.6+Q176^1.6*S176^1.6+R176^1.6+S176^1.6)/3)^(1/1.6)))*(1/V176)</f>
        <v>804.21104428016463</v>
      </c>
      <c r="X176" s="24">
        <f>3.14/6*Q176*R176*S176*U176</f>
        <v>381.51</v>
      </c>
      <c r="Y176" s="21">
        <v>11</v>
      </c>
      <c r="Z176" s="24">
        <f t="shared" si="36"/>
        <v>8846.3214870818101</v>
      </c>
      <c r="AA176" s="24">
        <f t="shared" si="37"/>
        <v>4196.6099999999997</v>
      </c>
      <c r="AB176" s="21">
        <v>100</v>
      </c>
      <c r="AC176" s="21">
        <v>9</v>
      </c>
      <c r="AD176" s="21">
        <v>9</v>
      </c>
      <c r="AE176" s="21" t="s">
        <v>160</v>
      </c>
      <c r="AF176" s="21">
        <v>1</v>
      </c>
      <c r="AG176" s="21">
        <v>1</v>
      </c>
      <c r="AH176" s="24">
        <f>3.14*AC176*AB176+2*3.14*(AD176/2)^2/AG176</f>
        <v>2953.17</v>
      </c>
      <c r="AI176" s="25">
        <f>(3.14/4*AC176^2*AB176)*AF176</f>
        <v>6358.5</v>
      </c>
      <c r="AJ176" s="21">
        <v>6358.5</v>
      </c>
      <c r="AK176" s="21">
        <v>100</v>
      </c>
      <c r="AL176" s="22" t="s">
        <v>161</v>
      </c>
      <c r="AM176" s="22">
        <v>0.22</v>
      </c>
      <c r="AO176" s="22" t="s">
        <v>168</v>
      </c>
      <c r="AP176" s="22" t="s">
        <v>169</v>
      </c>
      <c r="AQ176" s="22" t="str">
        <f t="shared" si="38"/>
        <v>Microphytoplankton</v>
      </c>
      <c r="AR176" s="22">
        <v>0</v>
      </c>
      <c r="AS176" s="22">
        <v>0</v>
      </c>
      <c r="AT176" s="22">
        <v>0</v>
      </c>
      <c r="AU176" s="22">
        <v>1</v>
      </c>
      <c r="AV176" s="22">
        <v>1</v>
      </c>
      <c r="AW176" s="22">
        <v>0</v>
      </c>
      <c r="AX176" s="22">
        <v>0</v>
      </c>
      <c r="AY176" s="22">
        <v>1</v>
      </c>
      <c r="BH176" s="22">
        <f t="shared" si="30"/>
        <v>0.4743904012677207</v>
      </c>
    </row>
    <row r="177" spans="1:60" s="22" customFormat="1" ht="14">
      <c r="A177" s="22" t="s">
        <v>208</v>
      </c>
      <c r="B177" s="22" t="s">
        <v>149</v>
      </c>
      <c r="C177" s="22" t="s">
        <v>150</v>
      </c>
      <c r="D177" s="23" t="s">
        <v>151</v>
      </c>
      <c r="E177" s="22" t="s">
        <v>61</v>
      </c>
      <c r="F177" s="22" t="s">
        <v>152</v>
      </c>
      <c r="G177" s="20" t="s">
        <v>164</v>
      </c>
      <c r="H177" s="26" t="s">
        <v>165</v>
      </c>
      <c r="I177" s="22" t="s">
        <v>32</v>
      </c>
      <c r="J177" s="22" t="s">
        <v>207</v>
      </c>
      <c r="K177" s="22" t="s">
        <v>175</v>
      </c>
      <c r="L177" s="22" t="s">
        <v>209</v>
      </c>
      <c r="N177" s="22" t="s">
        <v>199</v>
      </c>
      <c r="O177" s="22" t="s">
        <v>158</v>
      </c>
      <c r="P177" s="21">
        <v>10736</v>
      </c>
      <c r="Q177" s="22">
        <v>7.5</v>
      </c>
      <c r="R177" s="22">
        <v>7.5</v>
      </c>
      <c r="S177" s="22">
        <v>4</v>
      </c>
      <c r="T177" s="21" t="s">
        <v>159</v>
      </c>
      <c r="U177" s="21">
        <v>1</v>
      </c>
      <c r="V177" s="21">
        <v>1</v>
      </c>
      <c r="W177" s="24">
        <f>(4*3.14*(((Q177^1.6*R177^1.6+Q177^1.6*S177^1.6+R177^1.6+S177^1.6)/3)^(1/1.6)))*(1/V177)</f>
        <v>442.70533389078025</v>
      </c>
      <c r="X177" s="24">
        <f>3.14/6*Q177*R177*S177*U177</f>
        <v>117.75</v>
      </c>
      <c r="Y177" s="22">
        <v>13</v>
      </c>
      <c r="Z177" s="24">
        <f t="shared" si="36"/>
        <v>5755.1693405801434</v>
      </c>
      <c r="AA177" s="24">
        <f t="shared" si="37"/>
        <v>1530.75</v>
      </c>
      <c r="AB177" s="22">
        <v>100</v>
      </c>
      <c r="AC177" s="22">
        <v>7.5</v>
      </c>
      <c r="AD177" s="22">
        <v>4</v>
      </c>
      <c r="AE177" s="21" t="s">
        <v>160</v>
      </c>
      <c r="AF177" s="21">
        <v>1</v>
      </c>
      <c r="AG177" s="22">
        <v>1</v>
      </c>
      <c r="AH177" s="24">
        <f>3.14*AC177*AB177+2*3.14*(AD177/2)^2/AG177</f>
        <v>2380.12</v>
      </c>
      <c r="AI177" s="25">
        <f>(3.14/4*AC177^2*AB177)*AF177</f>
        <v>4415.625</v>
      </c>
      <c r="AJ177" s="21">
        <v>2355</v>
      </c>
      <c r="AK177" s="21">
        <v>100</v>
      </c>
      <c r="AL177" s="22" t="s">
        <v>161</v>
      </c>
      <c r="AM177" s="22">
        <v>0.22</v>
      </c>
      <c r="AN177" s="22" t="s">
        <v>193</v>
      </c>
      <c r="AO177" s="22" t="s">
        <v>193</v>
      </c>
      <c r="AP177" s="22" t="s">
        <v>169</v>
      </c>
      <c r="AQ177" s="22" t="str">
        <f t="shared" si="38"/>
        <v>Microphytoplankton</v>
      </c>
      <c r="AR177" s="22">
        <v>0</v>
      </c>
      <c r="AS177" s="22">
        <v>0</v>
      </c>
      <c r="AT177" s="22">
        <v>0</v>
      </c>
      <c r="AU177" s="22">
        <v>1</v>
      </c>
      <c r="AV177" s="22">
        <v>1</v>
      </c>
      <c r="AW177" s="22">
        <v>0</v>
      </c>
      <c r="AX177" s="22">
        <v>0</v>
      </c>
      <c r="AY177" s="22">
        <v>1</v>
      </c>
      <c r="BH177" s="22">
        <f t="shared" si="30"/>
        <v>0.26597827264726404</v>
      </c>
    </row>
    <row r="178" spans="1:60" s="22" customFormat="1" ht="14">
      <c r="A178" s="22" t="s">
        <v>213</v>
      </c>
      <c r="B178" s="22" t="s">
        <v>149</v>
      </c>
      <c r="C178" s="22" t="s">
        <v>150</v>
      </c>
      <c r="D178" s="23" t="s">
        <v>151</v>
      </c>
      <c r="E178" s="22" t="s">
        <v>61</v>
      </c>
      <c r="F178" s="22" t="s">
        <v>152</v>
      </c>
      <c r="G178" s="20" t="s">
        <v>164</v>
      </c>
      <c r="H178" s="26" t="s">
        <v>165</v>
      </c>
      <c r="I178" s="22" t="s">
        <v>32</v>
      </c>
      <c r="J178" s="22" t="s">
        <v>214</v>
      </c>
      <c r="N178" s="22" t="s">
        <v>199</v>
      </c>
      <c r="O178" s="22" t="s">
        <v>158</v>
      </c>
      <c r="P178" s="21">
        <v>10737</v>
      </c>
      <c r="Q178" s="22">
        <v>7</v>
      </c>
      <c r="R178" s="22">
        <v>7</v>
      </c>
      <c r="S178" s="22">
        <v>7</v>
      </c>
      <c r="T178" s="21" t="s">
        <v>159</v>
      </c>
      <c r="U178" s="21">
        <v>1</v>
      </c>
      <c r="V178" s="21">
        <v>1</v>
      </c>
      <c r="W178" s="24">
        <f>(4*3.14*(((Q178^1.6*R178^1.6+Q178^1.6*S178^1.6+R178^1.6+S178^1.6)/3)^(1/1.6)))*(1/V178)</f>
        <v>490.83181458055361</v>
      </c>
      <c r="X178" s="24">
        <f>3.14/6*Q178*R178*S178*U178</f>
        <v>179.50333333333333</v>
      </c>
      <c r="Y178" s="22">
        <v>14</v>
      </c>
      <c r="Z178" s="24">
        <f t="shared" si="36"/>
        <v>6871.6454041277502</v>
      </c>
      <c r="AA178" s="24">
        <f t="shared" si="37"/>
        <v>2513.0466666666666</v>
      </c>
      <c r="AB178" s="22">
        <v>100</v>
      </c>
      <c r="AC178" s="22">
        <v>7</v>
      </c>
      <c r="AD178" s="22">
        <v>7</v>
      </c>
      <c r="AE178" s="21" t="s">
        <v>160</v>
      </c>
      <c r="AF178" s="21">
        <v>1</v>
      </c>
      <c r="AG178" s="22">
        <v>1</v>
      </c>
      <c r="AH178" s="24">
        <f>3.14*AC178*AB178+2*3.14*(AD178/2)^2/AG178</f>
        <v>2274.9299999999998</v>
      </c>
      <c r="AI178" s="25">
        <f>(3.14/4*AC178^2*AB178)*AF178</f>
        <v>3846.5000000000005</v>
      </c>
      <c r="AJ178" s="21">
        <v>3846.5000000000005</v>
      </c>
      <c r="AK178" s="21">
        <v>100</v>
      </c>
      <c r="AL178" s="22" t="s">
        <v>161</v>
      </c>
      <c r="AM178" s="22">
        <v>0.22</v>
      </c>
      <c r="AN178" s="22" t="s">
        <v>168</v>
      </c>
      <c r="AO178" s="22" t="s">
        <v>168</v>
      </c>
      <c r="AP178" s="22" t="s">
        <v>169</v>
      </c>
      <c r="AQ178" s="22" t="str">
        <f t="shared" si="38"/>
        <v>Microphytoplankton</v>
      </c>
      <c r="AR178" s="22">
        <v>0</v>
      </c>
      <c r="AS178" s="22">
        <v>0</v>
      </c>
      <c r="AT178" s="22">
        <v>0</v>
      </c>
      <c r="AU178" s="22">
        <v>1</v>
      </c>
      <c r="AV178" s="22">
        <v>1</v>
      </c>
      <c r="AW178" s="22">
        <v>0</v>
      </c>
      <c r="AX178" s="22">
        <v>0</v>
      </c>
      <c r="AY178" s="22">
        <v>1</v>
      </c>
      <c r="BH178" s="22">
        <f t="shared" si="30"/>
        <v>0.36571250681199247</v>
      </c>
    </row>
    <row r="179" spans="1:60" s="22" customFormat="1" ht="14">
      <c r="A179" s="22" t="s">
        <v>215</v>
      </c>
      <c r="B179" s="22" t="s">
        <v>149</v>
      </c>
      <c r="C179" s="22" t="s">
        <v>150</v>
      </c>
      <c r="D179" s="23" t="s">
        <v>151</v>
      </c>
      <c r="E179" s="22" t="s">
        <v>61</v>
      </c>
      <c r="F179" s="22" t="s">
        <v>152</v>
      </c>
      <c r="G179" s="20" t="s">
        <v>164</v>
      </c>
      <c r="H179" s="26" t="s">
        <v>165</v>
      </c>
      <c r="I179" s="22" t="s">
        <v>32</v>
      </c>
      <c r="J179" s="22" t="s">
        <v>214</v>
      </c>
      <c r="K179" s="22" t="s">
        <v>184</v>
      </c>
      <c r="L179" s="22" t="s">
        <v>216</v>
      </c>
      <c r="N179" s="22" t="s">
        <v>217</v>
      </c>
      <c r="O179" s="22" t="s">
        <v>158</v>
      </c>
      <c r="P179" s="21">
        <v>10738</v>
      </c>
      <c r="Q179" s="22">
        <v>7</v>
      </c>
      <c r="R179" s="22">
        <v>7</v>
      </c>
      <c r="S179" s="22">
        <v>7</v>
      </c>
      <c r="T179" s="21" t="s">
        <v>159</v>
      </c>
      <c r="U179" s="21">
        <v>1</v>
      </c>
      <c r="V179" s="21">
        <v>1</v>
      </c>
      <c r="W179" s="24">
        <f>(4*3.14*(((Q179^1.6*R179^1.6+Q179^1.6*S179^1.6+R179^1.6+S179^1.6)/3)^(1/1.6)))*(1/V179)</f>
        <v>490.83181458055361</v>
      </c>
      <c r="X179" s="24">
        <f>3.14/6*Q179*R179*S179*U179</f>
        <v>179.50333333333333</v>
      </c>
      <c r="Y179" s="22">
        <v>14</v>
      </c>
      <c r="Z179" s="24">
        <f t="shared" si="36"/>
        <v>6871.6454041277502</v>
      </c>
      <c r="AA179" s="24">
        <f t="shared" si="37"/>
        <v>2513.0466666666666</v>
      </c>
      <c r="AB179" s="22">
        <v>100</v>
      </c>
      <c r="AC179" s="22">
        <v>7</v>
      </c>
      <c r="AD179" s="22">
        <v>7</v>
      </c>
      <c r="AE179" s="21" t="s">
        <v>160</v>
      </c>
      <c r="AF179" s="21">
        <v>1</v>
      </c>
      <c r="AG179" s="22">
        <v>1</v>
      </c>
      <c r="AH179" s="24">
        <f>3.14*AC179*AB179+2*3.14*(AD179/2)^2/AG179</f>
        <v>2274.9299999999998</v>
      </c>
      <c r="AI179" s="25">
        <f>(3.14/4*AC179^2*AB179)*AF179</f>
        <v>3846.5000000000005</v>
      </c>
      <c r="AJ179" s="21">
        <v>3846.5000000000005</v>
      </c>
      <c r="AK179" s="21">
        <v>100</v>
      </c>
      <c r="AL179" s="22" t="s">
        <v>161</v>
      </c>
      <c r="AM179" s="22">
        <v>0.22</v>
      </c>
      <c r="AN179" s="22" t="s">
        <v>168</v>
      </c>
      <c r="AO179" s="22" t="s">
        <v>168</v>
      </c>
      <c r="AP179" s="22" t="s">
        <v>169</v>
      </c>
      <c r="AQ179" s="22" t="str">
        <f t="shared" si="38"/>
        <v>Microphytoplankton</v>
      </c>
      <c r="AR179" s="22">
        <v>0</v>
      </c>
      <c r="AS179" s="22">
        <v>0</v>
      </c>
      <c r="AT179" s="22">
        <v>0</v>
      </c>
      <c r="AU179" s="22">
        <v>1</v>
      </c>
      <c r="AV179" s="22">
        <v>1</v>
      </c>
      <c r="AW179" s="22">
        <v>0</v>
      </c>
      <c r="AX179" s="22">
        <v>0</v>
      </c>
      <c r="AY179" s="22">
        <v>1</v>
      </c>
      <c r="BH179" s="22">
        <f t="shared" si="30"/>
        <v>0.36571250681199247</v>
      </c>
    </row>
    <row r="180" spans="1:60" s="22" customFormat="1" ht="13">
      <c r="D180" s="23"/>
      <c r="G180" s="20"/>
      <c r="H180" s="26"/>
      <c r="P180" s="21"/>
      <c r="T180" s="21"/>
      <c r="U180" s="21"/>
      <c r="V180" s="21"/>
      <c r="W180" s="24"/>
      <c r="X180" s="24"/>
      <c r="Z180" s="24"/>
      <c r="AA180" s="24"/>
      <c r="AE180" s="21"/>
      <c r="AF180" s="21"/>
      <c r="AH180" s="24"/>
      <c r="AI180" s="25"/>
      <c r="AJ180" s="21"/>
      <c r="AK180" s="21"/>
    </row>
    <row r="181" spans="1:60" s="22" customFormat="1" ht="13">
      <c r="A181" s="35" t="s">
        <v>1818</v>
      </c>
      <c r="B181" s="22" t="s">
        <v>663</v>
      </c>
      <c r="C181" s="23" t="s">
        <v>822</v>
      </c>
      <c r="D181" s="23" t="s">
        <v>965</v>
      </c>
      <c r="E181" s="22" t="s">
        <v>62</v>
      </c>
      <c r="F181" s="23" t="s">
        <v>1499</v>
      </c>
      <c r="G181" s="23" t="s">
        <v>1500</v>
      </c>
      <c r="H181" s="23" t="s">
        <v>1501</v>
      </c>
      <c r="I181" s="22" t="s">
        <v>1805</v>
      </c>
      <c r="J181" s="35" t="s">
        <v>1813</v>
      </c>
      <c r="K181" s="35" t="s">
        <v>175</v>
      </c>
      <c r="L181" s="35" t="s">
        <v>1819</v>
      </c>
      <c r="N181" s="22" t="s">
        <v>1820</v>
      </c>
      <c r="O181" s="22" t="s">
        <v>1430</v>
      </c>
      <c r="P181" s="21">
        <v>70611</v>
      </c>
      <c r="Q181" s="21">
        <v>30</v>
      </c>
      <c r="R181" s="21">
        <v>4.5</v>
      </c>
      <c r="S181" s="21">
        <v>3</v>
      </c>
      <c r="T181" s="22" t="s">
        <v>330</v>
      </c>
      <c r="U181" s="21">
        <v>0.7</v>
      </c>
      <c r="V181" s="21">
        <v>0.7</v>
      </c>
      <c r="W181" s="25">
        <f>(Q181*R181*2+Q181*S181*2+R181*S181*2)/V181</f>
        <v>681.42857142857144</v>
      </c>
      <c r="X181" s="25">
        <f>Q181*R181*S181*U181</f>
        <v>283.5</v>
      </c>
      <c r="Y181" s="21">
        <v>1</v>
      </c>
      <c r="Z181" s="24">
        <f t="shared" si="36"/>
        <v>681.42857142857144</v>
      </c>
      <c r="AA181" s="24">
        <f t="shared" si="37"/>
        <v>283.5</v>
      </c>
      <c r="AB181" s="21"/>
      <c r="AC181" s="21"/>
      <c r="AD181" s="21"/>
      <c r="AE181" s="21"/>
      <c r="AF181" s="21" t="s">
        <v>247</v>
      </c>
      <c r="AG181" s="21"/>
      <c r="AH181" s="24"/>
      <c r="AI181" s="24"/>
      <c r="AJ181" s="21">
        <v>283.5</v>
      </c>
      <c r="AK181" s="21">
        <v>30</v>
      </c>
      <c r="AL181" s="22" t="s">
        <v>161</v>
      </c>
      <c r="AM181" s="22">
        <v>0.11</v>
      </c>
      <c r="AO181" s="22" t="s">
        <v>383</v>
      </c>
      <c r="AP181" s="22" t="s">
        <v>1432</v>
      </c>
      <c r="AQ181" s="22" t="str">
        <f t="shared" si="38"/>
        <v>Microphytoplankton</v>
      </c>
      <c r="AR181" s="22">
        <v>0</v>
      </c>
      <c r="AS181" s="22">
        <v>0</v>
      </c>
      <c r="AT181" s="22">
        <v>0</v>
      </c>
      <c r="AU181" s="22">
        <v>1</v>
      </c>
      <c r="AV181" s="22">
        <v>0</v>
      </c>
      <c r="AW181" s="22">
        <v>0</v>
      </c>
      <c r="AX181" s="22">
        <v>1</v>
      </c>
      <c r="AY181" s="22">
        <v>0</v>
      </c>
      <c r="BH181" s="22">
        <f t="shared" si="30"/>
        <v>0.41603773584905657</v>
      </c>
    </row>
    <row r="182" spans="1:60" s="22" customFormat="1" ht="13">
      <c r="A182" s="21" t="s">
        <v>1838</v>
      </c>
      <c r="B182" s="22" t="s">
        <v>663</v>
      </c>
      <c r="C182" s="23" t="s">
        <v>822</v>
      </c>
      <c r="D182" s="23" t="s">
        <v>965</v>
      </c>
      <c r="E182" s="22" t="s">
        <v>62</v>
      </c>
      <c r="F182" s="23" t="s">
        <v>1499</v>
      </c>
      <c r="G182" s="23" t="s">
        <v>1500</v>
      </c>
      <c r="H182" s="23" t="s">
        <v>1501</v>
      </c>
      <c r="I182" s="22" t="s">
        <v>1805</v>
      </c>
      <c r="J182" s="21" t="s">
        <v>1839</v>
      </c>
      <c r="K182" s="21"/>
      <c r="L182" s="21"/>
      <c r="N182" s="22" t="s">
        <v>1840</v>
      </c>
      <c r="O182" s="22" t="s">
        <v>1430</v>
      </c>
      <c r="P182" s="21">
        <v>70620</v>
      </c>
      <c r="Q182" s="21">
        <v>90</v>
      </c>
      <c r="R182" s="21">
        <v>3</v>
      </c>
      <c r="S182" s="21">
        <v>2</v>
      </c>
      <c r="T182" s="22" t="s">
        <v>330</v>
      </c>
      <c r="U182" s="21">
        <v>0.8</v>
      </c>
      <c r="V182" s="21">
        <v>0.8</v>
      </c>
      <c r="W182" s="25">
        <f>(Q182*R182*2+Q182*S182*2+R182*S182*2)/V182</f>
        <v>1140</v>
      </c>
      <c r="X182" s="25">
        <f>Q182*R182*S182*U182</f>
        <v>432</v>
      </c>
      <c r="Y182" s="21">
        <v>1</v>
      </c>
      <c r="Z182" s="24">
        <f t="shared" si="36"/>
        <v>1140</v>
      </c>
      <c r="AA182" s="24">
        <f t="shared" si="37"/>
        <v>432</v>
      </c>
      <c r="AB182" s="21"/>
      <c r="AC182" s="21"/>
      <c r="AD182" s="21"/>
      <c r="AE182" s="21"/>
      <c r="AF182" s="21" t="s">
        <v>247</v>
      </c>
      <c r="AG182" s="21"/>
      <c r="AH182" s="24"/>
      <c r="AI182" s="24"/>
      <c r="AJ182" s="21">
        <v>432</v>
      </c>
      <c r="AK182" s="21">
        <v>100</v>
      </c>
      <c r="AL182" s="22" t="s">
        <v>161</v>
      </c>
      <c r="AM182" s="22">
        <v>0.11</v>
      </c>
      <c r="AN182" s="22" t="s">
        <v>1517</v>
      </c>
      <c r="AO182" s="22" t="s">
        <v>1517</v>
      </c>
      <c r="AP182" s="22" t="s">
        <v>1432</v>
      </c>
      <c r="AQ182" s="22" t="str">
        <f t="shared" si="38"/>
        <v>Microphytoplankton</v>
      </c>
      <c r="AR182" s="22">
        <v>0</v>
      </c>
      <c r="AS182" s="22">
        <v>0</v>
      </c>
      <c r="AT182" s="22">
        <v>0</v>
      </c>
      <c r="AU182" s="22">
        <v>1</v>
      </c>
      <c r="AV182" s="22">
        <v>1</v>
      </c>
      <c r="AW182" s="22">
        <v>0</v>
      </c>
      <c r="AX182" s="22">
        <v>1</v>
      </c>
      <c r="AY182" s="22">
        <v>0</v>
      </c>
      <c r="AZ182" s="22">
        <v>0</v>
      </c>
      <c r="BA182" s="22">
        <v>4</v>
      </c>
      <c r="BB182" s="22">
        <v>3</v>
      </c>
      <c r="BC182" s="22">
        <v>2</v>
      </c>
      <c r="BD182" s="22">
        <v>1</v>
      </c>
      <c r="BE182" s="22">
        <v>0</v>
      </c>
      <c r="BH182" s="22">
        <f t="shared" si="30"/>
        <v>0.37894736842105264</v>
      </c>
    </row>
    <row r="183" spans="1:60">
      <c r="BH183" s="22"/>
    </row>
    <row r="184" spans="1:60" s="22" customFormat="1" ht="13">
      <c r="A184" s="21" t="s">
        <v>765</v>
      </c>
      <c r="B184" s="22" t="s">
        <v>663</v>
      </c>
      <c r="C184" s="22" t="s">
        <v>664</v>
      </c>
      <c r="D184" s="22" t="s">
        <v>665</v>
      </c>
      <c r="E184" s="22" t="s">
        <v>666</v>
      </c>
      <c r="F184" s="22" t="s">
        <v>667</v>
      </c>
      <c r="G184" s="22" t="s">
        <v>675</v>
      </c>
      <c r="H184" s="22" t="s">
        <v>692</v>
      </c>
      <c r="I184" s="22" t="s">
        <v>766</v>
      </c>
      <c r="J184" s="22" t="s">
        <v>767</v>
      </c>
      <c r="N184" s="22" t="s">
        <v>768</v>
      </c>
      <c r="O184" s="21" t="s">
        <v>672</v>
      </c>
      <c r="P184" s="21">
        <v>20550</v>
      </c>
      <c r="Q184" s="21">
        <v>35</v>
      </c>
      <c r="R184" s="21">
        <v>26</v>
      </c>
      <c r="S184" s="21">
        <v>20</v>
      </c>
      <c r="T184" s="21" t="s">
        <v>281</v>
      </c>
      <c r="U184" s="21">
        <v>0.8</v>
      </c>
      <c r="V184" s="21">
        <v>0.8</v>
      </c>
      <c r="W184" s="24">
        <f>(4*3.14*(((Q184^1.6*R184^1.6+Q184^1.6*S184^1.6+R184^1.6+S184^1.6)/3)^(1/1.6)))*(1/V184)</f>
        <v>9880.1828928125942</v>
      </c>
      <c r="X184" s="24">
        <f>3.14/6*Q184*R184*S184*U184</f>
        <v>7619.7333333333345</v>
      </c>
      <c r="Y184" s="21">
        <v>1</v>
      </c>
      <c r="Z184" s="24">
        <f>Y184*W184</f>
        <v>9880.1828928125942</v>
      </c>
      <c r="AA184" s="24">
        <f>Y184*X184</f>
        <v>7619.7333333333345</v>
      </c>
      <c r="AB184" s="21"/>
      <c r="AC184" s="21"/>
      <c r="AD184" s="21"/>
      <c r="AE184" s="21"/>
      <c r="AF184" s="21" t="s">
        <v>247</v>
      </c>
      <c r="AG184" s="21"/>
      <c r="AH184" s="24"/>
      <c r="AI184" s="24"/>
      <c r="AJ184" s="21">
        <v>7623.6</v>
      </c>
      <c r="AK184" s="21">
        <v>35</v>
      </c>
      <c r="AL184" s="22" t="s">
        <v>161</v>
      </c>
      <c r="AM184" s="22">
        <v>0.13</v>
      </c>
      <c r="AO184" s="22" t="s">
        <v>331</v>
      </c>
      <c r="AP184" s="22" t="s">
        <v>673</v>
      </c>
      <c r="AQ184" s="22" t="str">
        <f>IF(AND($AK184&lt;20,AJ184&lt;10000),"Nanophytoplankton","Microphytoplankton")</f>
        <v>Microphytoplankton</v>
      </c>
      <c r="AR184" s="22">
        <v>1</v>
      </c>
      <c r="AS184" s="22">
        <v>1</v>
      </c>
      <c r="AT184" s="22">
        <v>0</v>
      </c>
      <c r="AU184" s="22">
        <v>0</v>
      </c>
      <c r="AV184" s="22">
        <v>0</v>
      </c>
      <c r="AW184" s="22">
        <v>0</v>
      </c>
      <c r="AX184" s="22">
        <v>1</v>
      </c>
      <c r="AY184" s="22">
        <v>0</v>
      </c>
      <c r="BH184" s="22">
        <f t="shared" si="30"/>
        <v>0.77121379391431721</v>
      </c>
    </row>
    <row r="185" spans="1:60">
      <c r="BH185" s="22"/>
    </row>
    <row r="186" spans="1:60">
      <c r="BH186" s="22"/>
    </row>
    <row r="187" spans="1:60" s="22" customFormat="1" ht="13">
      <c r="A187" s="21" t="s">
        <v>2566</v>
      </c>
      <c r="B187" s="22" t="s">
        <v>663</v>
      </c>
      <c r="C187" s="22" t="s">
        <v>2223</v>
      </c>
      <c r="D187" s="22" t="s">
        <v>2224</v>
      </c>
      <c r="E187" s="23" t="s">
        <v>63</v>
      </c>
      <c r="F187" s="23" t="s">
        <v>2225</v>
      </c>
      <c r="G187" s="23" t="s">
        <v>2226</v>
      </c>
      <c r="H187" s="22" t="s">
        <v>2227</v>
      </c>
      <c r="I187" s="22" t="s">
        <v>2567</v>
      </c>
      <c r="J187" s="22" t="s">
        <v>2568</v>
      </c>
      <c r="N187" s="22" t="s">
        <v>409</v>
      </c>
      <c r="O187" s="22" t="s">
        <v>2229</v>
      </c>
      <c r="P187" s="22">
        <v>89810</v>
      </c>
      <c r="Q187" s="21">
        <v>15</v>
      </c>
      <c r="R187" s="21">
        <v>15</v>
      </c>
      <c r="S187" s="21">
        <v>15</v>
      </c>
      <c r="T187" s="21" t="s">
        <v>246</v>
      </c>
      <c r="U187" s="21">
        <v>1</v>
      </c>
      <c r="V187" s="21">
        <v>1</v>
      </c>
      <c r="W187" s="25">
        <f>4*3.14*(R187/2)*(Q187/2)/V187</f>
        <v>706.5</v>
      </c>
      <c r="X187" s="25">
        <f>(3.14/6*(Q187*S187*R187))*U187</f>
        <v>1766.25</v>
      </c>
      <c r="Y187" s="21">
        <v>1</v>
      </c>
      <c r="Z187" s="24">
        <f>Y187*W187</f>
        <v>706.5</v>
      </c>
      <c r="AA187" s="24">
        <f>Y187*X187</f>
        <v>1766.25</v>
      </c>
      <c r="AB187" s="21"/>
      <c r="AC187" s="21"/>
      <c r="AD187" s="21"/>
      <c r="AE187" s="21"/>
      <c r="AF187" s="21"/>
      <c r="AG187" s="21"/>
      <c r="AH187" s="24"/>
      <c r="AI187" s="24"/>
      <c r="AJ187" s="21">
        <v>2458.1999999999998</v>
      </c>
      <c r="AK187" s="21">
        <v>15</v>
      </c>
      <c r="AL187" s="22" t="s">
        <v>161</v>
      </c>
      <c r="AM187" s="22">
        <v>0.16</v>
      </c>
      <c r="AN187" s="22" t="s">
        <v>1364</v>
      </c>
      <c r="AO187" s="22" t="s">
        <v>1364</v>
      </c>
      <c r="AQ187" s="22" t="str">
        <f>IF(AND($AK187&lt;20,AJ187&lt;10000),"Nanophytoplankton","Microphytoplankton")</f>
        <v>Nanophytoplankton</v>
      </c>
      <c r="AR187" s="22">
        <v>0</v>
      </c>
      <c r="AS187" s="22">
        <v>0</v>
      </c>
      <c r="AT187" s="22">
        <v>0</v>
      </c>
      <c r="AU187" s="22">
        <v>0</v>
      </c>
      <c r="AV187" s="22">
        <v>0</v>
      </c>
      <c r="AW187" s="22">
        <v>0</v>
      </c>
      <c r="AX187" s="22">
        <v>0</v>
      </c>
      <c r="AY187" s="22">
        <v>1</v>
      </c>
      <c r="BH187" s="22">
        <f t="shared" si="30"/>
        <v>2.5</v>
      </c>
    </row>
    <row r="188" spans="1:60">
      <c r="BH188" s="22"/>
    </row>
    <row r="189" spans="1:60">
      <c r="BH189" s="22"/>
    </row>
    <row r="190" spans="1:60">
      <c r="BH190" s="22"/>
    </row>
    <row r="191" spans="1:60">
      <c r="BH191" s="22"/>
    </row>
    <row r="192" spans="1:60">
      <c r="BH192" s="22"/>
    </row>
    <row r="193" spans="1:60">
      <c r="BH193" s="22"/>
    </row>
    <row r="194" spans="1:60" s="22" customFormat="1" ht="13">
      <c r="A194" s="21" t="s">
        <v>2661</v>
      </c>
      <c r="B194" s="22" t="s">
        <v>663</v>
      </c>
      <c r="C194" s="22" t="s">
        <v>2223</v>
      </c>
      <c r="D194" s="22" t="s">
        <v>2224</v>
      </c>
      <c r="E194" s="23" t="s">
        <v>63</v>
      </c>
      <c r="F194" s="23" t="s">
        <v>2225</v>
      </c>
      <c r="G194" s="23" t="s">
        <v>2226</v>
      </c>
      <c r="H194" s="38" t="s">
        <v>2239</v>
      </c>
      <c r="I194" s="22" t="s">
        <v>2644</v>
      </c>
      <c r="J194" s="21" t="s">
        <v>2662</v>
      </c>
      <c r="K194" s="21"/>
      <c r="L194" s="21"/>
      <c r="N194" s="22" t="s">
        <v>1146</v>
      </c>
      <c r="O194" s="22" t="s">
        <v>2229</v>
      </c>
      <c r="P194" s="21">
        <v>83640</v>
      </c>
      <c r="Q194" s="21">
        <v>10</v>
      </c>
      <c r="R194" s="21">
        <v>5</v>
      </c>
      <c r="S194" s="21">
        <v>5</v>
      </c>
      <c r="T194" s="21" t="s">
        <v>281</v>
      </c>
      <c r="U194" s="22">
        <v>1</v>
      </c>
      <c r="V194" s="22">
        <v>1</v>
      </c>
      <c r="W194" s="24">
        <f>(4*3.14*(((Q194^1.6*R194^1.6+Q194^1.6*S194^1.6+R194^1.6+S194^1.6)/3)^(1/1.6)))*(1/V194)</f>
        <v>495.03567506413054</v>
      </c>
      <c r="X194" s="24">
        <f>3.14/6*Q194*R194*S194*U194</f>
        <v>130.83333333333334</v>
      </c>
      <c r="Y194" s="22">
        <v>1</v>
      </c>
      <c r="Z194" s="24">
        <f>Y194*W194</f>
        <v>495.03567506413054</v>
      </c>
      <c r="AA194" s="24">
        <f>Y194*X194</f>
        <v>130.83333333333334</v>
      </c>
      <c r="AB194" s="21"/>
      <c r="AC194" s="21"/>
      <c r="AD194" s="21"/>
      <c r="AE194" s="21"/>
      <c r="AF194" s="21"/>
      <c r="AG194" s="21"/>
      <c r="AH194" s="24"/>
      <c r="AI194" s="24"/>
      <c r="AJ194" s="21">
        <v>130.9</v>
      </c>
      <c r="AK194" s="21">
        <v>60</v>
      </c>
      <c r="AL194" s="22" t="s">
        <v>161</v>
      </c>
      <c r="AM194" s="22">
        <v>0.16</v>
      </c>
      <c r="AN194" s="38"/>
      <c r="AP194" s="22" t="s">
        <v>162</v>
      </c>
      <c r="AQ194" s="22" t="str">
        <f>IF(AND($AK194&lt;20,AJ194&lt;10000),"Nanophytoplankton","Microphytoplankton")</f>
        <v>Microphytoplankton</v>
      </c>
      <c r="AR194" s="22">
        <v>0</v>
      </c>
      <c r="AS194" s="22">
        <v>0</v>
      </c>
      <c r="AT194" s="22">
        <v>0</v>
      </c>
      <c r="AU194" s="22">
        <v>0</v>
      </c>
      <c r="AV194" s="22">
        <v>0</v>
      </c>
      <c r="AW194" s="22">
        <v>0</v>
      </c>
      <c r="AX194" s="22">
        <v>0</v>
      </c>
      <c r="AY194" s="22">
        <v>1</v>
      </c>
      <c r="BH194" s="22">
        <f t="shared" si="30"/>
        <v>0.26429071665670206</v>
      </c>
    </row>
    <row r="195" spans="1:60">
      <c r="BH195" s="22"/>
    </row>
    <row r="196" spans="1:60">
      <c r="BH196" s="22"/>
    </row>
    <row r="197" spans="1:60">
      <c r="BH197" s="22"/>
    </row>
    <row r="198" spans="1:60" s="22" customFormat="1" ht="28">
      <c r="A198" s="21" t="s">
        <v>446</v>
      </c>
      <c r="B198" s="22" t="s">
        <v>149</v>
      </c>
      <c r="C198" s="22" t="s">
        <v>150</v>
      </c>
      <c r="D198" s="23" t="s">
        <v>151</v>
      </c>
      <c r="E198" s="22" t="s">
        <v>61</v>
      </c>
      <c r="F198" s="22" t="s">
        <v>152</v>
      </c>
      <c r="G198" s="20" t="s">
        <v>153</v>
      </c>
      <c r="H198" s="22" t="s">
        <v>154</v>
      </c>
      <c r="I198" s="22" t="s">
        <v>447</v>
      </c>
      <c r="J198" s="22" t="s">
        <v>448</v>
      </c>
      <c r="N198" s="22" t="s">
        <v>449</v>
      </c>
      <c r="O198" s="22" t="s">
        <v>158</v>
      </c>
      <c r="P198" s="21">
        <v>11303</v>
      </c>
      <c r="Q198" s="21">
        <v>1.7</v>
      </c>
      <c r="R198" s="21">
        <v>1.7</v>
      </c>
      <c r="S198" s="21">
        <v>1.7</v>
      </c>
      <c r="T198" s="21" t="s">
        <v>160</v>
      </c>
      <c r="U198" s="21">
        <v>1</v>
      </c>
      <c r="V198" s="21">
        <v>1</v>
      </c>
      <c r="W198" s="24">
        <f>3.14*R198*Q198+2*3.14*(S198/2)^2/V198</f>
        <v>13.6119</v>
      </c>
      <c r="X198" s="25">
        <f>(3.14/4*R198^2*Q198)*U198</f>
        <v>3.8567049999999998</v>
      </c>
      <c r="Y198" s="21">
        <f>AB198/Q198</f>
        <v>23.529411764705884</v>
      </c>
      <c r="Z198" s="24">
        <f>Y198*W198</f>
        <v>320.28000000000003</v>
      </c>
      <c r="AA198" s="24">
        <f>Y198*X198</f>
        <v>90.746000000000009</v>
      </c>
      <c r="AB198" s="21">
        <v>40</v>
      </c>
      <c r="AC198" s="21">
        <v>1.7</v>
      </c>
      <c r="AD198" s="21">
        <v>1.7</v>
      </c>
      <c r="AE198" s="21" t="s">
        <v>160</v>
      </c>
      <c r="AF198" s="21">
        <v>1</v>
      </c>
      <c r="AG198" s="21">
        <v>1</v>
      </c>
      <c r="AH198" s="24">
        <f>3.14*AC198*AB198+2*3.14*(AD198/2)^2/AG198</f>
        <v>218.0573</v>
      </c>
      <c r="AI198" s="25">
        <f>(3.14/4*AC198^2*AB198)*AF198</f>
        <v>90.746000000000009</v>
      </c>
      <c r="AJ198" s="21">
        <v>90.746000000000009</v>
      </c>
      <c r="AK198" s="21">
        <v>40</v>
      </c>
      <c r="AL198" s="22" t="s">
        <v>450</v>
      </c>
      <c r="AM198" s="22">
        <v>0.22</v>
      </c>
      <c r="AP198" s="22" t="s">
        <v>162</v>
      </c>
      <c r="AQ198" s="22" t="str">
        <f>IF(AND($AK198&lt;20,AJ198&lt;10000),"Nanophytoplankton","Microphytoplankton")</f>
        <v>Microphytoplankton</v>
      </c>
      <c r="AR198" s="22">
        <v>0</v>
      </c>
      <c r="AS198" s="22">
        <v>0</v>
      </c>
      <c r="AT198" s="22">
        <v>0</v>
      </c>
      <c r="AU198" s="22">
        <v>1</v>
      </c>
      <c r="AV198" s="22">
        <v>1</v>
      </c>
      <c r="AW198" s="22">
        <v>0</v>
      </c>
      <c r="AX198" s="22">
        <v>0</v>
      </c>
      <c r="AY198" s="22">
        <v>1</v>
      </c>
      <c r="BH198" s="22">
        <f t="shared" si="30"/>
        <v>0.28333333333333333</v>
      </c>
    </row>
    <row r="199" spans="1:60">
      <c r="A199" s="21"/>
      <c r="BH199" s="22"/>
    </row>
    <row r="200" spans="1:60" s="22" customFormat="1" ht="13">
      <c r="A200" s="21" t="s">
        <v>1206</v>
      </c>
      <c r="B200" s="22" t="s">
        <v>663</v>
      </c>
      <c r="C200" s="23" t="s">
        <v>822</v>
      </c>
      <c r="D200" s="23" t="s">
        <v>965</v>
      </c>
      <c r="E200" s="22" t="s">
        <v>991</v>
      </c>
      <c r="F200" s="23" t="s">
        <v>1200</v>
      </c>
      <c r="G200" s="23" t="s">
        <v>1201</v>
      </c>
      <c r="H200" s="22" t="s">
        <v>1202</v>
      </c>
      <c r="I200" s="22" t="s">
        <v>1203</v>
      </c>
      <c r="J200" s="22" t="s">
        <v>1207</v>
      </c>
      <c r="N200" s="22" t="s">
        <v>1208</v>
      </c>
      <c r="O200" s="22" t="s">
        <v>962</v>
      </c>
      <c r="P200" s="21">
        <v>50520</v>
      </c>
      <c r="Q200" s="21">
        <v>40</v>
      </c>
      <c r="R200" s="21">
        <v>5</v>
      </c>
      <c r="S200" s="21">
        <v>5</v>
      </c>
      <c r="T200" s="22" t="s">
        <v>281</v>
      </c>
      <c r="U200" s="21">
        <v>0.6</v>
      </c>
      <c r="V200" s="21">
        <v>0.6</v>
      </c>
      <c r="W200" s="24">
        <f>(4*3.14*(((Q200^1.6*R200^1.6+Q200^1.6*S200^1.6+R200^1.6+S200^1.6)/3)^(1/1.6)))*(1/V200)</f>
        <v>3255.0096080756221</v>
      </c>
      <c r="X200" s="24">
        <f>3.14/6*Q200*R200*S200*U200</f>
        <v>314</v>
      </c>
      <c r="Y200" s="21">
        <v>1</v>
      </c>
      <c r="Z200" s="24">
        <f>Y200*W200</f>
        <v>3255.0096080756221</v>
      </c>
      <c r="AA200" s="24">
        <f>Y200*X200</f>
        <v>314</v>
      </c>
      <c r="AB200" s="21"/>
      <c r="AC200" s="21"/>
      <c r="AD200" s="21"/>
      <c r="AE200" s="21"/>
      <c r="AF200" s="21" t="s">
        <v>247</v>
      </c>
      <c r="AG200" s="21"/>
      <c r="AH200" s="24"/>
      <c r="AI200" s="24"/>
      <c r="AJ200" s="21">
        <v>314.2</v>
      </c>
      <c r="AK200" s="21">
        <v>40</v>
      </c>
      <c r="AL200" s="22" t="s">
        <v>161</v>
      </c>
      <c r="AM200" s="22">
        <v>0.11</v>
      </c>
      <c r="AN200" s="22" t="s">
        <v>1057</v>
      </c>
      <c r="AO200" s="22" t="s">
        <v>1057</v>
      </c>
      <c r="AP200" s="22" t="s">
        <v>963</v>
      </c>
      <c r="AQ200" s="22" t="str">
        <f>IF(AND($AK200&lt;20,AJ200&lt;10000),"Nanophytoplankton","Microphytoplankton")</f>
        <v>Microphytoplankton</v>
      </c>
      <c r="AR200" s="22">
        <v>1</v>
      </c>
      <c r="AS200" s="22">
        <v>1</v>
      </c>
      <c r="AT200" s="22">
        <v>0</v>
      </c>
      <c r="AU200" s="22">
        <v>0</v>
      </c>
      <c r="AV200" s="22">
        <v>0</v>
      </c>
      <c r="AW200" s="22">
        <v>0</v>
      </c>
      <c r="AX200" s="22">
        <v>1</v>
      </c>
      <c r="AY200" s="22">
        <v>0</v>
      </c>
      <c r="AZ200" s="22">
        <v>0</v>
      </c>
      <c r="BA200" s="22">
        <v>0</v>
      </c>
      <c r="BB200" s="22">
        <v>2</v>
      </c>
      <c r="BC200" s="22">
        <v>3</v>
      </c>
      <c r="BD200" s="22">
        <v>3</v>
      </c>
      <c r="BE200" s="22">
        <v>2</v>
      </c>
      <c r="BH200" s="22">
        <f t="shared" ref="BH200:BH265" si="39">X200/W200</f>
        <v>9.6466689136944936E-2</v>
      </c>
    </row>
    <row r="201" spans="1:60" s="22" customFormat="1" ht="13">
      <c r="A201" s="21" t="s">
        <v>487</v>
      </c>
      <c r="B201" s="22" t="s">
        <v>149</v>
      </c>
      <c r="C201" s="22" t="s">
        <v>150</v>
      </c>
      <c r="D201" s="23" t="s">
        <v>151</v>
      </c>
      <c r="E201" s="22" t="s">
        <v>61</v>
      </c>
      <c r="F201" s="22" t="s">
        <v>152</v>
      </c>
      <c r="G201" s="22" t="s">
        <v>60</v>
      </c>
      <c r="H201" s="22" t="s">
        <v>226</v>
      </c>
      <c r="I201" s="22" t="s">
        <v>484</v>
      </c>
      <c r="J201" s="22" t="s">
        <v>216</v>
      </c>
      <c r="N201" s="22" t="s">
        <v>488</v>
      </c>
      <c r="O201" s="22" t="s">
        <v>158</v>
      </c>
      <c r="P201" s="21">
        <v>10120</v>
      </c>
      <c r="Q201" s="21">
        <v>0.8</v>
      </c>
      <c r="R201" s="21">
        <v>0.8</v>
      </c>
      <c r="S201" s="21">
        <v>0.8</v>
      </c>
      <c r="T201" s="21" t="s">
        <v>281</v>
      </c>
      <c r="U201" s="21">
        <v>1</v>
      </c>
      <c r="V201" s="21">
        <v>1</v>
      </c>
      <c r="W201" s="24">
        <f>(4*3.14*(((Q201^1.6*R201^1.6+Q201^1.6*S201^1.6+R201^1.6+S201^1.6)/3)^(1/1.6)))*(1/V201)</f>
        <v>10.864594492940718</v>
      </c>
      <c r="X201" s="24">
        <f>3.14/6*Q201*R201*S201*U201</f>
        <v>0.26794666666666672</v>
      </c>
      <c r="Y201" s="21">
        <v>32</v>
      </c>
      <c r="Z201" s="24">
        <f>Y201*W201</f>
        <v>347.66702377410297</v>
      </c>
      <c r="AA201" s="24">
        <f>Y201*X201</f>
        <v>8.5742933333333351</v>
      </c>
      <c r="AB201" s="21">
        <v>35</v>
      </c>
      <c r="AC201" s="21">
        <v>17</v>
      </c>
      <c r="AD201" s="21">
        <v>4</v>
      </c>
      <c r="AE201" s="21" t="s">
        <v>330</v>
      </c>
      <c r="AF201" s="21">
        <v>0.4</v>
      </c>
      <c r="AG201" s="21">
        <v>1</v>
      </c>
      <c r="AH201" s="25">
        <f>(AB201*AC201*2+AB201*AD201*2+AC201*AD201*2)/AG201</f>
        <v>1606</v>
      </c>
      <c r="AI201" s="25">
        <f>AB201*AC201*AD201*AF201</f>
        <v>952</v>
      </c>
      <c r="AJ201" s="21">
        <v>9</v>
      </c>
      <c r="AK201" s="21">
        <v>20</v>
      </c>
      <c r="AL201" s="22" t="s">
        <v>161</v>
      </c>
      <c r="AM201" s="22">
        <v>0.22</v>
      </c>
      <c r="AN201" s="22" t="s">
        <v>331</v>
      </c>
      <c r="AO201" s="22" t="s">
        <v>331</v>
      </c>
      <c r="AP201" s="22" t="s">
        <v>230</v>
      </c>
      <c r="AQ201" s="22" t="str">
        <f>IF(AND($AK201&lt;20,AJ201&lt;10000),"Nanophytoplankton","Microphytoplankton")</f>
        <v>Microphytoplankton</v>
      </c>
      <c r="AR201" s="22">
        <v>0</v>
      </c>
      <c r="AS201" s="22">
        <v>0</v>
      </c>
      <c r="AT201" s="22">
        <v>0</v>
      </c>
      <c r="AU201" s="22">
        <v>1</v>
      </c>
      <c r="AV201" s="22">
        <v>0</v>
      </c>
      <c r="AW201" s="22">
        <v>0</v>
      </c>
      <c r="AX201" s="22">
        <v>0</v>
      </c>
      <c r="AY201" s="22">
        <v>1</v>
      </c>
      <c r="BH201" s="22">
        <f t="shared" si="39"/>
        <v>2.4662371599857257E-2</v>
      </c>
    </row>
    <row r="202" spans="1:60" s="22" customFormat="1" ht="13">
      <c r="A202" s="21" t="s">
        <v>483</v>
      </c>
      <c r="B202" s="22" t="s">
        <v>149</v>
      </c>
      <c r="C202" s="22" t="s">
        <v>150</v>
      </c>
      <c r="D202" s="23" t="s">
        <v>151</v>
      </c>
      <c r="E202" s="22" t="s">
        <v>61</v>
      </c>
      <c r="F202" s="22" t="s">
        <v>152</v>
      </c>
      <c r="G202" s="22" t="s">
        <v>60</v>
      </c>
      <c r="H202" s="22" t="s">
        <v>226</v>
      </c>
      <c r="I202" s="22" t="s">
        <v>484</v>
      </c>
      <c r="J202" s="22" t="s">
        <v>485</v>
      </c>
      <c r="N202" s="22" t="s">
        <v>486</v>
      </c>
      <c r="O202" s="22" t="s">
        <v>158</v>
      </c>
      <c r="P202" s="21">
        <v>10130</v>
      </c>
      <c r="Q202" s="21">
        <v>3</v>
      </c>
      <c r="R202" s="21">
        <v>3</v>
      </c>
      <c r="S202" s="21">
        <v>3</v>
      </c>
      <c r="T202" s="21" t="s">
        <v>281</v>
      </c>
      <c r="U202" s="21">
        <v>1</v>
      </c>
      <c r="V202" s="21">
        <v>1</v>
      </c>
      <c r="W202" s="24">
        <f>(4*3.14*(((Q202^1.6*R202^1.6+Q202^1.6*S202^1.6+R202^1.6+S202^1.6)/3)^(1/1.6)))*(1/V202)</f>
        <v>96.906701245925348</v>
      </c>
      <c r="X202" s="24">
        <f>3.14/6*Q202*R202*S202*U202</f>
        <v>14.129999999999997</v>
      </c>
      <c r="Y202" s="21">
        <v>16</v>
      </c>
      <c r="Z202" s="24">
        <f>Y202*W202</f>
        <v>1550.5072199348056</v>
      </c>
      <c r="AA202" s="24">
        <f>Y202*X202</f>
        <v>226.07999999999996</v>
      </c>
      <c r="AB202" s="21">
        <v>60</v>
      </c>
      <c r="AC202" s="21">
        <v>60</v>
      </c>
      <c r="AD202" s="21">
        <v>9</v>
      </c>
      <c r="AE202" s="21" t="s">
        <v>330</v>
      </c>
      <c r="AF202" s="21">
        <v>0.4</v>
      </c>
      <c r="AG202" s="21">
        <v>1</v>
      </c>
      <c r="AH202" s="25">
        <f>(AB202*AC202*2+AB202*AD202*2+AC202*AD202*2)/AG202</f>
        <v>9360</v>
      </c>
      <c r="AI202" s="25">
        <f>AB202*AC202*AD202*AF202</f>
        <v>12960</v>
      </c>
      <c r="AJ202" s="21">
        <v>226</v>
      </c>
      <c r="AK202" s="21">
        <v>20</v>
      </c>
      <c r="AL202" s="22" t="s">
        <v>161</v>
      </c>
      <c r="AM202" s="22">
        <v>0.22</v>
      </c>
      <c r="AN202" s="22" t="s">
        <v>331</v>
      </c>
      <c r="AO202" s="22" t="s">
        <v>331</v>
      </c>
      <c r="AP202" s="22" t="s">
        <v>230</v>
      </c>
      <c r="AQ202" s="22" t="str">
        <f>IF(AND($AK202&lt;20,AJ202&lt;10000),"Nanophytoplankton","Microphytoplankton")</f>
        <v>Microphytoplankton</v>
      </c>
      <c r="AR202" s="22">
        <v>0</v>
      </c>
      <c r="AS202" s="22">
        <v>0</v>
      </c>
      <c r="AT202" s="22">
        <v>0</v>
      </c>
      <c r="AU202" s="22">
        <v>1</v>
      </c>
      <c r="AV202" s="22">
        <v>0</v>
      </c>
      <c r="AW202" s="22">
        <v>0</v>
      </c>
      <c r="AX202" s="22">
        <v>0</v>
      </c>
      <c r="AY202" s="22">
        <v>1</v>
      </c>
      <c r="BH202" s="22">
        <f t="shared" si="39"/>
        <v>0.14581034973155815</v>
      </c>
    </row>
    <row r="203" spans="1:60">
      <c r="BH203" s="22"/>
    </row>
    <row r="204" spans="1:60">
      <c r="BH204" s="22"/>
    </row>
    <row r="205" spans="1:60" s="22" customFormat="1" ht="13">
      <c r="A205" s="21" t="s">
        <v>2503</v>
      </c>
      <c r="B205" s="22" t="s">
        <v>663</v>
      </c>
      <c r="C205" s="22" t="s">
        <v>2223</v>
      </c>
      <c r="D205" s="22" t="s">
        <v>2224</v>
      </c>
      <c r="E205" s="23" t="s">
        <v>63</v>
      </c>
      <c r="F205" s="23" t="s">
        <v>2225</v>
      </c>
      <c r="G205" s="23" t="s">
        <v>2226</v>
      </c>
      <c r="H205" s="22" t="s">
        <v>2279</v>
      </c>
      <c r="I205" s="22" t="s">
        <v>2490</v>
      </c>
      <c r="J205" s="21" t="s">
        <v>2504</v>
      </c>
      <c r="K205" s="21"/>
      <c r="L205" s="21"/>
      <c r="N205" s="22" t="s">
        <v>2505</v>
      </c>
      <c r="O205" s="22" t="s">
        <v>2229</v>
      </c>
      <c r="P205" s="21">
        <v>82010</v>
      </c>
      <c r="Q205" s="21">
        <v>7</v>
      </c>
      <c r="R205" s="21">
        <v>7</v>
      </c>
      <c r="S205" s="21">
        <v>7</v>
      </c>
      <c r="T205" s="21" t="s">
        <v>281</v>
      </c>
      <c r="U205" s="21">
        <v>1</v>
      </c>
      <c r="V205" s="21">
        <v>1</v>
      </c>
      <c r="W205" s="24">
        <f>(4*3.14*(((Q205^1.6*R205^1.6+Q205^1.6*S205^1.6+R205^1.6+S205^1.6)/3)^(1/1.6)))*(1/V205)</f>
        <v>490.83181458055361</v>
      </c>
      <c r="X205" s="24">
        <f>3.14/6*Q205*R205*S205*U205</f>
        <v>179.50333333333333</v>
      </c>
      <c r="Y205" s="21">
        <v>32</v>
      </c>
      <c r="Z205" s="24">
        <f>Y205*W205</f>
        <v>15706.618066577716</v>
      </c>
      <c r="AA205" s="24">
        <f>Y205*X205</f>
        <v>5744.1066666666666</v>
      </c>
      <c r="AB205" s="21">
        <v>42</v>
      </c>
      <c r="AC205" s="21">
        <v>42</v>
      </c>
      <c r="AD205" s="21">
        <v>42</v>
      </c>
      <c r="AE205" s="21" t="s">
        <v>246</v>
      </c>
      <c r="AF205" s="21">
        <v>0.1</v>
      </c>
      <c r="AG205" s="21">
        <v>1</v>
      </c>
      <c r="AH205" s="25">
        <f>4*3.14*(AC205/2)*(AB205/2)/AG205</f>
        <v>5538.96</v>
      </c>
      <c r="AI205" s="25">
        <f>(3.14/6*(AD205*AB205*AC205))*AF205</f>
        <v>3877.2720000000004</v>
      </c>
      <c r="AJ205" s="21">
        <v>5747</v>
      </c>
      <c r="AK205" s="21">
        <v>80</v>
      </c>
      <c r="AL205" s="22" t="s">
        <v>161</v>
      </c>
      <c r="AM205" s="22">
        <v>0.16</v>
      </c>
      <c r="AN205" s="38" t="s">
        <v>2282</v>
      </c>
      <c r="AO205" s="22" t="s">
        <v>2282</v>
      </c>
      <c r="AP205" s="22" t="s">
        <v>230</v>
      </c>
      <c r="AQ205" s="22" t="str">
        <f>IF(AND($AK205&lt;20,AJ205&lt;10000),"Nanophytoplankton","Microphytoplankton")</f>
        <v>Microphytoplankton</v>
      </c>
      <c r="AR205" s="22">
        <v>0</v>
      </c>
      <c r="AS205" s="22">
        <v>0</v>
      </c>
      <c r="AT205" s="22">
        <v>0</v>
      </c>
      <c r="AU205" s="22">
        <v>1</v>
      </c>
      <c r="AV205" s="22">
        <v>0</v>
      </c>
      <c r="AW205" s="22">
        <v>0</v>
      </c>
      <c r="AX205" s="22">
        <v>0</v>
      </c>
      <c r="AY205" s="22">
        <v>1</v>
      </c>
      <c r="AZ205" s="22">
        <v>0</v>
      </c>
      <c r="BA205" s="22">
        <v>0</v>
      </c>
      <c r="BB205" s="22">
        <v>2</v>
      </c>
      <c r="BC205" s="22">
        <v>4</v>
      </c>
      <c r="BD205" s="22">
        <v>4</v>
      </c>
      <c r="BE205" s="22">
        <v>0</v>
      </c>
      <c r="BH205" s="22">
        <f t="shared" si="39"/>
        <v>0.36571250681199247</v>
      </c>
    </row>
    <row r="206" spans="1:60">
      <c r="BH206" s="22"/>
    </row>
    <row r="207" spans="1:60">
      <c r="BH207" s="22"/>
    </row>
    <row r="208" spans="1:60">
      <c r="BH208" s="22"/>
    </row>
    <row r="209" spans="1:60">
      <c r="BH209" s="22"/>
    </row>
    <row r="210" spans="1:60">
      <c r="BH210" s="22"/>
    </row>
    <row r="211" spans="1:60" s="22" customFormat="1" ht="13">
      <c r="A211" s="21" t="s">
        <v>2758</v>
      </c>
      <c r="B211" s="22" t="s">
        <v>663</v>
      </c>
      <c r="C211" s="22" t="s">
        <v>2223</v>
      </c>
      <c r="D211" s="22" t="s">
        <v>2224</v>
      </c>
      <c r="E211" s="23" t="s">
        <v>63</v>
      </c>
      <c r="F211" s="23" t="s">
        <v>2225</v>
      </c>
      <c r="G211" s="23" t="s">
        <v>2226</v>
      </c>
      <c r="H211" s="22" t="s">
        <v>2239</v>
      </c>
      <c r="I211" s="22" t="s">
        <v>51</v>
      </c>
      <c r="J211" s="22" t="s">
        <v>2759</v>
      </c>
      <c r="K211" s="38"/>
      <c r="L211" s="38"/>
      <c r="N211" s="22" t="s">
        <v>2760</v>
      </c>
      <c r="O211" s="22" t="s">
        <v>2229</v>
      </c>
      <c r="P211" s="21">
        <v>83527</v>
      </c>
      <c r="Q211" s="22">
        <v>16</v>
      </c>
      <c r="R211" s="22">
        <v>13</v>
      </c>
      <c r="S211" s="22">
        <v>13</v>
      </c>
      <c r="T211" s="22" t="s">
        <v>159</v>
      </c>
      <c r="U211" s="22">
        <v>1</v>
      </c>
      <c r="V211" s="22">
        <v>1</v>
      </c>
      <c r="W211" s="24">
        <f>(4*3.14*(((Q211^1.6*R211^1.6+Q211^1.6*S211^1.6+R211^1.6+S211^1.6)/3)^(1/1.6)))*(1/V211)</f>
        <v>2042.6372703238269</v>
      </c>
      <c r="X211" s="24">
        <f>3.14/6*Q211*R211*S211*U211</f>
        <v>1415.0933333333332</v>
      </c>
      <c r="Y211" s="22">
        <v>4</v>
      </c>
      <c r="Z211" s="24">
        <f>Y211*W211</f>
        <v>8170.5490812953076</v>
      </c>
      <c r="AA211" s="24">
        <f>Y211*X211</f>
        <v>5660.373333333333</v>
      </c>
      <c r="AB211" s="22">
        <v>40</v>
      </c>
      <c r="AC211" s="22">
        <v>30</v>
      </c>
      <c r="AD211" s="22">
        <v>30</v>
      </c>
      <c r="AE211" s="22" t="s">
        <v>159</v>
      </c>
      <c r="AF211" s="22">
        <v>0.4</v>
      </c>
      <c r="AG211" s="22">
        <v>1</v>
      </c>
      <c r="AH211" s="24">
        <f>(4*3.14*(((AB211^1.6*AC211^1.6+AB211^1.6*AD211^1.6+AC211^1.6+AD211^1.6)/3)^(1/1.6)))*(1/AG211)</f>
        <v>11718.034589072233</v>
      </c>
      <c r="AI211" s="24">
        <f>3.14/6*AB211*AC211*AD211*AF211</f>
        <v>7536</v>
      </c>
      <c r="AJ211" s="21">
        <v>5660.373333333333</v>
      </c>
      <c r="AK211" s="21">
        <v>40</v>
      </c>
      <c r="AL211" s="22" t="s">
        <v>161</v>
      </c>
      <c r="AM211" s="22">
        <v>0.16</v>
      </c>
      <c r="AN211" s="22" t="s">
        <v>2282</v>
      </c>
      <c r="AO211" s="22" t="s">
        <v>2282</v>
      </c>
      <c r="AP211" s="22" t="s">
        <v>230</v>
      </c>
      <c r="AQ211" s="22" t="str">
        <f>IF(AND($AK211&lt;20,AJ211&lt;10000),"Nanophytoplankton","Microphytoplankton")</f>
        <v>Microphytoplankton</v>
      </c>
      <c r="AR211" s="22">
        <v>0</v>
      </c>
      <c r="AS211" s="22">
        <v>0</v>
      </c>
      <c r="AT211" s="22">
        <v>0</v>
      </c>
      <c r="AU211" s="22">
        <v>0</v>
      </c>
      <c r="AV211" s="22">
        <v>0</v>
      </c>
      <c r="AW211" s="22">
        <v>0</v>
      </c>
      <c r="AX211" s="22">
        <v>0</v>
      </c>
      <c r="AY211" s="22">
        <v>1</v>
      </c>
      <c r="BH211" s="22">
        <f t="shared" si="39"/>
        <v>0.69277759389409033</v>
      </c>
    </row>
    <row r="212" spans="1:60" s="22" customFormat="1" ht="13">
      <c r="A212" s="21" t="s">
        <v>2766</v>
      </c>
      <c r="B212" s="22" t="s">
        <v>663</v>
      </c>
      <c r="C212" s="22" t="s">
        <v>2223</v>
      </c>
      <c r="D212" s="22" t="s">
        <v>2224</v>
      </c>
      <c r="E212" s="23" t="s">
        <v>63</v>
      </c>
      <c r="F212" s="23" t="s">
        <v>2225</v>
      </c>
      <c r="G212" s="23" t="s">
        <v>2226</v>
      </c>
      <c r="H212" s="22" t="s">
        <v>2239</v>
      </c>
      <c r="I212" s="22" t="s">
        <v>51</v>
      </c>
      <c r="J212" s="38" t="s">
        <v>408</v>
      </c>
      <c r="K212" s="38"/>
      <c r="L212" s="38"/>
      <c r="N212" s="22" t="s">
        <v>409</v>
      </c>
      <c r="O212" s="22" t="s">
        <v>2229</v>
      </c>
      <c r="P212" s="21">
        <v>81210</v>
      </c>
      <c r="Q212" s="22">
        <v>8.5</v>
      </c>
      <c r="R212" s="22">
        <v>4</v>
      </c>
      <c r="S212" s="22">
        <v>4</v>
      </c>
      <c r="T212" s="21" t="s">
        <v>159</v>
      </c>
      <c r="U212" s="21">
        <v>1</v>
      </c>
      <c r="V212" s="21">
        <v>1</v>
      </c>
      <c r="W212" s="24">
        <f>(4*3.14*(((Q212^1.6*R212^1.6+Q212^1.6*S212^1.6+R212^1.6+S212^1.6)/3)^(1/1.6)))*(1/V212)</f>
        <v>338.15313367704772</v>
      </c>
      <c r="X212" s="24">
        <f>3.14/6*Q212*R212*S212*U212</f>
        <v>71.173333333333332</v>
      </c>
      <c r="Y212" s="22">
        <v>4</v>
      </c>
      <c r="Z212" s="24">
        <f>Y212*W212</f>
        <v>1352.6125347081909</v>
      </c>
      <c r="AA212" s="24">
        <f>Y212*X212</f>
        <v>284.69333333333333</v>
      </c>
      <c r="AB212" s="22">
        <v>30</v>
      </c>
      <c r="AC212" s="22">
        <v>8</v>
      </c>
      <c r="AD212" s="22">
        <v>8</v>
      </c>
      <c r="AE212" s="22" t="s">
        <v>159</v>
      </c>
      <c r="AF212" s="22">
        <v>0.7</v>
      </c>
      <c r="AG212" s="22">
        <v>1</v>
      </c>
      <c r="AH212" s="24">
        <f>(4*3.14*(((AB212^1.6*AC212^1.6+AB212^1.6*AD212^1.6+AC212^1.6+AD212^1.6)/3)^(1/1.6)))*(1/AG212)</f>
        <v>2345.940185399169</v>
      </c>
      <c r="AI212" s="24">
        <f>3.14/6*AB212*AC212*AD212*AF212</f>
        <v>703.3599999999999</v>
      </c>
      <c r="AJ212" s="21">
        <v>284.60000000000002</v>
      </c>
      <c r="AK212" s="21">
        <v>30</v>
      </c>
      <c r="AL212" s="22" t="s">
        <v>161</v>
      </c>
      <c r="AM212" s="22">
        <v>0.16</v>
      </c>
      <c r="AN212" s="22" t="s">
        <v>2282</v>
      </c>
      <c r="AO212" s="22" t="s">
        <v>2282</v>
      </c>
      <c r="AP212" s="22" t="s">
        <v>230</v>
      </c>
      <c r="AQ212" s="22" t="str">
        <f>IF(AND($AK212&lt;20,AJ212&lt;10000),"Nanophytoplankton","Microphytoplankton")</f>
        <v>Microphytoplankton</v>
      </c>
      <c r="AR212" s="22">
        <v>0</v>
      </c>
      <c r="AS212" s="22">
        <v>0</v>
      </c>
      <c r="AT212" s="22">
        <v>0</v>
      </c>
      <c r="AU212" s="22">
        <v>0</v>
      </c>
      <c r="AV212" s="22">
        <v>0</v>
      </c>
      <c r="AW212" s="22">
        <v>0</v>
      </c>
      <c r="AX212" s="22">
        <v>0</v>
      </c>
      <c r="AY212" s="22">
        <v>1</v>
      </c>
      <c r="AZ212" s="22">
        <v>0</v>
      </c>
      <c r="BA212" s="22">
        <v>0</v>
      </c>
      <c r="BB212" s="22">
        <v>0</v>
      </c>
      <c r="BC212" s="22">
        <v>1</v>
      </c>
      <c r="BD212" s="22">
        <v>6</v>
      </c>
      <c r="BE212" s="22">
        <v>3</v>
      </c>
      <c r="BH212" s="22">
        <f t="shared" si="39"/>
        <v>0.21047663394214539</v>
      </c>
    </row>
    <row r="213" spans="1:60">
      <c r="BH213" s="22"/>
    </row>
    <row r="214" spans="1:60" s="22" customFormat="1" ht="28">
      <c r="A214" s="21" t="s">
        <v>553</v>
      </c>
      <c r="B214" s="22" t="s">
        <v>149</v>
      </c>
      <c r="C214" s="22" t="s">
        <v>150</v>
      </c>
      <c r="D214" s="23" t="s">
        <v>151</v>
      </c>
      <c r="E214" s="22" t="s">
        <v>61</v>
      </c>
      <c r="F214" s="22" t="s">
        <v>152</v>
      </c>
      <c r="G214" s="20" t="s">
        <v>153</v>
      </c>
      <c r="H214" s="22" t="s">
        <v>543</v>
      </c>
      <c r="I214" s="22" t="s">
        <v>554</v>
      </c>
      <c r="J214" s="22" t="s">
        <v>555</v>
      </c>
      <c r="N214" s="22" t="s">
        <v>556</v>
      </c>
      <c r="O214" s="22" t="s">
        <v>158</v>
      </c>
      <c r="P214" s="21">
        <v>10931</v>
      </c>
      <c r="Q214" s="21">
        <v>3</v>
      </c>
      <c r="R214" s="21">
        <v>6</v>
      </c>
      <c r="S214" s="21">
        <v>6</v>
      </c>
      <c r="T214" s="21" t="s">
        <v>160</v>
      </c>
      <c r="U214" s="21">
        <v>1</v>
      </c>
      <c r="V214" s="22">
        <v>1</v>
      </c>
      <c r="W214" s="24">
        <f>3.14*R214*Q214+2*3.14*(S214/2)^2/V214</f>
        <v>113.03999999999999</v>
      </c>
      <c r="X214" s="25">
        <f>(3.14/4*R214^2*Q214)*U214</f>
        <v>84.78</v>
      </c>
      <c r="Y214" s="21">
        <v>33.33</v>
      </c>
      <c r="Z214" s="24">
        <f>Y214*W214</f>
        <v>3767.6231999999995</v>
      </c>
      <c r="AA214" s="24">
        <f>Y214*X214</f>
        <v>2825.7174</v>
      </c>
      <c r="AB214" s="21">
        <v>100</v>
      </c>
      <c r="AC214" s="21">
        <v>6</v>
      </c>
      <c r="AD214" s="21">
        <v>6</v>
      </c>
      <c r="AE214" s="21" t="s">
        <v>160</v>
      </c>
      <c r="AF214" s="21">
        <v>1</v>
      </c>
      <c r="AG214" s="22">
        <v>1</v>
      </c>
      <c r="AH214" s="24">
        <f>3.14*AC214*AB214+2*3.14*(AD214/2)^2/AG214</f>
        <v>1940.52</v>
      </c>
      <c r="AI214" s="25">
        <f>(3.14/4*AC214^2*AB214)*AF214</f>
        <v>2826</v>
      </c>
      <c r="AJ214" s="21">
        <v>461</v>
      </c>
      <c r="AK214" s="21">
        <v>100</v>
      </c>
      <c r="AL214" s="22" t="s">
        <v>161</v>
      </c>
      <c r="AM214" s="22">
        <v>0.22</v>
      </c>
      <c r="AN214" s="22" t="s">
        <v>388</v>
      </c>
      <c r="AO214" s="22" t="s">
        <v>388</v>
      </c>
      <c r="AP214" s="22" t="s">
        <v>169</v>
      </c>
      <c r="AQ214" s="22" t="str">
        <f>IF(AND($AK214&lt;20,AJ214&lt;10000),"Nanophytoplankton","Microphytoplankton")</f>
        <v>Microphytoplankton</v>
      </c>
      <c r="AR214" s="22">
        <v>0</v>
      </c>
      <c r="AS214" s="22">
        <v>0</v>
      </c>
      <c r="AT214" s="22">
        <v>0</v>
      </c>
      <c r="AU214" s="22">
        <v>1</v>
      </c>
      <c r="AV214" s="22">
        <v>1</v>
      </c>
      <c r="AW214" s="22">
        <v>0</v>
      </c>
      <c r="AX214" s="22">
        <v>0</v>
      </c>
      <c r="AY214" s="22">
        <v>1</v>
      </c>
      <c r="BH214" s="22">
        <f t="shared" si="39"/>
        <v>0.75000000000000011</v>
      </c>
    </row>
    <row r="215" spans="1:60">
      <c r="BH215" s="22"/>
    </row>
    <row r="216" spans="1:60" s="22" customFormat="1" ht="13">
      <c r="A216" s="21" t="s">
        <v>2777</v>
      </c>
      <c r="B216" s="22" t="s">
        <v>663</v>
      </c>
      <c r="C216" s="22" t="s">
        <v>2223</v>
      </c>
      <c r="D216" s="22" t="s">
        <v>2224</v>
      </c>
      <c r="E216" s="23" t="s">
        <v>63</v>
      </c>
      <c r="F216" s="23" t="s">
        <v>2225</v>
      </c>
      <c r="G216" s="23" t="s">
        <v>2284</v>
      </c>
      <c r="H216" s="23" t="s">
        <v>2534</v>
      </c>
      <c r="I216" s="22" t="s">
        <v>2778</v>
      </c>
      <c r="J216" s="22" t="s">
        <v>2779</v>
      </c>
      <c r="N216" s="22" t="s">
        <v>2003</v>
      </c>
      <c r="O216" s="22" t="s">
        <v>2229</v>
      </c>
      <c r="P216" s="21">
        <v>80610</v>
      </c>
      <c r="Q216" s="21">
        <v>15</v>
      </c>
      <c r="R216" s="21">
        <v>15</v>
      </c>
      <c r="S216" s="21">
        <v>15</v>
      </c>
      <c r="T216" s="21" t="s">
        <v>281</v>
      </c>
      <c r="U216" s="21">
        <v>1</v>
      </c>
      <c r="V216" s="21">
        <v>1</v>
      </c>
      <c r="W216" s="24">
        <f>(4*3.14*(((Q216^1.6*R216^1.6+Q216^1.6*S216^1.6+R216^1.6+S216^1.6)/3)^(1/1.6)))*(1/V216)</f>
        <v>2211.3412553863004</v>
      </c>
      <c r="X216" s="24">
        <f>3.14/6*Q216*R216*S216*U216</f>
        <v>1766.25</v>
      </c>
      <c r="Y216" s="21">
        <v>16</v>
      </c>
      <c r="Z216" s="24">
        <f>Y216*W216</f>
        <v>35381.460086180807</v>
      </c>
      <c r="AA216" s="24">
        <f>Y216*X216</f>
        <v>28260</v>
      </c>
      <c r="AB216" s="21">
        <v>70</v>
      </c>
      <c r="AC216" s="21">
        <v>70</v>
      </c>
      <c r="AD216" s="21">
        <v>70</v>
      </c>
      <c r="AE216" s="21" t="s">
        <v>246</v>
      </c>
      <c r="AF216" s="22">
        <v>0.7</v>
      </c>
      <c r="AG216" s="21">
        <v>1</v>
      </c>
      <c r="AH216" s="25">
        <f>4*3.14*(AC216/2)*(AB216/2)/AG216</f>
        <v>15386</v>
      </c>
      <c r="AI216" s="25">
        <f>(3.14/6*(AD216*AB216*AC216))*AF216</f>
        <v>125652.33333333331</v>
      </c>
      <c r="AJ216" s="21">
        <v>28274.3</v>
      </c>
      <c r="AK216" s="21">
        <v>70</v>
      </c>
      <c r="AL216" s="22" t="s">
        <v>161</v>
      </c>
      <c r="AM216" s="22">
        <v>0.16</v>
      </c>
      <c r="AN216" s="22" t="s">
        <v>2282</v>
      </c>
      <c r="AO216" s="22" t="s">
        <v>2289</v>
      </c>
      <c r="AP216" s="22" t="s">
        <v>673</v>
      </c>
      <c r="AQ216" s="22" t="str">
        <f>IF(AND($AK216&lt;20,AJ216&lt;10000),"Nanophytoplankton","Microphytoplankton")</f>
        <v>Microphytoplankton</v>
      </c>
      <c r="AR216" s="22">
        <v>1</v>
      </c>
      <c r="AS216" s="22">
        <v>1</v>
      </c>
      <c r="AT216" s="22">
        <v>0</v>
      </c>
      <c r="AU216" s="22">
        <v>1</v>
      </c>
      <c r="AV216" s="22">
        <v>0</v>
      </c>
      <c r="AW216" s="22">
        <v>0</v>
      </c>
      <c r="AX216" s="22">
        <v>0</v>
      </c>
      <c r="AY216" s="22">
        <v>1</v>
      </c>
      <c r="AZ216" s="22">
        <v>0</v>
      </c>
      <c r="BA216" s="22">
        <v>0</v>
      </c>
      <c r="BB216" s="22">
        <v>0</v>
      </c>
      <c r="BC216" s="22">
        <v>1</v>
      </c>
      <c r="BD216" s="22">
        <v>2</v>
      </c>
      <c r="BE216" s="22">
        <v>7</v>
      </c>
      <c r="BH216" s="22">
        <f t="shared" si="39"/>
        <v>0.79872339725848995</v>
      </c>
    </row>
    <row r="217" spans="1:60" s="22" customFormat="1" ht="12.75" customHeight="1">
      <c r="A217" s="21" t="s">
        <v>2804</v>
      </c>
      <c r="B217" s="22" t="s">
        <v>663</v>
      </c>
      <c r="C217" s="22" t="s">
        <v>2223</v>
      </c>
      <c r="D217" s="22" t="s">
        <v>2224</v>
      </c>
      <c r="E217" s="23" t="s">
        <v>63</v>
      </c>
      <c r="F217" s="23" t="s">
        <v>2225</v>
      </c>
      <c r="G217" s="23" t="s">
        <v>2226</v>
      </c>
      <c r="H217" s="22" t="s">
        <v>2319</v>
      </c>
      <c r="I217" s="22" t="s">
        <v>52</v>
      </c>
      <c r="J217" s="21" t="s">
        <v>2805</v>
      </c>
      <c r="K217" s="21"/>
      <c r="L217" s="21"/>
      <c r="N217" s="22" t="s">
        <v>2806</v>
      </c>
      <c r="O217" s="22" t="s">
        <v>2229</v>
      </c>
      <c r="P217" s="21">
        <v>82710</v>
      </c>
      <c r="Q217" s="21">
        <v>8</v>
      </c>
      <c r="R217" s="21">
        <v>6</v>
      </c>
      <c r="S217" s="21">
        <v>4</v>
      </c>
      <c r="T217" s="22" t="s">
        <v>281</v>
      </c>
      <c r="U217" s="22">
        <v>0.4</v>
      </c>
      <c r="V217" s="22">
        <v>0.4</v>
      </c>
      <c r="W217" s="24">
        <f>(4*3.14*(((Q217^1.6*R217^1.6+Q217^1.6*S217^1.6+R217^1.6+S217^1.6)/3)^(1/1.6)))*(1/V217)</f>
        <v>1008.5030143627755</v>
      </c>
      <c r="X217" s="24">
        <f>3.14/6*Q217*R217*S217*U217</f>
        <v>40.192</v>
      </c>
      <c r="Y217" s="21">
        <v>64</v>
      </c>
      <c r="Z217" s="24">
        <f>Y217*W217</f>
        <v>64544.192919217632</v>
      </c>
      <c r="AA217" s="24">
        <f>Y217*X217</f>
        <v>2572.288</v>
      </c>
      <c r="AB217" s="21">
        <v>150</v>
      </c>
      <c r="AC217" s="21">
        <v>150</v>
      </c>
      <c r="AD217" s="21">
        <v>4</v>
      </c>
      <c r="AE217" s="21" t="s">
        <v>160</v>
      </c>
      <c r="AF217" s="22">
        <v>0.3</v>
      </c>
      <c r="AG217" s="22">
        <v>1</v>
      </c>
      <c r="AH217" s="24">
        <f>3.14*AC217*AB217+2*3.14*(AD217/2)^2/AG217</f>
        <v>70675.12</v>
      </c>
      <c r="AI217" s="25">
        <f>(3.14/4*AC217^2*AB217)*AF217</f>
        <v>794812.5</v>
      </c>
      <c r="AJ217" s="21">
        <v>6430.7199999999993</v>
      </c>
      <c r="AK217" s="21">
        <v>150</v>
      </c>
      <c r="AL217" s="22" t="s">
        <v>161</v>
      </c>
      <c r="AM217" s="22">
        <v>0.16</v>
      </c>
      <c r="AN217" s="22" t="s">
        <v>1364</v>
      </c>
      <c r="AO217" s="22" t="s">
        <v>1364</v>
      </c>
      <c r="AP217" s="22" t="s">
        <v>162</v>
      </c>
      <c r="AQ217" s="22" t="str">
        <f>IF(AND($AK217&lt;20,AJ217&lt;10000),"Nanophytoplankton","Microphytoplankton")</f>
        <v>Microphytoplankton</v>
      </c>
      <c r="AR217" s="22">
        <v>0</v>
      </c>
      <c r="AS217" s="22">
        <v>0</v>
      </c>
      <c r="AT217" s="22">
        <v>0</v>
      </c>
      <c r="AU217" s="22">
        <v>1</v>
      </c>
      <c r="AV217" s="22">
        <v>0</v>
      </c>
      <c r="AW217" s="22">
        <v>0</v>
      </c>
      <c r="AX217" s="22">
        <v>0</v>
      </c>
      <c r="AY217" s="22">
        <v>1</v>
      </c>
      <c r="AZ217" s="22">
        <v>0</v>
      </c>
      <c r="BA217" s="22">
        <v>0</v>
      </c>
      <c r="BB217" s="22">
        <v>0</v>
      </c>
      <c r="BC217" s="22">
        <v>1</v>
      </c>
      <c r="BD217" s="22">
        <v>7</v>
      </c>
      <c r="BE217" s="22">
        <v>2</v>
      </c>
      <c r="BH217" s="22">
        <f t="shared" si="39"/>
        <v>3.9853128277851889E-2</v>
      </c>
    </row>
    <row r="218" spans="1:60" s="22" customFormat="1" ht="13">
      <c r="A218" s="21" t="s">
        <v>2813</v>
      </c>
      <c r="B218" s="22" t="s">
        <v>663</v>
      </c>
      <c r="C218" s="22" t="s">
        <v>2223</v>
      </c>
      <c r="D218" s="22" t="s">
        <v>2224</v>
      </c>
      <c r="E218" s="23" t="s">
        <v>63</v>
      </c>
      <c r="F218" s="23" t="s">
        <v>2225</v>
      </c>
      <c r="G218" s="23" t="s">
        <v>2226</v>
      </c>
      <c r="H218" s="22" t="s">
        <v>2319</v>
      </c>
      <c r="I218" s="22" t="s">
        <v>52</v>
      </c>
      <c r="J218" s="21" t="s">
        <v>2814</v>
      </c>
      <c r="K218" s="21"/>
      <c r="L218" s="21"/>
      <c r="N218" s="22" t="s">
        <v>501</v>
      </c>
      <c r="O218" s="22" t="s">
        <v>2229</v>
      </c>
      <c r="P218" s="21">
        <v>82740</v>
      </c>
      <c r="Q218" s="21">
        <v>15</v>
      </c>
      <c r="R218" s="21">
        <v>10</v>
      </c>
      <c r="S218" s="22">
        <v>4</v>
      </c>
      <c r="T218" s="22" t="s">
        <v>281</v>
      </c>
      <c r="U218" s="22">
        <v>0.4</v>
      </c>
      <c r="V218" s="22">
        <v>0.4</v>
      </c>
      <c r="W218" s="24">
        <f>(4*3.14*(((Q218^1.6*R218^1.6+Q218^1.6*S218^1.6+R218^1.6+S218^1.6)/3)^(1/1.6)))*(1/V218)</f>
        <v>2721.0404887055779</v>
      </c>
      <c r="X218" s="24">
        <f>3.14/6*Q218*R218*S218*U218</f>
        <v>125.60000000000001</v>
      </c>
      <c r="Y218" s="21">
        <v>64</v>
      </c>
      <c r="Z218" s="24">
        <f>Y218*W218</f>
        <v>174146.59127715699</v>
      </c>
      <c r="AA218" s="24">
        <f>Y218*X218</f>
        <v>8038.4000000000005</v>
      </c>
      <c r="AB218" s="21">
        <v>100</v>
      </c>
      <c r="AC218" s="21">
        <v>100</v>
      </c>
      <c r="AD218" s="21">
        <v>4</v>
      </c>
      <c r="AE218" s="21" t="s">
        <v>160</v>
      </c>
      <c r="AF218" s="22">
        <v>0.3</v>
      </c>
      <c r="AG218" s="22">
        <v>1</v>
      </c>
      <c r="AH218" s="24">
        <f>3.14*AC218*AB218+2*3.14*(AD218/2)^2/AG218</f>
        <v>31425.119999999999</v>
      </c>
      <c r="AI218" s="25">
        <f>(3.14/4*AC218^2*AB218)*AF218</f>
        <v>235500</v>
      </c>
      <c r="AJ218" s="21">
        <v>23550</v>
      </c>
      <c r="AK218" s="21">
        <v>100</v>
      </c>
      <c r="AL218" s="22" t="s">
        <v>161</v>
      </c>
      <c r="AM218" s="22">
        <v>0.16</v>
      </c>
      <c r="AN218" s="22" t="s">
        <v>1364</v>
      </c>
      <c r="AO218" s="22" t="s">
        <v>1364</v>
      </c>
      <c r="AP218" s="22" t="s">
        <v>162</v>
      </c>
      <c r="AQ218" s="22" t="str">
        <f>IF(AND($AK218&lt;20,AJ218&lt;10000),"Nanophytoplankton","Microphytoplankton")</f>
        <v>Microphytoplankton</v>
      </c>
      <c r="AR218" s="22">
        <v>0</v>
      </c>
      <c r="AS218" s="22">
        <v>0</v>
      </c>
      <c r="AT218" s="22">
        <v>0</v>
      </c>
      <c r="AU218" s="22">
        <v>1</v>
      </c>
      <c r="AV218" s="22">
        <v>0</v>
      </c>
      <c r="AW218" s="22">
        <v>0</v>
      </c>
      <c r="AX218" s="22">
        <v>0</v>
      </c>
      <c r="AY218" s="22">
        <v>1</v>
      </c>
      <c r="AZ218" s="22">
        <v>0</v>
      </c>
      <c r="BA218" s="22">
        <v>0</v>
      </c>
      <c r="BB218" s="22">
        <v>0</v>
      </c>
      <c r="BC218" s="22">
        <v>1</v>
      </c>
      <c r="BD218" s="22">
        <v>6</v>
      </c>
      <c r="BE218" s="22">
        <v>3</v>
      </c>
      <c r="BH218" s="22">
        <f t="shared" si="39"/>
        <v>4.6158813336786841E-2</v>
      </c>
    </row>
    <row r="219" spans="1:60" s="22" customFormat="1" ht="13">
      <c r="A219" s="22" t="s">
        <v>2815</v>
      </c>
      <c r="B219" s="22" t="s">
        <v>663</v>
      </c>
      <c r="C219" s="22" t="s">
        <v>2223</v>
      </c>
      <c r="D219" s="22" t="s">
        <v>2224</v>
      </c>
      <c r="E219" s="23" t="s">
        <v>63</v>
      </c>
      <c r="F219" s="23" t="s">
        <v>2225</v>
      </c>
      <c r="G219" s="23" t="s">
        <v>2226</v>
      </c>
      <c r="H219" s="22" t="s">
        <v>2319</v>
      </c>
      <c r="I219" s="22" t="s">
        <v>52</v>
      </c>
      <c r="J219" s="22" t="s">
        <v>2816</v>
      </c>
      <c r="K219" s="22" t="s">
        <v>175</v>
      </c>
      <c r="L219" s="22" t="s">
        <v>2817</v>
      </c>
      <c r="N219" s="22" t="s">
        <v>2818</v>
      </c>
      <c r="O219" s="22" t="s">
        <v>2229</v>
      </c>
      <c r="P219" s="21">
        <v>82741</v>
      </c>
      <c r="Q219" s="22">
        <v>23</v>
      </c>
      <c r="R219" s="22">
        <v>21</v>
      </c>
      <c r="S219" s="22">
        <v>4</v>
      </c>
      <c r="T219" s="22" t="s">
        <v>281</v>
      </c>
      <c r="U219" s="22">
        <v>0.4</v>
      </c>
      <c r="V219" s="22">
        <v>0.4</v>
      </c>
      <c r="W219" s="24">
        <f>(4*3.14*(((Q219^1.6*R219^1.6+Q219^1.6*S219^1.6+R219^1.6+S219^1.6)/3)^(1/1.6)))*(1/V219)</f>
        <v>7997.2730012965421</v>
      </c>
      <c r="X219" s="24">
        <f>3.14/6*Q219*R219*S219*U219</f>
        <v>404.43200000000002</v>
      </c>
      <c r="Y219" s="22">
        <v>16</v>
      </c>
      <c r="Z219" s="24">
        <f>Y219*W219</f>
        <v>127956.36802074467</v>
      </c>
      <c r="AA219" s="24">
        <f>Y219*X219</f>
        <v>6470.9120000000003</v>
      </c>
      <c r="AB219" s="22">
        <v>92</v>
      </c>
      <c r="AC219" s="22">
        <v>92</v>
      </c>
      <c r="AD219" s="22">
        <v>4</v>
      </c>
      <c r="AE219" s="21" t="s">
        <v>160</v>
      </c>
      <c r="AF219" s="22">
        <v>0.3</v>
      </c>
      <c r="AG219" s="22">
        <v>1</v>
      </c>
      <c r="AH219" s="24">
        <f>3.14*AC219*AB219+2*3.14*(AD219/2)^2/AG219</f>
        <v>26602.079999999998</v>
      </c>
      <c r="AI219" s="25">
        <f>(3.14/4*AC219^2*AB219)*AF219</f>
        <v>183381.024</v>
      </c>
      <c r="AJ219" s="21">
        <v>16177.279999999999</v>
      </c>
      <c r="AK219" s="21">
        <v>92</v>
      </c>
      <c r="AL219" s="22" t="s">
        <v>161</v>
      </c>
      <c r="AM219" s="22">
        <v>0.16</v>
      </c>
      <c r="AN219" s="22" t="s">
        <v>1364</v>
      </c>
      <c r="AO219" s="22" t="s">
        <v>1364</v>
      </c>
      <c r="AP219" s="22" t="s">
        <v>162</v>
      </c>
      <c r="AQ219" s="22" t="str">
        <f>IF(AND($AK219&lt;20,AJ219&lt;10000),"Nanophytoplankton","Microphytoplankton")</f>
        <v>Microphytoplankton</v>
      </c>
      <c r="AR219" s="22">
        <v>0</v>
      </c>
      <c r="AS219" s="22">
        <v>0</v>
      </c>
      <c r="AT219" s="22">
        <v>0</v>
      </c>
      <c r="AU219" s="22">
        <v>1</v>
      </c>
      <c r="AV219" s="22">
        <v>0</v>
      </c>
      <c r="AW219" s="22">
        <v>0</v>
      </c>
      <c r="AX219" s="22">
        <v>0</v>
      </c>
      <c r="AY219" s="22">
        <v>1</v>
      </c>
      <c r="BH219" s="22">
        <f t="shared" si="39"/>
        <v>5.057123846271501E-2</v>
      </c>
    </row>
    <row r="220" spans="1:60">
      <c r="BH220" s="22"/>
    </row>
    <row r="221" spans="1:60">
      <c r="BH221" s="22"/>
    </row>
    <row r="222" spans="1:60" s="22" customFormat="1" ht="28">
      <c r="A222" s="21" t="s">
        <v>548</v>
      </c>
      <c r="B222" s="22" t="s">
        <v>149</v>
      </c>
      <c r="C222" s="22" t="s">
        <v>150</v>
      </c>
      <c r="D222" s="23" t="s">
        <v>151</v>
      </c>
      <c r="E222" s="22" t="s">
        <v>61</v>
      </c>
      <c r="F222" s="22" t="s">
        <v>152</v>
      </c>
      <c r="G222" s="20" t="s">
        <v>153</v>
      </c>
      <c r="H222" s="22" t="s">
        <v>154</v>
      </c>
      <c r="I222" s="22" t="s">
        <v>549</v>
      </c>
      <c r="J222" s="22" t="s">
        <v>528</v>
      </c>
      <c r="N222" s="22" t="s">
        <v>550</v>
      </c>
      <c r="O222" s="22" t="s">
        <v>158</v>
      </c>
      <c r="P222" s="21">
        <v>11302</v>
      </c>
      <c r="Q222" s="21">
        <v>5</v>
      </c>
      <c r="R222" s="21">
        <v>1.3</v>
      </c>
      <c r="S222" s="21">
        <v>1.3</v>
      </c>
      <c r="T222" s="21" t="s">
        <v>160</v>
      </c>
      <c r="U222" s="21">
        <v>1</v>
      </c>
      <c r="V222" s="21">
        <v>1</v>
      </c>
      <c r="W222" s="24">
        <f>3.14*R222*Q222+2*3.14*(S222/2)^2/V222</f>
        <v>23.063300000000005</v>
      </c>
      <c r="X222" s="25">
        <f>(3.14/4*R222^2*Q222)*U222</f>
        <v>6.6332500000000003</v>
      </c>
      <c r="Y222" s="21">
        <v>20</v>
      </c>
      <c r="Z222" s="24">
        <f>Y222*W222</f>
        <v>461.26600000000008</v>
      </c>
      <c r="AA222" s="24">
        <f>Y222*X222</f>
        <v>132.66500000000002</v>
      </c>
      <c r="AB222" s="21">
        <v>100</v>
      </c>
      <c r="AC222" s="21">
        <v>1.3</v>
      </c>
      <c r="AD222" s="21">
        <v>1.3</v>
      </c>
      <c r="AE222" s="21" t="s">
        <v>160</v>
      </c>
      <c r="AF222" s="21">
        <v>1</v>
      </c>
      <c r="AG222" s="22">
        <v>1</v>
      </c>
      <c r="AH222" s="24">
        <f>3.14*AC222*AB222+2*3.14*(AD222/2)^2/AG222</f>
        <v>410.85330000000005</v>
      </c>
      <c r="AI222" s="25">
        <f>(3.14/4*AC222^2*AB222)*AF222</f>
        <v>132.66500000000002</v>
      </c>
      <c r="AJ222" s="21">
        <v>132.66500000000005</v>
      </c>
      <c r="AK222" s="21">
        <v>100</v>
      </c>
      <c r="AL222" s="22" t="s">
        <v>551</v>
      </c>
      <c r="AM222" s="22">
        <v>0.22</v>
      </c>
      <c r="AO222" s="22" t="s">
        <v>388</v>
      </c>
      <c r="AP222" s="22" t="s">
        <v>162</v>
      </c>
      <c r="AQ222" s="22" t="str">
        <f>IF(AND($AK222&lt;20,AJ222&lt;10000),"Nanophytoplankton","Microphytoplankton")</f>
        <v>Microphytoplankton</v>
      </c>
      <c r="AR222" s="22">
        <v>0</v>
      </c>
      <c r="AS222" s="22">
        <v>0</v>
      </c>
      <c r="AT222" s="22">
        <v>0</v>
      </c>
      <c r="AU222" s="22">
        <v>1</v>
      </c>
      <c r="AV222" s="22">
        <v>1</v>
      </c>
      <c r="AW222" s="22">
        <v>0</v>
      </c>
      <c r="AX222" s="22">
        <v>0</v>
      </c>
      <c r="AY222" s="22">
        <v>1</v>
      </c>
      <c r="BH222" s="22">
        <f t="shared" si="39"/>
        <v>0.2876106194690265</v>
      </c>
    </row>
    <row r="223" spans="1:60">
      <c r="BH223" s="22"/>
    </row>
    <row r="224" spans="1:60" s="22" customFormat="1" ht="28">
      <c r="A224" s="21" t="s">
        <v>553</v>
      </c>
      <c r="B224" s="22" t="s">
        <v>149</v>
      </c>
      <c r="C224" s="22" t="s">
        <v>150</v>
      </c>
      <c r="D224" s="23" t="s">
        <v>151</v>
      </c>
      <c r="E224" s="22" t="s">
        <v>61</v>
      </c>
      <c r="F224" s="22" t="s">
        <v>152</v>
      </c>
      <c r="G224" s="20" t="s">
        <v>153</v>
      </c>
      <c r="H224" s="22" t="s">
        <v>543</v>
      </c>
      <c r="I224" s="22" t="s">
        <v>554</v>
      </c>
      <c r="J224" s="22" t="s">
        <v>555</v>
      </c>
      <c r="N224" s="22" t="s">
        <v>556</v>
      </c>
      <c r="O224" s="22" t="s">
        <v>158</v>
      </c>
      <c r="P224" s="21">
        <v>10931</v>
      </c>
      <c r="Q224" s="21">
        <v>3</v>
      </c>
      <c r="R224" s="21">
        <v>6</v>
      </c>
      <c r="S224" s="21">
        <v>6</v>
      </c>
      <c r="T224" s="21" t="s">
        <v>160</v>
      </c>
      <c r="U224" s="21">
        <v>1</v>
      </c>
      <c r="V224" s="22">
        <v>1</v>
      </c>
      <c r="W224" s="24">
        <f>3.14*R224*Q224+2*3.14*(S224/2)^2/V224</f>
        <v>113.03999999999999</v>
      </c>
      <c r="X224" s="25">
        <f>(3.14/4*R224^2*Q224)*U224</f>
        <v>84.78</v>
      </c>
      <c r="Y224" s="21">
        <v>33.33</v>
      </c>
      <c r="Z224" s="24">
        <f>Y224*W224</f>
        <v>3767.6231999999995</v>
      </c>
      <c r="AA224" s="24">
        <f>Y224*X224</f>
        <v>2825.7174</v>
      </c>
      <c r="AB224" s="21">
        <v>100</v>
      </c>
      <c r="AC224" s="21">
        <v>6</v>
      </c>
      <c r="AD224" s="21">
        <v>6</v>
      </c>
      <c r="AE224" s="21" t="s">
        <v>160</v>
      </c>
      <c r="AF224" s="21">
        <v>1</v>
      </c>
      <c r="AG224" s="22">
        <v>1</v>
      </c>
      <c r="AH224" s="24">
        <f>3.14*AC224*AB224+2*3.14*(AD224/2)^2/AG224</f>
        <v>1940.52</v>
      </c>
      <c r="AI224" s="25">
        <f>(3.14/4*AC224^2*AB224)*AF224</f>
        <v>2826</v>
      </c>
      <c r="AJ224" s="21">
        <v>461</v>
      </c>
      <c r="AK224" s="21">
        <v>100</v>
      </c>
      <c r="AL224" s="22" t="s">
        <v>161</v>
      </c>
      <c r="AM224" s="22">
        <v>0.22</v>
      </c>
      <c r="AN224" s="22" t="s">
        <v>388</v>
      </c>
      <c r="AO224" s="22" t="s">
        <v>388</v>
      </c>
      <c r="AP224" s="22" t="s">
        <v>169</v>
      </c>
      <c r="AQ224" s="22" t="str">
        <f>IF(AND($AK224&lt;20,AJ224&lt;10000),"Nanophytoplankton","Microphytoplankton")</f>
        <v>Microphytoplankton</v>
      </c>
      <c r="AR224" s="22">
        <v>0</v>
      </c>
      <c r="AS224" s="22">
        <v>0</v>
      </c>
      <c r="AT224" s="22">
        <v>0</v>
      </c>
      <c r="AU224" s="22">
        <v>1</v>
      </c>
      <c r="AV224" s="22">
        <v>1</v>
      </c>
      <c r="AW224" s="22">
        <v>0</v>
      </c>
      <c r="AX224" s="22">
        <v>0</v>
      </c>
      <c r="AY224" s="22">
        <v>1</v>
      </c>
      <c r="BH224" s="22">
        <f t="shared" si="39"/>
        <v>0.75000000000000011</v>
      </c>
    </row>
    <row r="225" spans="1:60" s="22" customFormat="1" ht="13">
      <c r="A225" s="21"/>
      <c r="D225" s="23"/>
      <c r="G225" s="20"/>
      <c r="P225" s="21"/>
      <c r="Q225" s="21"/>
      <c r="R225" s="21"/>
      <c r="S225" s="21"/>
      <c r="T225" s="21"/>
      <c r="U225" s="21"/>
      <c r="W225" s="24"/>
      <c r="X225" s="25"/>
      <c r="Y225" s="21"/>
      <c r="Z225" s="24"/>
      <c r="AA225" s="24"/>
      <c r="AB225" s="21"/>
      <c r="AC225" s="21"/>
      <c r="AD225" s="21"/>
      <c r="AE225" s="21"/>
      <c r="AF225" s="21"/>
      <c r="AH225" s="24"/>
      <c r="AI225" s="25"/>
      <c r="AJ225" s="21"/>
      <c r="AK225" s="21"/>
    </row>
    <row r="226" spans="1:60" s="22" customFormat="1" ht="28">
      <c r="A226" s="21" t="s">
        <v>580</v>
      </c>
      <c r="B226" s="22" t="s">
        <v>149</v>
      </c>
      <c r="C226" s="22" t="s">
        <v>150</v>
      </c>
      <c r="D226" s="23" t="s">
        <v>151</v>
      </c>
      <c r="E226" s="22" t="s">
        <v>61</v>
      </c>
      <c r="F226" s="22" t="s">
        <v>152</v>
      </c>
      <c r="G226" s="20" t="s">
        <v>153</v>
      </c>
      <c r="H226" s="22" t="s">
        <v>154</v>
      </c>
      <c r="I226" s="22" t="s">
        <v>563</v>
      </c>
      <c r="J226" s="22" t="s">
        <v>581</v>
      </c>
      <c r="N226" s="22" t="s">
        <v>582</v>
      </c>
      <c r="O226" s="22" t="s">
        <v>158</v>
      </c>
      <c r="P226" s="21">
        <v>11010</v>
      </c>
      <c r="Q226" s="21">
        <v>4</v>
      </c>
      <c r="R226" s="21">
        <v>1.9</v>
      </c>
      <c r="S226" s="21">
        <v>1.9</v>
      </c>
      <c r="T226" s="21" t="s">
        <v>160</v>
      </c>
      <c r="U226" s="21">
        <v>1</v>
      </c>
      <c r="V226" s="22">
        <v>1</v>
      </c>
      <c r="W226" s="24">
        <f>3.14*R226*Q226+2*3.14*(S226/2)^2/V226</f>
        <v>29.531700000000001</v>
      </c>
      <c r="X226" s="25">
        <f>(3.14/4*R226^2*Q226)*U226</f>
        <v>11.3354</v>
      </c>
      <c r="Y226" s="21">
        <v>25</v>
      </c>
      <c r="Z226" s="24">
        <f>Y226*W226</f>
        <v>738.29250000000002</v>
      </c>
      <c r="AA226" s="24">
        <f>Y226*X226</f>
        <v>283.38499999999999</v>
      </c>
      <c r="AB226" s="21">
        <v>100</v>
      </c>
      <c r="AC226" s="21">
        <v>1.9</v>
      </c>
      <c r="AD226" s="21">
        <v>1.9</v>
      </c>
      <c r="AE226" s="21" t="s">
        <v>160</v>
      </c>
      <c r="AF226" s="21">
        <v>1</v>
      </c>
      <c r="AG226" s="22">
        <v>1</v>
      </c>
      <c r="AH226" s="24">
        <f>3.14*AC226*AB226+2*3.14*(AD226/2)^2/AG226</f>
        <v>602.26769999999999</v>
      </c>
      <c r="AI226" s="25">
        <f>(3.14/4*AC226^2*AB226)*AF226</f>
        <v>283.38499999999999</v>
      </c>
      <c r="AJ226" s="21">
        <v>283.5</v>
      </c>
      <c r="AK226" s="21">
        <v>100</v>
      </c>
      <c r="AL226" s="22" t="s">
        <v>161</v>
      </c>
      <c r="AM226" s="22">
        <v>0.22</v>
      </c>
      <c r="AN226" s="22" t="s">
        <v>388</v>
      </c>
      <c r="AO226" s="22" t="s">
        <v>383</v>
      </c>
      <c r="AP226" s="22" t="s">
        <v>162</v>
      </c>
      <c r="AQ226" s="22" t="str">
        <f>IF(AND($AK226&lt;20,AJ226&lt;10000),"Nanophytoplankton","Microphytoplankton")</f>
        <v>Microphytoplankton</v>
      </c>
      <c r="AR226" s="22">
        <v>0</v>
      </c>
      <c r="AS226" s="22">
        <v>0</v>
      </c>
      <c r="AT226" s="22">
        <v>0</v>
      </c>
      <c r="AU226" s="22">
        <v>1</v>
      </c>
      <c r="AV226" s="22">
        <v>1</v>
      </c>
      <c r="AW226" s="22">
        <v>0</v>
      </c>
      <c r="AX226" s="22">
        <v>0</v>
      </c>
      <c r="AY226" s="22">
        <v>1</v>
      </c>
      <c r="BH226" s="22">
        <f t="shared" si="39"/>
        <v>0.38383838383838381</v>
      </c>
    </row>
    <row r="227" spans="1:60" s="22" customFormat="1" ht="28">
      <c r="A227" s="21" t="s">
        <v>583</v>
      </c>
      <c r="B227" s="22" t="s">
        <v>149</v>
      </c>
      <c r="C227" s="22" t="s">
        <v>150</v>
      </c>
      <c r="D227" s="23" t="s">
        <v>151</v>
      </c>
      <c r="E227" s="22" t="s">
        <v>61</v>
      </c>
      <c r="F227" s="22" t="s">
        <v>152</v>
      </c>
      <c r="G227" s="20" t="s">
        <v>153</v>
      </c>
      <c r="H227" s="22" t="s">
        <v>154</v>
      </c>
      <c r="I227" s="22" t="s">
        <v>563</v>
      </c>
      <c r="J227" s="22" t="s">
        <v>528</v>
      </c>
      <c r="N227" s="22" t="s">
        <v>584</v>
      </c>
      <c r="O227" s="22" t="s">
        <v>158</v>
      </c>
      <c r="P227" s="21">
        <v>10940</v>
      </c>
      <c r="Q227" s="21">
        <v>7</v>
      </c>
      <c r="R227" s="21">
        <v>1.9</v>
      </c>
      <c r="S227" s="21">
        <v>1.9</v>
      </c>
      <c r="T227" s="21" t="s">
        <v>160</v>
      </c>
      <c r="U227" s="21">
        <v>1</v>
      </c>
      <c r="V227" s="22">
        <v>1</v>
      </c>
      <c r="W227" s="24">
        <f>3.14*R227*Q227+2*3.14*(S227/2)^2/V227</f>
        <v>47.429699999999997</v>
      </c>
      <c r="X227" s="25">
        <f>(3.14/4*R227^2*Q227)*U227</f>
        <v>19.836950000000002</v>
      </c>
      <c r="Y227" s="21">
        <v>14.3</v>
      </c>
      <c r="Z227" s="24">
        <f>Y227*W227</f>
        <v>678.24470999999994</v>
      </c>
      <c r="AA227" s="24">
        <f>Y227*X227</f>
        <v>283.66838500000006</v>
      </c>
      <c r="AB227" s="21">
        <v>100</v>
      </c>
      <c r="AC227" s="21">
        <v>1.9</v>
      </c>
      <c r="AD227" s="21">
        <v>1.9</v>
      </c>
      <c r="AE227" s="21" t="s">
        <v>160</v>
      </c>
      <c r="AF227" s="21">
        <v>1</v>
      </c>
      <c r="AG227" s="22">
        <v>1</v>
      </c>
      <c r="AH227" s="24">
        <f>3.14*AC227*AB227+2*3.14*(AD227/2)^2/AG227</f>
        <v>602.26769999999999</v>
      </c>
      <c r="AI227" s="25">
        <f>(3.14/4*AC227^2*AB227)*AF227</f>
        <v>283.38499999999999</v>
      </c>
      <c r="AJ227" s="21">
        <v>283.5</v>
      </c>
      <c r="AK227" s="21">
        <v>100</v>
      </c>
      <c r="AL227" s="22" t="s">
        <v>161</v>
      </c>
      <c r="AM227" s="22">
        <v>0.22</v>
      </c>
      <c r="AN227" s="22" t="s">
        <v>388</v>
      </c>
      <c r="AO227" s="22" t="s">
        <v>388</v>
      </c>
      <c r="AP227" s="22" t="s">
        <v>162</v>
      </c>
      <c r="AQ227" s="22" t="str">
        <f>IF(AND($AK227&lt;20,AJ227&lt;10000),"Nanophytoplankton","Microphytoplankton")</f>
        <v>Microphytoplankton</v>
      </c>
      <c r="AR227" s="22">
        <v>0</v>
      </c>
      <c r="AS227" s="22">
        <v>0</v>
      </c>
      <c r="AT227" s="22">
        <v>0</v>
      </c>
      <c r="AU227" s="22">
        <v>1</v>
      </c>
      <c r="AV227" s="22">
        <v>1</v>
      </c>
      <c r="AW227" s="22">
        <v>0</v>
      </c>
      <c r="AX227" s="22">
        <v>0</v>
      </c>
      <c r="AY227" s="22">
        <v>1</v>
      </c>
      <c r="BH227" s="22">
        <f t="shared" si="39"/>
        <v>0.4182389937106919</v>
      </c>
    </row>
    <row r="228" spans="1:60" s="22" customFormat="1" ht="28">
      <c r="A228" s="21" t="s">
        <v>587</v>
      </c>
      <c r="B228" s="22" t="s">
        <v>149</v>
      </c>
      <c r="C228" s="22" t="s">
        <v>150</v>
      </c>
      <c r="D228" s="23" t="s">
        <v>151</v>
      </c>
      <c r="E228" s="22" t="s">
        <v>61</v>
      </c>
      <c r="F228" s="22" t="s">
        <v>152</v>
      </c>
      <c r="G228" s="20" t="s">
        <v>153</v>
      </c>
      <c r="H228" s="22" t="s">
        <v>154</v>
      </c>
      <c r="I228" s="22" t="s">
        <v>563</v>
      </c>
      <c r="J228" s="22" t="s">
        <v>588</v>
      </c>
      <c r="N228" s="22" t="s">
        <v>589</v>
      </c>
      <c r="O228" s="22" t="s">
        <v>158</v>
      </c>
      <c r="P228" s="21">
        <v>11110</v>
      </c>
      <c r="Q228" s="21">
        <v>3</v>
      </c>
      <c r="R228" s="21">
        <v>2</v>
      </c>
      <c r="S228" s="21">
        <v>2</v>
      </c>
      <c r="T228" s="21" t="s">
        <v>160</v>
      </c>
      <c r="U228" s="21">
        <v>1</v>
      </c>
      <c r="V228" s="22">
        <v>1</v>
      </c>
      <c r="W228" s="24">
        <f>3.14*R228*Q228+2*3.14*(S228/2)^2/V228</f>
        <v>25.12</v>
      </c>
      <c r="X228" s="25">
        <f>(3.14/4*R228^2*Q228)*U228</f>
        <v>9.42</v>
      </c>
      <c r="Y228" s="21">
        <v>11.7</v>
      </c>
      <c r="Z228" s="24">
        <f>Y228*W228</f>
        <v>293.904</v>
      </c>
      <c r="AA228" s="24">
        <f>Y228*X228</f>
        <v>110.214</v>
      </c>
      <c r="AB228" s="21">
        <v>35</v>
      </c>
      <c r="AC228" s="21">
        <v>2</v>
      </c>
      <c r="AD228" s="21">
        <v>2</v>
      </c>
      <c r="AE228" s="21" t="s">
        <v>160</v>
      </c>
      <c r="AF228" s="21">
        <v>1</v>
      </c>
      <c r="AG228" s="22">
        <v>1</v>
      </c>
      <c r="AH228" s="24">
        <f>3.14*AC228*AB228+2*3.14*(AD228/2)^2/AG228</f>
        <v>226.08</v>
      </c>
      <c r="AI228" s="25">
        <f>(3.14/4*AC228^2*AB228)*AF228</f>
        <v>109.9</v>
      </c>
      <c r="AJ228" s="21">
        <v>110</v>
      </c>
      <c r="AK228" s="21">
        <v>35</v>
      </c>
      <c r="AL228" s="22" t="s">
        <v>161</v>
      </c>
      <c r="AM228" s="22">
        <v>0.22</v>
      </c>
      <c r="AN228" s="22" t="s">
        <v>388</v>
      </c>
      <c r="AO228" s="22" t="s">
        <v>388</v>
      </c>
      <c r="AP228" s="22" t="s">
        <v>162</v>
      </c>
      <c r="AQ228" s="22" t="str">
        <f>IF(AND($AK228&lt;20,AJ228&lt;10000),"Nanophytoplankton","Microphytoplankton")</f>
        <v>Microphytoplankton</v>
      </c>
      <c r="AR228" s="22">
        <v>0</v>
      </c>
      <c r="AS228" s="22">
        <v>0</v>
      </c>
      <c r="AT228" s="22">
        <v>0</v>
      </c>
      <c r="AU228" s="22">
        <v>1</v>
      </c>
      <c r="AV228" s="22">
        <v>1</v>
      </c>
      <c r="AW228" s="22">
        <v>0</v>
      </c>
      <c r="AX228" s="22">
        <v>0</v>
      </c>
      <c r="AY228" s="22">
        <v>1</v>
      </c>
      <c r="BH228" s="22">
        <f t="shared" si="39"/>
        <v>0.375</v>
      </c>
    </row>
    <row r="229" spans="1:60" s="22" customFormat="1" ht="13">
      <c r="A229" s="21" t="s">
        <v>595</v>
      </c>
      <c r="B229" s="22" t="s">
        <v>149</v>
      </c>
      <c r="C229" s="22" t="s">
        <v>150</v>
      </c>
      <c r="D229" s="23" t="s">
        <v>151</v>
      </c>
      <c r="E229" s="22" t="s">
        <v>61</v>
      </c>
      <c r="F229" s="22" t="s">
        <v>152</v>
      </c>
      <c r="G229" s="22" t="s">
        <v>60</v>
      </c>
      <c r="H229" s="22" t="s">
        <v>293</v>
      </c>
      <c r="I229" s="22" t="s">
        <v>596</v>
      </c>
      <c r="J229" s="22" t="s">
        <v>597</v>
      </c>
      <c r="N229" s="22" t="s">
        <v>598</v>
      </c>
      <c r="O229" s="22" t="s">
        <v>158</v>
      </c>
      <c r="P229" s="21">
        <v>11322</v>
      </c>
      <c r="Q229" s="21">
        <v>2.5</v>
      </c>
      <c r="R229" s="21">
        <v>2.25</v>
      </c>
      <c r="S229" s="21">
        <v>2.25</v>
      </c>
      <c r="T229" s="21" t="s">
        <v>159</v>
      </c>
      <c r="U229" s="21">
        <v>1</v>
      </c>
      <c r="V229" s="22">
        <v>1</v>
      </c>
      <c r="W229" s="24">
        <f>(4*3.14*(((Q229^1.6*R229^1.6+Q229^1.6*S229^1.6+R229^1.6+S229^1.6)/3)^(1/1.6)))*(1/V229)</f>
        <v>62.435179221472758</v>
      </c>
      <c r="X229" s="24">
        <f>3.14/6*Q229*R229*S229*U229</f>
        <v>6.6234375000000005</v>
      </c>
      <c r="Y229" s="21">
        <v>1</v>
      </c>
      <c r="Z229" s="24">
        <f>Y229*W229</f>
        <v>62.435179221472758</v>
      </c>
      <c r="AA229" s="24">
        <f>Y229*X229</f>
        <v>6.6234375000000005</v>
      </c>
      <c r="AB229" s="21"/>
      <c r="AC229" s="21"/>
      <c r="AD229" s="21"/>
      <c r="AE229" s="21"/>
      <c r="AF229" s="21" t="s">
        <v>247</v>
      </c>
      <c r="AG229" s="21"/>
      <c r="AH229" s="24"/>
      <c r="AI229" s="24"/>
      <c r="AJ229" s="21">
        <v>6.6234375000000005</v>
      </c>
      <c r="AK229" s="21">
        <v>2.5</v>
      </c>
      <c r="AL229" s="22" t="s">
        <v>599</v>
      </c>
      <c r="AM229" s="22">
        <v>0.22</v>
      </c>
      <c r="AP229" s="22" t="s">
        <v>230</v>
      </c>
      <c r="AQ229" s="22" t="str">
        <f>IF(AND($AK229&lt;20,AJ229&lt;10000),"Nanophytoplankton","Microphytoplankton")</f>
        <v>Nanophytoplankton</v>
      </c>
      <c r="AR229" s="22">
        <v>0</v>
      </c>
      <c r="AS229" s="22">
        <v>0</v>
      </c>
      <c r="AT229" s="22">
        <v>0</v>
      </c>
      <c r="AU229" s="22">
        <v>1</v>
      </c>
      <c r="AV229" s="22">
        <v>0</v>
      </c>
      <c r="AW229" s="22">
        <v>0</v>
      </c>
      <c r="AX229" s="22">
        <v>0</v>
      </c>
      <c r="AY229" s="22">
        <v>1</v>
      </c>
      <c r="BH229" s="22">
        <f t="shared" si="39"/>
        <v>0.10608502422176218</v>
      </c>
    </row>
    <row r="230" spans="1:60">
      <c r="BH230" s="22"/>
    </row>
    <row r="231" spans="1:60">
      <c r="BH231" s="22"/>
    </row>
    <row r="232" spans="1:60" s="22" customFormat="1" ht="13">
      <c r="A232" s="21" t="s">
        <v>2903</v>
      </c>
      <c r="B232" s="22" t="s">
        <v>663</v>
      </c>
      <c r="C232" s="22" t="s">
        <v>2223</v>
      </c>
      <c r="D232" s="22" t="s">
        <v>2224</v>
      </c>
      <c r="E232" s="23" t="s">
        <v>63</v>
      </c>
      <c r="F232" s="23" t="s">
        <v>2225</v>
      </c>
      <c r="G232" s="23" t="s">
        <v>2226</v>
      </c>
      <c r="H232" s="22" t="s">
        <v>2457</v>
      </c>
      <c r="I232" s="22" t="s">
        <v>53</v>
      </c>
      <c r="J232" s="21" t="s">
        <v>2904</v>
      </c>
      <c r="K232" s="21"/>
      <c r="L232" s="21"/>
      <c r="N232" s="22" t="s">
        <v>2811</v>
      </c>
      <c r="O232" s="22" t="s">
        <v>2229</v>
      </c>
      <c r="P232" s="21">
        <v>82570</v>
      </c>
      <c r="Q232" s="21">
        <v>13</v>
      </c>
      <c r="R232" s="21">
        <v>4</v>
      </c>
      <c r="S232" s="21">
        <v>4</v>
      </c>
      <c r="T232" s="21" t="s">
        <v>159</v>
      </c>
      <c r="U232" s="21">
        <v>1</v>
      </c>
      <c r="V232" s="21">
        <v>1</v>
      </c>
      <c r="W232" s="24">
        <f t="shared" ref="W232:W244" si="40">(4*3.14*(((Q232^1.6*R232^1.6+Q232^1.6*S232^1.6+R232^1.6+S232^1.6)/3)^(1/1.6)))*(1/V232)</f>
        <v>512.12993022152386</v>
      </c>
      <c r="X232" s="24">
        <f t="shared" ref="X232:X244" si="41">3.14/6*Q232*R232*S232*U232</f>
        <v>108.85333333333332</v>
      </c>
      <c r="Y232" s="21">
        <v>4</v>
      </c>
      <c r="Z232" s="24">
        <f t="shared" ref="Z232:Z244" si="42">Y232*W232</f>
        <v>2048.5197208860955</v>
      </c>
      <c r="AA232" s="24">
        <f t="shared" ref="AA232:AA244" si="43">Y232*X232</f>
        <v>435.4133333333333</v>
      </c>
      <c r="AB232" s="21">
        <v>13</v>
      </c>
      <c r="AC232" s="22">
        <f t="shared" ref="AC232:AC244" si="44">R232*Y232</f>
        <v>16</v>
      </c>
      <c r="AD232" s="21">
        <v>4</v>
      </c>
      <c r="AE232" s="22" t="s">
        <v>330</v>
      </c>
      <c r="AF232" s="22">
        <v>0.7</v>
      </c>
      <c r="AG232" s="22">
        <v>0.7</v>
      </c>
      <c r="AH232" s="25">
        <f t="shared" ref="AH232:AH244" si="45">(AB232*AC232*2+AB232*AD232*2+AC232*AD232*2)/AG232</f>
        <v>925.71428571428578</v>
      </c>
      <c r="AI232" s="25">
        <f t="shared" ref="AI232:AI244" si="46">AB232*AC232*AD232*AF232</f>
        <v>582.4</v>
      </c>
      <c r="AJ232" s="21">
        <v>653.5</v>
      </c>
      <c r="AK232" s="21">
        <v>16</v>
      </c>
      <c r="AL232" s="22" t="s">
        <v>161</v>
      </c>
      <c r="AM232" s="22">
        <v>0.16</v>
      </c>
      <c r="AN232" s="22" t="s">
        <v>1364</v>
      </c>
      <c r="AO232" s="22" t="s">
        <v>1364</v>
      </c>
      <c r="AP232" s="22" t="s">
        <v>162</v>
      </c>
      <c r="AQ232" s="22" t="str">
        <f t="shared" ref="AQ232:AQ244" si="47">IF(AND($AK232&lt;20,AJ232&lt;10000),"Nanophytoplankton","Microphytoplankton")</f>
        <v>Nanophytoplankton</v>
      </c>
      <c r="AR232" s="22">
        <v>0</v>
      </c>
      <c r="AS232" s="22">
        <v>0</v>
      </c>
      <c r="AT232" s="22">
        <v>0</v>
      </c>
      <c r="AU232" s="22">
        <v>1</v>
      </c>
      <c r="AV232" s="22">
        <v>0</v>
      </c>
      <c r="AW232" s="22">
        <v>0</v>
      </c>
      <c r="AX232" s="22">
        <v>0</v>
      </c>
      <c r="AY232" s="22">
        <v>1</v>
      </c>
      <c r="AZ232" s="22">
        <v>0</v>
      </c>
      <c r="BA232" s="22">
        <v>0</v>
      </c>
      <c r="BB232" s="22">
        <v>0</v>
      </c>
      <c r="BC232" s="22">
        <v>2</v>
      </c>
      <c r="BD232" s="22">
        <v>6</v>
      </c>
      <c r="BE232" s="22">
        <v>2</v>
      </c>
      <c r="BH232" s="22">
        <f t="shared" si="39"/>
        <v>0.21255022780302721</v>
      </c>
    </row>
    <row r="233" spans="1:60" s="22" customFormat="1" ht="13">
      <c r="A233" s="21" t="s">
        <v>2905</v>
      </c>
      <c r="B233" s="22" t="s">
        <v>663</v>
      </c>
      <c r="C233" s="22" t="s">
        <v>2223</v>
      </c>
      <c r="D233" s="22" t="s">
        <v>2224</v>
      </c>
      <c r="E233" s="23" t="s">
        <v>63</v>
      </c>
      <c r="F233" s="23" t="s">
        <v>2225</v>
      </c>
      <c r="G233" s="23" t="s">
        <v>2226</v>
      </c>
      <c r="H233" s="22" t="s">
        <v>2457</v>
      </c>
      <c r="I233" s="22" t="s">
        <v>53</v>
      </c>
      <c r="J233" s="21" t="s">
        <v>2904</v>
      </c>
      <c r="K233" s="21" t="s">
        <v>2906</v>
      </c>
      <c r="L233" s="21" t="s">
        <v>2907</v>
      </c>
      <c r="N233" s="22" t="s">
        <v>2908</v>
      </c>
      <c r="O233" s="22" t="s">
        <v>2229</v>
      </c>
      <c r="P233" s="21">
        <v>82569</v>
      </c>
      <c r="Q233" s="21">
        <v>13</v>
      </c>
      <c r="R233" s="21">
        <v>4</v>
      </c>
      <c r="S233" s="21">
        <v>4</v>
      </c>
      <c r="T233" s="21" t="s">
        <v>159</v>
      </c>
      <c r="U233" s="21">
        <v>1</v>
      </c>
      <c r="V233" s="21">
        <v>1</v>
      </c>
      <c r="W233" s="24">
        <f t="shared" si="40"/>
        <v>512.12993022152386</v>
      </c>
      <c r="X233" s="24">
        <f t="shared" si="41"/>
        <v>108.85333333333332</v>
      </c>
      <c r="Y233" s="21">
        <v>1</v>
      </c>
      <c r="Z233" s="24">
        <f t="shared" si="42"/>
        <v>512.12993022152386</v>
      </c>
      <c r="AA233" s="24">
        <f t="shared" si="43"/>
        <v>108.85333333333332</v>
      </c>
      <c r="AB233" s="21">
        <v>13</v>
      </c>
      <c r="AC233" s="22">
        <f t="shared" si="44"/>
        <v>4</v>
      </c>
      <c r="AD233" s="21">
        <v>4</v>
      </c>
      <c r="AE233" s="22" t="s">
        <v>330</v>
      </c>
      <c r="AF233" s="22">
        <v>0.7</v>
      </c>
      <c r="AG233" s="22">
        <v>0.7</v>
      </c>
      <c r="AH233" s="25">
        <f t="shared" si="45"/>
        <v>342.85714285714289</v>
      </c>
      <c r="AI233" s="25">
        <f t="shared" si="46"/>
        <v>145.6</v>
      </c>
      <c r="AJ233" s="21">
        <v>108.85333333333332</v>
      </c>
      <c r="AK233" s="21">
        <v>13</v>
      </c>
      <c r="AL233" s="22" t="s">
        <v>161</v>
      </c>
      <c r="AM233" s="22">
        <v>0.16</v>
      </c>
      <c r="AN233" s="22" t="s">
        <v>1364</v>
      </c>
      <c r="AO233" s="22" t="s">
        <v>1364</v>
      </c>
      <c r="AP233" s="22" t="s">
        <v>162</v>
      </c>
      <c r="AQ233" s="22" t="str">
        <f t="shared" si="47"/>
        <v>Nanophytoplankton</v>
      </c>
      <c r="AR233" s="22">
        <v>0</v>
      </c>
      <c r="AS233" s="22">
        <v>0</v>
      </c>
      <c r="AT233" s="22">
        <v>0</v>
      </c>
      <c r="AU233" s="22">
        <v>1</v>
      </c>
      <c r="AV233" s="22">
        <v>0</v>
      </c>
      <c r="AW233" s="22">
        <v>0</v>
      </c>
      <c r="AX233" s="22">
        <v>0</v>
      </c>
      <c r="AY233" s="22">
        <v>1</v>
      </c>
      <c r="AZ233" s="22">
        <v>0</v>
      </c>
      <c r="BA233" s="22">
        <v>0</v>
      </c>
      <c r="BB233" s="22">
        <v>0</v>
      </c>
      <c r="BC233" s="22">
        <v>2</v>
      </c>
      <c r="BD233" s="22">
        <v>6</v>
      </c>
      <c r="BE233" s="22">
        <v>2</v>
      </c>
      <c r="BH233" s="22">
        <f t="shared" si="39"/>
        <v>0.21255022780302721</v>
      </c>
    </row>
    <row r="234" spans="1:60" s="22" customFormat="1" ht="13">
      <c r="A234" s="22" t="s">
        <v>2909</v>
      </c>
      <c r="B234" s="22" t="s">
        <v>663</v>
      </c>
      <c r="C234" s="22" t="s">
        <v>2223</v>
      </c>
      <c r="D234" s="22" t="s">
        <v>2224</v>
      </c>
      <c r="E234" s="23" t="s">
        <v>63</v>
      </c>
      <c r="F234" s="23" t="s">
        <v>2225</v>
      </c>
      <c r="G234" s="23" t="s">
        <v>2226</v>
      </c>
      <c r="H234" s="22" t="s">
        <v>2457</v>
      </c>
      <c r="I234" s="22" t="s">
        <v>53</v>
      </c>
      <c r="J234" s="22" t="s">
        <v>2904</v>
      </c>
      <c r="K234" s="22" t="s">
        <v>175</v>
      </c>
      <c r="L234" s="22" t="s">
        <v>2904</v>
      </c>
      <c r="N234" s="22" t="s">
        <v>1056</v>
      </c>
      <c r="O234" s="22" t="s">
        <v>2229</v>
      </c>
      <c r="P234" s="21">
        <v>82571</v>
      </c>
      <c r="Q234" s="22">
        <v>13</v>
      </c>
      <c r="R234" s="22">
        <v>4</v>
      </c>
      <c r="S234" s="22">
        <v>4</v>
      </c>
      <c r="T234" s="21" t="s">
        <v>159</v>
      </c>
      <c r="U234" s="21">
        <v>1</v>
      </c>
      <c r="V234" s="21">
        <v>1</v>
      </c>
      <c r="W234" s="24">
        <f t="shared" si="40"/>
        <v>512.12993022152386</v>
      </c>
      <c r="X234" s="24">
        <f t="shared" si="41"/>
        <v>108.85333333333332</v>
      </c>
      <c r="Y234" s="22">
        <v>4</v>
      </c>
      <c r="Z234" s="24">
        <f t="shared" si="42"/>
        <v>2048.5197208860955</v>
      </c>
      <c r="AA234" s="24">
        <f t="shared" si="43"/>
        <v>435.4133333333333</v>
      </c>
      <c r="AB234" s="22">
        <v>13</v>
      </c>
      <c r="AC234" s="22">
        <f t="shared" si="44"/>
        <v>16</v>
      </c>
      <c r="AD234" s="22">
        <v>4</v>
      </c>
      <c r="AE234" s="22" t="s">
        <v>330</v>
      </c>
      <c r="AF234" s="22">
        <v>0.7</v>
      </c>
      <c r="AG234" s="22">
        <v>0.7</v>
      </c>
      <c r="AH234" s="25">
        <f t="shared" si="45"/>
        <v>925.71428571428578</v>
      </c>
      <c r="AI234" s="25">
        <f t="shared" si="46"/>
        <v>582.4</v>
      </c>
      <c r="AJ234" s="21">
        <v>435.4133333333333</v>
      </c>
      <c r="AK234" s="21">
        <v>16</v>
      </c>
      <c r="AL234" s="22" t="s">
        <v>161</v>
      </c>
      <c r="AM234" s="22">
        <v>0.16</v>
      </c>
      <c r="AN234" s="22" t="s">
        <v>1364</v>
      </c>
      <c r="AO234" s="22" t="s">
        <v>1364</v>
      </c>
      <c r="AP234" s="22" t="s">
        <v>162</v>
      </c>
      <c r="AQ234" s="22" t="str">
        <f t="shared" si="47"/>
        <v>Nanophytoplankton</v>
      </c>
      <c r="AR234" s="22">
        <v>0</v>
      </c>
      <c r="AS234" s="22">
        <v>0</v>
      </c>
      <c r="AT234" s="22">
        <v>0</v>
      </c>
      <c r="AU234" s="22">
        <v>1</v>
      </c>
      <c r="AV234" s="22">
        <v>0</v>
      </c>
      <c r="AW234" s="22">
        <v>0</v>
      </c>
      <c r="AX234" s="22">
        <v>0</v>
      </c>
      <c r="AY234" s="22">
        <v>1</v>
      </c>
      <c r="BH234" s="22">
        <f t="shared" si="39"/>
        <v>0.21255022780302721</v>
      </c>
    </row>
    <row r="235" spans="1:60" s="22" customFormat="1" ht="13">
      <c r="A235" s="21" t="s">
        <v>2921</v>
      </c>
      <c r="B235" s="22" t="s">
        <v>663</v>
      </c>
      <c r="C235" s="22" t="s">
        <v>2223</v>
      </c>
      <c r="D235" s="22" t="s">
        <v>2224</v>
      </c>
      <c r="E235" s="23" t="s">
        <v>63</v>
      </c>
      <c r="F235" s="23" t="s">
        <v>2225</v>
      </c>
      <c r="G235" s="23" t="s">
        <v>2226</v>
      </c>
      <c r="H235" s="22" t="s">
        <v>2457</v>
      </c>
      <c r="I235" s="22" t="s">
        <v>53</v>
      </c>
      <c r="J235" s="21" t="s">
        <v>2922</v>
      </c>
      <c r="K235" s="21"/>
      <c r="L235" s="21"/>
      <c r="N235" s="22" t="s">
        <v>2923</v>
      </c>
      <c r="O235" s="22" t="s">
        <v>2229</v>
      </c>
      <c r="P235" s="21">
        <v>82592</v>
      </c>
      <c r="Q235" s="21">
        <v>13</v>
      </c>
      <c r="R235" s="21">
        <v>4</v>
      </c>
      <c r="S235" s="21">
        <v>4</v>
      </c>
      <c r="T235" s="21" t="s">
        <v>159</v>
      </c>
      <c r="U235" s="21">
        <v>1</v>
      </c>
      <c r="V235" s="21">
        <v>1</v>
      </c>
      <c r="W235" s="24">
        <f t="shared" si="40"/>
        <v>512.12993022152386</v>
      </c>
      <c r="X235" s="24">
        <f t="shared" si="41"/>
        <v>108.85333333333332</v>
      </c>
      <c r="Y235" s="21">
        <v>4</v>
      </c>
      <c r="Z235" s="24">
        <f t="shared" si="42"/>
        <v>2048.5197208860955</v>
      </c>
      <c r="AA235" s="24">
        <f t="shared" si="43"/>
        <v>435.4133333333333</v>
      </c>
      <c r="AB235" s="21">
        <v>13</v>
      </c>
      <c r="AC235" s="22">
        <f t="shared" si="44"/>
        <v>16</v>
      </c>
      <c r="AD235" s="21">
        <v>4</v>
      </c>
      <c r="AE235" s="22" t="s">
        <v>330</v>
      </c>
      <c r="AF235" s="22">
        <v>0.8</v>
      </c>
      <c r="AG235" s="22">
        <v>0.8</v>
      </c>
      <c r="AH235" s="25">
        <f t="shared" si="45"/>
        <v>810</v>
      </c>
      <c r="AI235" s="25">
        <f t="shared" si="46"/>
        <v>665.6</v>
      </c>
      <c r="AJ235" s="21">
        <v>653.20000000000005</v>
      </c>
      <c r="AK235" s="21">
        <v>16</v>
      </c>
      <c r="AL235" s="22" t="s">
        <v>161</v>
      </c>
      <c r="AM235" s="22">
        <v>0.16</v>
      </c>
      <c r="AN235" s="22" t="s">
        <v>1364</v>
      </c>
      <c r="AO235" s="22" t="s">
        <v>1364</v>
      </c>
      <c r="AP235" s="22" t="s">
        <v>162</v>
      </c>
      <c r="AQ235" s="22" t="str">
        <f t="shared" si="47"/>
        <v>Nanophytoplankton</v>
      </c>
      <c r="AR235" s="22">
        <v>0</v>
      </c>
      <c r="AS235" s="22">
        <v>0</v>
      </c>
      <c r="AT235" s="22">
        <v>0</v>
      </c>
      <c r="AU235" s="22">
        <v>1</v>
      </c>
      <c r="AV235" s="22">
        <v>0</v>
      </c>
      <c r="AW235" s="22">
        <v>0</v>
      </c>
      <c r="AX235" s="22">
        <v>0</v>
      </c>
      <c r="AY235" s="22">
        <v>1</v>
      </c>
      <c r="AZ235" s="22">
        <v>0</v>
      </c>
      <c r="BA235" s="22">
        <v>0</v>
      </c>
      <c r="BB235" s="22">
        <v>0</v>
      </c>
      <c r="BC235" s="22">
        <v>2</v>
      </c>
      <c r="BD235" s="22">
        <v>6</v>
      </c>
      <c r="BE235" s="22">
        <v>2</v>
      </c>
      <c r="BH235" s="22">
        <f t="shared" si="39"/>
        <v>0.21255022780302721</v>
      </c>
    </row>
    <row r="236" spans="1:60" s="22" customFormat="1" ht="13">
      <c r="A236" s="21" t="s">
        <v>2924</v>
      </c>
      <c r="B236" s="22" t="s">
        <v>663</v>
      </c>
      <c r="C236" s="22" t="s">
        <v>2223</v>
      </c>
      <c r="D236" s="22" t="s">
        <v>2224</v>
      </c>
      <c r="E236" s="23" t="s">
        <v>63</v>
      </c>
      <c r="F236" s="23" t="s">
        <v>2225</v>
      </c>
      <c r="G236" s="23" t="s">
        <v>2226</v>
      </c>
      <c r="H236" s="22" t="s">
        <v>2457</v>
      </c>
      <c r="I236" s="22" t="s">
        <v>53</v>
      </c>
      <c r="J236" s="21" t="s">
        <v>2922</v>
      </c>
      <c r="K236" s="21" t="s">
        <v>175</v>
      </c>
      <c r="L236" s="21" t="s">
        <v>2925</v>
      </c>
      <c r="N236" s="22" t="s">
        <v>2926</v>
      </c>
      <c r="O236" s="22" t="s">
        <v>2229</v>
      </c>
      <c r="P236" s="21">
        <v>82594</v>
      </c>
      <c r="Q236" s="21">
        <v>10</v>
      </c>
      <c r="R236" s="21">
        <v>4</v>
      </c>
      <c r="S236" s="21">
        <v>4</v>
      </c>
      <c r="T236" s="21" t="s">
        <v>159</v>
      </c>
      <c r="U236" s="21">
        <v>1</v>
      </c>
      <c r="V236" s="21">
        <v>1</v>
      </c>
      <c r="W236" s="24">
        <f t="shared" si="40"/>
        <v>396.02854005130428</v>
      </c>
      <c r="X236" s="24">
        <f t="shared" si="41"/>
        <v>83.733333333333334</v>
      </c>
      <c r="Y236" s="21">
        <v>4</v>
      </c>
      <c r="Z236" s="24">
        <f t="shared" si="42"/>
        <v>1584.1141602052171</v>
      </c>
      <c r="AA236" s="24">
        <f t="shared" si="43"/>
        <v>334.93333333333334</v>
      </c>
      <c r="AB236" s="21">
        <v>10</v>
      </c>
      <c r="AC236" s="22">
        <f t="shared" si="44"/>
        <v>16</v>
      </c>
      <c r="AD236" s="21">
        <v>4</v>
      </c>
      <c r="AE236" s="22" t="s">
        <v>330</v>
      </c>
      <c r="AF236" s="22">
        <v>0.8</v>
      </c>
      <c r="AG236" s="22">
        <v>0.8</v>
      </c>
      <c r="AH236" s="25">
        <f t="shared" si="45"/>
        <v>660</v>
      </c>
      <c r="AI236" s="25">
        <f t="shared" si="46"/>
        <v>512</v>
      </c>
      <c r="AJ236" s="21">
        <v>502.7</v>
      </c>
      <c r="AK236" s="21">
        <v>10</v>
      </c>
      <c r="AL236" s="22" t="s">
        <v>161</v>
      </c>
      <c r="AM236" s="22">
        <v>0.16</v>
      </c>
      <c r="AN236" s="22" t="s">
        <v>1364</v>
      </c>
      <c r="AO236" s="22" t="s">
        <v>1364</v>
      </c>
      <c r="AP236" s="22" t="s">
        <v>162</v>
      </c>
      <c r="AQ236" s="22" t="str">
        <f t="shared" si="47"/>
        <v>Nanophytoplankton</v>
      </c>
      <c r="AR236" s="22">
        <v>0</v>
      </c>
      <c r="AS236" s="22">
        <v>0</v>
      </c>
      <c r="AT236" s="22">
        <v>0</v>
      </c>
      <c r="AU236" s="22">
        <v>1</v>
      </c>
      <c r="AV236" s="22">
        <v>0</v>
      </c>
      <c r="AW236" s="22">
        <v>0</v>
      </c>
      <c r="AX236" s="22">
        <v>0</v>
      </c>
      <c r="AY236" s="22">
        <v>1</v>
      </c>
      <c r="AZ236" s="22">
        <v>0</v>
      </c>
      <c r="BA236" s="22">
        <v>0</v>
      </c>
      <c r="BB236" s="22">
        <v>0</v>
      </c>
      <c r="BC236" s="22">
        <v>2</v>
      </c>
      <c r="BD236" s="22">
        <v>6</v>
      </c>
      <c r="BE236" s="22">
        <v>2</v>
      </c>
      <c r="BH236" s="22">
        <f t="shared" si="39"/>
        <v>0.21143257332536169</v>
      </c>
    </row>
    <row r="237" spans="1:60" s="22" customFormat="1" ht="13">
      <c r="A237" s="22" t="s">
        <v>2927</v>
      </c>
      <c r="B237" s="22" t="s">
        <v>663</v>
      </c>
      <c r="C237" s="22" t="s">
        <v>2223</v>
      </c>
      <c r="D237" s="22" t="s">
        <v>2224</v>
      </c>
      <c r="E237" s="23" t="s">
        <v>63</v>
      </c>
      <c r="F237" s="23" t="s">
        <v>2225</v>
      </c>
      <c r="G237" s="23" t="s">
        <v>2226</v>
      </c>
      <c r="H237" s="22" t="s">
        <v>2457</v>
      </c>
      <c r="I237" s="22" t="s">
        <v>53</v>
      </c>
      <c r="J237" s="22" t="s">
        <v>2922</v>
      </c>
      <c r="K237" s="22" t="s">
        <v>175</v>
      </c>
      <c r="L237" s="22" t="s">
        <v>2928</v>
      </c>
      <c r="N237" s="22" t="s">
        <v>1056</v>
      </c>
      <c r="O237" s="22" t="s">
        <v>2229</v>
      </c>
      <c r="P237" s="21">
        <v>82451</v>
      </c>
      <c r="Q237" s="22">
        <v>8</v>
      </c>
      <c r="R237" s="22">
        <v>5</v>
      </c>
      <c r="S237" s="22">
        <v>5</v>
      </c>
      <c r="T237" s="21" t="s">
        <v>159</v>
      </c>
      <c r="U237" s="21">
        <v>1</v>
      </c>
      <c r="V237" s="21">
        <v>1</v>
      </c>
      <c r="W237" s="24">
        <f t="shared" si="40"/>
        <v>398.62580307118628</v>
      </c>
      <c r="X237" s="24">
        <f t="shared" si="41"/>
        <v>104.66666666666667</v>
      </c>
      <c r="Y237" s="22">
        <v>4</v>
      </c>
      <c r="Z237" s="24">
        <f t="shared" si="42"/>
        <v>1594.5032122847451</v>
      </c>
      <c r="AA237" s="24">
        <f t="shared" si="43"/>
        <v>418.66666666666669</v>
      </c>
      <c r="AB237" s="22">
        <v>8</v>
      </c>
      <c r="AC237" s="22">
        <f t="shared" si="44"/>
        <v>20</v>
      </c>
      <c r="AD237" s="22">
        <v>5</v>
      </c>
      <c r="AE237" s="22" t="s">
        <v>330</v>
      </c>
      <c r="AF237" s="22">
        <v>0.8</v>
      </c>
      <c r="AG237" s="22">
        <v>0.8</v>
      </c>
      <c r="AH237" s="25">
        <f t="shared" si="45"/>
        <v>750</v>
      </c>
      <c r="AI237" s="25">
        <f t="shared" si="46"/>
        <v>640</v>
      </c>
      <c r="AJ237" s="21">
        <v>418.66666666666663</v>
      </c>
      <c r="AK237" s="21">
        <v>20</v>
      </c>
      <c r="AL237" s="22" t="s">
        <v>2929</v>
      </c>
      <c r="AM237" s="22">
        <v>0.16</v>
      </c>
      <c r="AN237" s="22" t="s">
        <v>1364</v>
      </c>
      <c r="AO237" s="22" t="s">
        <v>1364</v>
      </c>
      <c r="AP237" s="22" t="s">
        <v>162</v>
      </c>
      <c r="AQ237" s="22" t="str">
        <f t="shared" si="47"/>
        <v>Microphytoplankton</v>
      </c>
      <c r="AR237" s="22">
        <v>0</v>
      </c>
      <c r="AS237" s="22">
        <v>0</v>
      </c>
      <c r="AT237" s="22">
        <v>0</v>
      </c>
      <c r="AU237" s="22">
        <v>1</v>
      </c>
      <c r="AV237" s="22">
        <v>0</v>
      </c>
      <c r="AW237" s="22">
        <v>0</v>
      </c>
      <c r="AX237" s="22">
        <v>0</v>
      </c>
      <c r="AY237" s="22">
        <v>1</v>
      </c>
      <c r="BH237" s="22">
        <f t="shared" si="39"/>
        <v>0.26256871948646882</v>
      </c>
    </row>
    <row r="238" spans="1:60" s="22" customFormat="1" ht="13">
      <c r="A238" s="22" t="s">
        <v>2958</v>
      </c>
      <c r="B238" s="22" t="s">
        <v>663</v>
      </c>
      <c r="C238" s="22" t="s">
        <v>2223</v>
      </c>
      <c r="D238" s="22" t="s">
        <v>2224</v>
      </c>
      <c r="E238" s="23" t="s">
        <v>63</v>
      </c>
      <c r="F238" s="23" t="s">
        <v>2225</v>
      </c>
      <c r="G238" s="23" t="s">
        <v>2226</v>
      </c>
      <c r="H238" s="22" t="s">
        <v>2457</v>
      </c>
      <c r="I238" s="22" t="s">
        <v>53</v>
      </c>
      <c r="J238" s="22" t="s">
        <v>2959</v>
      </c>
      <c r="N238" s="22" t="s">
        <v>2960</v>
      </c>
      <c r="O238" s="22" t="s">
        <v>2229</v>
      </c>
      <c r="P238" s="22">
        <v>82458</v>
      </c>
      <c r="Q238" s="22">
        <v>21</v>
      </c>
      <c r="R238" s="22">
        <v>5</v>
      </c>
      <c r="S238" s="22">
        <v>5</v>
      </c>
      <c r="T238" s="21" t="s">
        <v>159</v>
      </c>
      <c r="U238" s="21">
        <v>1</v>
      </c>
      <c r="V238" s="21">
        <v>1</v>
      </c>
      <c r="W238" s="24">
        <f t="shared" si="40"/>
        <v>1028.4761162527409</v>
      </c>
      <c r="X238" s="24">
        <f t="shared" si="41"/>
        <v>274.75</v>
      </c>
      <c r="Y238" s="22">
        <v>4</v>
      </c>
      <c r="Z238" s="24">
        <f t="shared" si="42"/>
        <v>4113.9044650109636</v>
      </c>
      <c r="AA238" s="24">
        <f t="shared" si="43"/>
        <v>1099</v>
      </c>
      <c r="AB238" s="22">
        <v>26</v>
      </c>
      <c r="AC238" s="22">
        <f t="shared" si="44"/>
        <v>20</v>
      </c>
      <c r="AD238" s="22">
        <v>5</v>
      </c>
      <c r="AE238" s="22" t="s">
        <v>330</v>
      </c>
      <c r="AF238" s="22">
        <v>0.6</v>
      </c>
      <c r="AG238" s="22">
        <v>0.6</v>
      </c>
      <c r="AH238" s="25">
        <f t="shared" si="45"/>
        <v>2500</v>
      </c>
      <c r="AI238" s="25">
        <f t="shared" si="46"/>
        <v>1560</v>
      </c>
      <c r="AJ238" s="21">
        <v>1099</v>
      </c>
      <c r="AK238" s="21">
        <v>20</v>
      </c>
      <c r="AL238" s="22" t="s">
        <v>161</v>
      </c>
      <c r="AM238" s="22">
        <v>0.16</v>
      </c>
      <c r="AN238" s="22" t="s">
        <v>1364</v>
      </c>
      <c r="AO238" s="22" t="s">
        <v>1364</v>
      </c>
      <c r="AP238" s="22" t="s">
        <v>162</v>
      </c>
      <c r="AQ238" s="22" t="str">
        <f t="shared" si="47"/>
        <v>Microphytoplankton</v>
      </c>
      <c r="AR238" s="22">
        <v>0</v>
      </c>
      <c r="AS238" s="22">
        <v>0</v>
      </c>
      <c r="AT238" s="22">
        <v>0</v>
      </c>
      <c r="AU238" s="22">
        <v>1</v>
      </c>
      <c r="AV238" s="22">
        <v>0</v>
      </c>
      <c r="AW238" s="22">
        <v>0</v>
      </c>
      <c r="AX238" s="22">
        <v>0</v>
      </c>
      <c r="AY238" s="22">
        <v>1</v>
      </c>
      <c r="BH238" s="22">
        <f t="shared" si="39"/>
        <v>0.26714281027842757</v>
      </c>
    </row>
    <row r="239" spans="1:60" s="22" customFormat="1" ht="13">
      <c r="A239" s="21" t="s">
        <v>2980</v>
      </c>
      <c r="B239" s="22" t="s">
        <v>663</v>
      </c>
      <c r="C239" s="22" t="s">
        <v>2223</v>
      </c>
      <c r="D239" s="22" t="s">
        <v>2224</v>
      </c>
      <c r="E239" s="23" t="s">
        <v>63</v>
      </c>
      <c r="F239" s="23" t="s">
        <v>2225</v>
      </c>
      <c r="G239" s="23" t="s">
        <v>2226</v>
      </c>
      <c r="H239" s="22" t="s">
        <v>2457</v>
      </c>
      <c r="I239" s="22" t="s">
        <v>53</v>
      </c>
      <c r="J239" s="22" t="s">
        <v>2981</v>
      </c>
      <c r="K239" s="21" t="s">
        <v>175</v>
      </c>
      <c r="L239" s="21" t="s">
        <v>2982</v>
      </c>
      <c r="N239" s="22" t="s">
        <v>2926</v>
      </c>
      <c r="O239" s="22" t="s">
        <v>2229</v>
      </c>
      <c r="P239" s="21">
        <v>82593</v>
      </c>
      <c r="Q239" s="21">
        <v>9</v>
      </c>
      <c r="R239" s="21">
        <v>3</v>
      </c>
      <c r="S239" s="21">
        <v>3</v>
      </c>
      <c r="T239" s="21" t="s">
        <v>159</v>
      </c>
      <c r="U239" s="21">
        <v>1</v>
      </c>
      <c r="V239" s="21">
        <v>1</v>
      </c>
      <c r="W239" s="24">
        <f t="shared" si="40"/>
        <v>268.07034809338808</v>
      </c>
      <c r="X239" s="24">
        <f t="shared" si="41"/>
        <v>42.39</v>
      </c>
      <c r="Y239" s="21">
        <v>4</v>
      </c>
      <c r="Z239" s="24">
        <f t="shared" si="42"/>
        <v>1072.2813923735523</v>
      </c>
      <c r="AA239" s="24">
        <f t="shared" si="43"/>
        <v>169.56</v>
      </c>
      <c r="AB239" s="21">
        <v>9</v>
      </c>
      <c r="AC239" s="22">
        <f t="shared" si="44"/>
        <v>12</v>
      </c>
      <c r="AD239" s="21">
        <v>3</v>
      </c>
      <c r="AE239" s="22" t="s">
        <v>330</v>
      </c>
      <c r="AF239" s="22">
        <v>0.8</v>
      </c>
      <c r="AG239" s="22">
        <v>0.8</v>
      </c>
      <c r="AH239" s="25">
        <f t="shared" si="45"/>
        <v>427.5</v>
      </c>
      <c r="AI239" s="25">
        <f t="shared" si="46"/>
        <v>259.2</v>
      </c>
      <c r="AJ239" s="21">
        <v>254.5</v>
      </c>
      <c r="AK239" s="21">
        <v>12</v>
      </c>
      <c r="AL239" s="22" t="s">
        <v>161</v>
      </c>
      <c r="AM239" s="22">
        <v>0.16</v>
      </c>
      <c r="AN239" s="22" t="s">
        <v>1364</v>
      </c>
      <c r="AO239" s="22" t="s">
        <v>1364</v>
      </c>
      <c r="AP239" s="22" t="s">
        <v>162</v>
      </c>
      <c r="AQ239" s="22" t="str">
        <f t="shared" si="47"/>
        <v>Nanophytoplankton</v>
      </c>
      <c r="AR239" s="22">
        <v>0</v>
      </c>
      <c r="AS239" s="22">
        <v>0</v>
      </c>
      <c r="AT239" s="22">
        <v>0</v>
      </c>
      <c r="AU239" s="22">
        <v>1</v>
      </c>
      <c r="AV239" s="22">
        <v>0</v>
      </c>
      <c r="AW239" s="22">
        <v>0</v>
      </c>
      <c r="AX239" s="22">
        <v>0</v>
      </c>
      <c r="AY239" s="22">
        <v>1</v>
      </c>
      <c r="AZ239" s="22">
        <v>0</v>
      </c>
      <c r="BA239" s="22">
        <v>0</v>
      </c>
      <c r="BB239" s="22">
        <v>0</v>
      </c>
      <c r="BC239" s="22">
        <v>2</v>
      </c>
      <c r="BD239" s="22">
        <v>6</v>
      </c>
      <c r="BE239" s="22">
        <v>2</v>
      </c>
      <c r="BH239" s="22">
        <f t="shared" si="39"/>
        <v>0.15813013375590698</v>
      </c>
    </row>
    <row r="240" spans="1:60" s="22" customFormat="1" ht="13">
      <c r="A240" s="21" t="s">
        <v>2983</v>
      </c>
      <c r="B240" s="22" t="s">
        <v>663</v>
      </c>
      <c r="C240" s="22" t="s">
        <v>2223</v>
      </c>
      <c r="D240" s="22" t="s">
        <v>2224</v>
      </c>
      <c r="E240" s="23" t="s">
        <v>63</v>
      </c>
      <c r="F240" s="23" t="s">
        <v>2225</v>
      </c>
      <c r="G240" s="23" t="s">
        <v>2226</v>
      </c>
      <c r="H240" s="22" t="s">
        <v>2457</v>
      </c>
      <c r="I240" s="22" t="s">
        <v>53</v>
      </c>
      <c r="J240" s="22" t="s">
        <v>2981</v>
      </c>
      <c r="K240" s="21" t="s">
        <v>175</v>
      </c>
      <c r="L240" s="21" t="s">
        <v>2981</v>
      </c>
      <c r="N240" s="22" t="s">
        <v>1056</v>
      </c>
      <c r="O240" s="22" t="s">
        <v>2229</v>
      </c>
      <c r="P240" s="21">
        <v>82590</v>
      </c>
      <c r="Q240" s="21">
        <v>14</v>
      </c>
      <c r="R240" s="21">
        <v>5</v>
      </c>
      <c r="S240" s="21">
        <v>5</v>
      </c>
      <c r="T240" s="21" t="s">
        <v>159</v>
      </c>
      <c r="U240" s="21">
        <v>1</v>
      </c>
      <c r="V240" s="21">
        <v>1</v>
      </c>
      <c r="W240" s="24">
        <f t="shared" si="40"/>
        <v>688.62301324089731</v>
      </c>
      <c r="X240" s="24">
        <f t="shared" si="41"/>
        <v>183.16666666666666</v>
      </c>
      <c r="Y240" s="21">
        <v>4</v>
      </c>
      <c r="Z240" s="24">
        <f t="shared" si="42"/>
        <v>2754.4920529635892</v>
      </c>
      <c r="AA240" s="24">
        <f t="shared" si="43"/>
        <v>732.66666666666663</v>
      </c>
      <c r="AB240" s="21">
        <v>14</v>
      </c>
      <c r="AC240" s="22">
        <f t="shared" si="44"/>
        <v>20</v>
      </c>
      <c r="AD240" s="21">
        <v>5</v>
      </c>
      <c r="AE240" s="22" t="s">
        <v>330</v>
      </c>
      <c r="AF240" s="22">
        <v>0.8</v>
      </c>
      <c r="AG240" s="22">
        <v>0.8</v>
      </c>
      <c r="AH240" s="25">
        <f t="shared" si="45"/>
        <v>1125</v>
      </c>
      <c r="AI240" s="25">
        <f t="shared" si="46"/>
        <v>1120</v>
      </c>
      <c r="AJ240" s="21">
        <v>1099.5999999999999</v>
      </c>
      <c r="AK240" s="21">
        <v>20</v>
      </c>
      <c r="AL240" s="22" t="s">
        <v>161</v>
      </c>
      <c r="AM240" s="22">
        <v>0.16</v>
      </c>
      <c r="AN240" s="22" t="s">
        <v>1364</v>
      </c>
      <c r="AO240" s="22" t="s">
        <v>1364</v>
      </c>
      <c r="AP240" s="22" t="s">
        <v>162</v>
      </c>
      <c r="AQ240" s="22" t="str">
        <f t="shared" si="47"/>
        <v>Microphytoplankton</v>
      </c>
      <c r="AR240" s="22">
        <v>0</v>
      </c>
      <c r="AS240" s="22">
        <v>0</v>
      </c>
      <c r="AT240" s="22">
        <v>0</v>
      </c>
      <c r="AU240" s="22">
        <v>1</v>
      </c>
      <c r="AV240" s="22">
        <v>0</v>
      </c>
      <c r="AW240" s="22">
        <v>0</v>
      </c>
      <c r="AX240" s="22">
        <v>0</v>
      </c>
      <c r="AY240" s="22">
        <v>1</v>
      </c>
      <c r="AZ240" s="22">
        <v>0</v>
      </c>
      <c r="BA240" s="22">
        <v>0</v>
      </c>
      <c r="BB240" s="22">
        <v>0</v>
      </c>
      <c r="BC240" s="22">
        <v>2</v>
      </c>
      <c r="BD240" s="22">
        <v>6</v>
      </c>
      <c r="BE240" s="22">
        <v>2</v>
      </c>
      <c r="BH240" s="22">
        <f t="shared" si="39"/>
        <v>0.26598975512685985</v>
      </c>
    </row>
    <row r="241" spans="1:60" s="22" customFormat="1" ht="13">
      <c r="A241" s="22" t="s">
        <v>2984</v>
      </c>
      <c r="B241" s="22" t="s">
        <v>663</v>
      </c>
      <c r="C241" s="22" t="s">
        <v>2223</v>
      </c>
      <c r="D241" s="22" t="s">
        <v>2224</v>
      </c>
      <c r="E241" s="23" t="s">
        <v>63</v>
      </c>
      <c r="F241" s="23" t="s">
        <v>2225</v>
      </c>
      <c r="G241" s="23" t="s">
        <v>2226</v>
      </c>
      <c r="H241" s="22" t="s">
        <v>2457</v>
      </c>
      <c r="I241" s="22" t="s">
        <v>53</v>
      </c>
      <c r="J241" s="22" t="s">
        <v>2981</v>
      </c>
      <c r="K241" s="22" t="s">
        <v>175</v>
      </c>
      <c r="L241" s="22" t="s">
        <v>2922</v>
      </c>
      <c r="N241" s="22" t="s">
        <v>2926</v>
      </c>
      <c r="O241" s="22" t="s">
        <v>2229</v>
      </c>
      <c r="P241" s="21">
        <v>82464</v>
      </c>
      <c r="Q241" s="22">
        <v>8</v>
      </c>
      <c r="R241" s="22">
        <v>4</v>
      </c>
      <c r="S241" s="22">
        <v>4</v>
      </c>
      <c r="T241" s="21" t="s">
        <v>159</v>
      </c>
      <c r="U241" s="21">
        <v>1</v>
      </c>
      <c r="V241" s="21">
        <v>1</v>
      </c>
      <c r="W241" s="24">
        <f t="shared" si="40"/>
        <v>318.9006424569489</v>
      </c>
      <c r="X241" s="24">
        <f t="shared" si="41"/>
        <v>66.986666666666665</v>
      </c>
      <c r="Y241" s="22">
        <v>4</v>
      </c>
      <c r="Z241" s="24">
        <f t="shared" si="42"/>
        <v>1275.6025698277956</v>
      </c>
      <c r="AA241" s="24">
        <f t="shared" si="43"/>
        <v>267.94666666666666</v>
      </c>
      <c r="AB241" s="22">
        <v>8</v>
      </c>
      <c r="AC241" s="22">
        <f t="shared" si="44"/>
        <v>16</v>
      </c>
      <c r="AD241" s="22">
        <v>4</v>
      </c>
      <c r="AE241" s="22" t="s">
        <v>330</v>
      </c>
      <c r="AF241" s="22">
        <v>0.8</v>
      </c>
      <c r="AG241" s="22">
        <v>0.8</v>
      </c>
      <c r="AH241" s="25">
        <f t="shared" si="45"/>
        <v>560</v>
      </c>
      <c r="AI241" s="25">
        <f t="shared" si="46"/>
        <v>409.6</v>
      </c>
      <c r="AJ241" s="21">
        <v>267.94666666666666</v>
      </c>
      <c r="AK241" s="21">
        <v>16</v>
      </c>
      <c r="AL241" s="22" t="s">
        <v>161</v>
      </c>
      <c r="AM241" s="22">
        <v>0.16</v>
      </c>
      <c r="AN241" s="22" t="s">
        <v>1364</v>
      </c>
      <c r="AO241" s="22" t="s">
        <v>1364</v>
      </c>
      <c r="AP241" s="22" t="s">
        <v>162</v>
      </c>
      <c r="AQ241" s="22" t="str">
        <f t="shared" si="47"/>
        <v>Nanophytoplankton</v>
      </c>
      <c r="AR241" s="22">
        <v>0</v>
      </c>
      <c r="AS241" s="22">
        <v>0</v>
      </c>
      <c r="AT241" s="22">
        <v>0</v>
      </c>
      <c r="AU241" s="22">
        <v>1</v>
      </c>
      <c r="AV241" s="22">
        <v>0</v>
      </c>
      <c r="AW241" s="22">
        <v>0</v>
      </c>
      <c r="AX241" s="22">
        <v>0</v>
      </c>
      <c r="AY241" s="22">
        <v>1</v>
      </c>
      <c r="BH241" s="22">
        <f t="shared" si="39"/>
        <v>0.21005497558917513</v>
      </c>
    </row>
    <row r="242" spans="1:60" s="22" customFormat="1" ht="13">
      <c r="A242" s="22" t="s">
        <v>2983</v>
      </c>
      <c r="B242" s="22" t="s">
        <v>663</v>
      </c>
      <c r="C242" s="22" t="s">
        <v>2223</v>
      </c>
      <c r="D242" s="22" t="s">
        <v>2224</v>
      </c>
      <c r="E242" s="23" t="s">
        <v>63</v>
      </c>
      <c r="F242" s="23" t="s">
        <v>2225</v>
      </c>
      <c r="G242" s="23" t="s">
        <v>2226</v>
      </c>
      <c r="H242" s="22" t="s">
        <v>2457</v>
      </c>
      <c r="I242" s="22" t="s">
        <v>53</v>
      </c>
      <c r="J242" s="22" t="s">
        <v>2981</v>
      </c>
      <c r="K242" s="22" t="s">
        <v>175</v>
      </c>
      <c r="L242" s="22" t="s">
        <v>2981</v>
      </c>
      <c r="N242" s="22" t="s">
        <v>1056</v>
      </c>
      <c r="O242" s="22" t="s">
        <v>2229</v>
      </c>
      <c r="P242" s="21">
        <v>82465</v>
      </c>
      <c r="Q242" s="22">
        <v>18</v>
      </c>
      <c r="R242" s="22">
        <v>5.5</v>
      </c>
      <c r="S242" s="22">
        <v>4</v>
      </c>
      <c r="T242" s="21" t="s">
        <v>159</v>
      </c>
      <c r="U242" s="21">
        <v>1</v>
      </c>
      <c r="V242" s="21">
        <v>1</v>
      </c>
      <c r="W242" s="24">
        <f t="shared" si="40"/>
        <v>844.85180444943785</v>
      </c>
      <c r="X242" s="24">
        <f t="shared" si="41"/>
        <v>207.24</v>
      </c>
      <c r="Y242" s="22">
        <v>4</v>
      </c>
      <c r="Z242" s="24">
        <f t="shared" si="42"/>
        <v>3379.4072177977514</v>
      </c>
      <c r="AA242" s="24">
        <f t="shared" si="43"/>
        <v>828.96</v>
      </c>
      <c r="AB242" s="22">
        <v>18</v>
      </c>
      <c r="AC242" s="22">
        <f t="shared" si="44"/>
        <v>22</v>
      </c>
      <c r="AD242" s="22">
        <v>4</v>
      </c>
      <c r="AE242" s="22" t="s">
        <v>330</v>
      </c>
      <c r="AF242" s="22">
        <v>0.8</v>
      </c>
      <c r="AG242" s="22">
        <v>0.8</v>
      </c>
      <c r="AH242" s="25">
        <f t="shared" si="45"/>
        <v>1390</v>
      </c>
      <c r="AI242" s="25">
        <f t="shared" si="46"/>
        <v>1267.2</v>
      </c>
      <c r="AJ242" s="21">
        <v>1139.82</v>
      </c>
      <c r="AK242" s="21">
        <v>22</v>
      </c>
      <c r="AL242" s="22" t="s">
        <v>161</v>
      </c>
      <c r="AM242" s="22">
        <v>0.16</v>
      </c>
      <c r="AN242" s="22" t="s">
        <v>1364</v>
      </c>
      <c r="AO242" s="22" t="s">
        <v>1364</v>
      </c>
      <c r="AP242" s="22" t="s">
        <v>162</v>
      </c>
      <c r="AQ242" s="22" t="str">
        <f t="shared" si="47"/>
        <v>Microphytoplankton</v>
      </c>
      <c r="AR242" s="22">
        <v>0</v>
      </c>
      <c r="AS242" s="22">
        <v>0</v>
      </c>
      <c r="AT242" s="22">
        <v>0</v>
      </c>
      <c r="AU242" s="22">
        <v>1</v>
      </c>
      <c r="AV242" s="22">
        <v>0</v>
      </c>
      <c r="AW242" s="22">
        <v>0</v>
      </c>
      <c r="AX242" s="22">
        <v>0</v>
      </c>
      <c r="AY242" s="22">
        <v>1</v>
      </c>
      <c r="BH242" s="22">
        <f t="shared" si="39"/>
        <v>0.24529745797850488</v>
      </c>
    </row>
    <row r="243" spans="1:60" s="22" customFormat="1" ht="13">
      <c r="A243" s="21" t="s">
        <v>2937</v>
      </c>
      <c r="B243" s="22" t="s">
        <v>663</v>
      </c>
      <c r="C243" s="22" t="s">
        <v>2223</v>
      </c>
      <c r="D243" s="22" t="s">
        <v>2224</v>
      </c>
      <c r="E243" s="23" t="s">
        <v>63</v>
      </c>
      <c r="F243" s="23" t="s">
        <v>2225</v>
      </c>
      <c r="G243" s="23" t="s">
        <v>2226</v>
      </c>
      <c r="H243" s="22" t="s">
        <v>2457</v>
      </c>
      <c r="I243" s="22" t="s">
        <v>53</v>
      </c>
      <c r="J243" s="21" t="s">
        <v>2938</v>
      </c>
      <c r="K243" s="21"/>
      <c r="L243" s="21"/>
      <c r="N243" s="22" t="s">
        <v>3003</v>
      </c>
      <c r="O243" s="22" t="s">
        <v>2229</v>
      </c>
      <c r="P243" s="22">
        <v>82575</v>
      </c>
      <c r="Q243" s="21">
        <v>20</v>
      </c>
      <c r="R243" s="21">
        <v>8</v>
      </c>
      <c r="S243" s="21">
        <v>8</v>
      </c>
      <c r="T243" s="21" t="s">
        <v>159</v>
      </c>
      <c r="U243" s="21">
        <v>1</v>
      </c>
      <c r="V243" s="21">
        <v>1</v>
      </c>
      <c r="W243" s="24">
        <f t="shared" si="40"/>
        <v>1567.8064873937712</v>
      </c>
      <c r="X243" s="24">
        <f t="shared" si="41"/>
        <v>669.86666666666667</v>
      </c>
      <c r="Y243" s="21">
        <v>4</v>
      </c>
      <c r="Z243" s="24">
        <f t="shared" si="42"/>
        <v>6271.225949575085</v>
      </c>
      <c r="AA243" s="24">
        <f t="shared" si="43"/>
        <v>2679.4666666666667</v>
      </c>
      <c r="AB243" s="21">
        <v>20</v>
      </c>
      <c r="AC243" s="22">
        <f t="shared" si="44"/>
        <v>32</v>
      </c>
      <c r="AD243" s="21">
        <v>8</v>
      </c>
      <c r="AE243" s="22" t="s">
        <v>330</v>
      </c>
      <c r="AF243" s="22">
        <v>0.7</v>
      </c>
      <c r="AG243" s="22">
        <v>0.7</v>
      </c>
      <c r="AH243" s="25">
        <f t="shared" si="45"/>
        <v>3017.1428571428573</v>
      </c>
      <c r="AI243" s="25">
        <f t="shared" si="46"/>
        <v>3584</v>
      </c>
      <c r="AJ243" s="21">
        <v>4021</v>
      </c>
      <c r="AK243" s="21">
        <v>20</v>
      </c>
      <c r="AL243" s="22" t="s">
        <v>161</v>
      </c>
      <c r="AM243" s="22">
        <v>0.16</v>
      </c>
      <c r="AN243" s="22" t="s">
        <v>1364</v>
      </c>
      <c r="AO243" s="22" t="s">
        <v>1364</v>
      </c>
      <c r="AP243" s="22" t="s">
        <v>162</v>
      </c>
      <c r="AQ243" s="22" t="str">
        <f t="shared" si="47"/>
        <v>Microphytoplankton</v>
      </c>
      <c r="AR243" s="22">
        <v>0</v>
      </c>
      <c r="AS243" s="22">
        <v>0</v>
      </c>
      <c r="AT243" s="22">
        <v>0</v>
      </c>
      <c r="AU243" s="22">
        <v>1</v>
      </c>
      <c r="AV243" s="22">
        <v>0</v>
      </c>
      <c r="AW243" s="22">
        <v>0</v>
      </c>
      <c r="AX243" s="22">
        <v>0</v>
      </c>
      <c r="AY243" s="22">
        <v>1</v>
      </c>
      <c r="BH243" s="22">
        <f t="shared" si="39"/>
        <v>0.42726361451674649</v>
      </c>
    </row>
    <row r="244" spans="1:60" s="22" customFormat="1" ht="13">
      <c r="A244" s="22" t="s">
        <v>3004</v>
      </c>
      <c r="B244" s="22" t="s">
        <v>663</v>
      </c>
      <c r="C244" s="22" t="s">
        <v>2223</v>
      </c>
      <c r="D244" s="22" t="s">
        <v>2224</v>
      </c>
      <c r="E244" s="23" t="s">
        <v>63</v>
      </c>
      <c r="F244" s="23" t="s">
        <v>2225</v>
      </c>
      <c r="G244" s="23" t="s">
        <v>2226</v>
      </c>
      <c r="H244" s="22" t="s">
        <v>2457</v>
      </c>
      <c r="I244" s="22" t="s">
        <v>53</v>
      </c>
      <c r="J244" s="22" t="s">
        <v>2938</v>
      </c>
      <c r="K244" s="22" t="s">
        <v>175</v>
      </c>
      <c r="L244" s="22" t="s">
        <v>3005</v>
      </c>
      <c r="N244" s="22" t="s">
        <v>167</v>
      </c>
      <c r="O244" s="22" t="s">
        <v>2229</v>
      </c>
      <c r="P244" s="21">
        <v>82473</v>
      </c>
      <c r="Q244" s="22">
        <v>14.5</v>
      </c>
      <c r="R244" s="22">
        <v>5</v>
      </c>
      <c r="S244" s="22">
        <v>5</v>
      </c>
      <c r="T244" s="21" t="s">
        <v>159</v>
      </c>
      <c r="U244" s="21">
        <v>1</v>
      </c>
      <c r="V244" s="21">
        <v>1</v>
      </c>
      <c r="W244" s="24">
        <f t="shared" si="40"/>
        <v>712.86495026429395</v>
      </c>
      <c r="X244" s="24">
        <f t="shared" si="41"/>
        <v>189.70833333333331</v>
      </c>
      <c r="Y244" s="22">
        <v>4</v>
      </c>
      <c r="Z244" s="24">
        <f t="shared" si="42"/>
        <v>2851.4598010571758</v>
      </c>
      <c r="AA244" s="24">
        <f t="shared" si="43"/>
        <v>758.83333333333326</v>
      </c>
      <c r="AB244" s="22">
        <v>14.5</v>
      </c>
      <c r="AC244" s="22">
        <f t="shared" si="44"/>
        <v>20</v>
      </c>
      <c r="AD244" s="22">
        <v>5</v>
      </c>
      <c r="AE244" s="22" t="s">
        <v>330</v>
      </c>
      <c r="AF244" s="22">
        <v>0.7</v>
      </c>
      <c r="AG244" s="22">
        <v>0.7</v>
      </c>
      <c r="AH244" s="25">
        <f t="shared" si="45"/>
        <v>1321.4285714285716</v>
      </c>
      <c r="AI244" s="25">
        <f t="shared" si="46"/>
        <v>1014.9999999999999</v>
      </c>
      <c r="AJ244" s="21">
        <v>758.83333333333326</v>
      </c>
      <c r="AK244" s="21">
        <v>20</v>
      </c>
      <c r="AL244" s="22" t="s">
        <v>161</v>
      </c>
      <c r="AM244" s="22">
        <v>0.16</v>
      </c>
      <c r="AN244" s="22" t="s">
        <v>1364</v>
      </c>
      <c r="AO244" s="22" t="s">
        <v>1364</v>
      </c>
      <c r="AP244" s="22" t="s">
        <v>162</v>
      </c>
      <c r="AQ244" s="22" t="str">
        <f t="shared" si="47"/>
        <v>Microphytoplankton</v>
      </c>
      <c r="AR244" s="22">
        <v>0</v>
      </c>
      <c r="AS244" s="22">
        <v>0</v>
      </c>
      <c r="AT244" s="22">
        <v>0</v>
      </c>
      <c r="AU244" s="22">
        <v>1</v>
      </c>
      <c r="AV244" s="22">
        <v>0</v>
      </c>
      <c r="AW244" s="22">
        <v>0</v>
      </c>
      <c r="AX244" s="22">
        <v>0</v>
      </c>
      <c r="AY244" s="22">
        <v>1</v>
      </c>
      <c r="BH244" s="22">
        <f t="shared" si="39"/>
        <v>0.26612099986540105</v>
      </c>
    </row>
    <row r="245" spans="1:60">
      <c r="BH245" s="22"/>
    </row>
    <row r="246" spans="1:60" s="22" customFormat="1" ht="13">
      <c r="A246" s="22" t="s">
        <v>3031</v>
      </c>
      <c r="B246" s="22" t="s">
        <v>663</v>
      </c>
      <c r="C246" s="22" t="s">
        <v>2223</v>
      </c>
      <c r="D246" s="22" t="s">
        <v>2224</v>
      </c>
      <c r="E246" s="23" t="s">
        <v>63</v>
      </c>
      <c r="F246" s="23" t="s">
        <v>2225</v>
      </c>
      <c r="G246" s="23" t="s">
        <v>2226</v>
      </c>
      <c r="H246" s="22" t="s">
        <v>2457</v>
      </c>
      <c r="I246" s="22" t="s">
        <v>3026</v>
      </c>
      <c r="J246" s="22" t="s">
        <v>3032</v>
      </c>
      <c r="N246" s="22" t="s">
        <v>3033</v>
      </c>
      <c r="O246" s="22" t="s">
        <v>2229</v>
      </c>
      <c r="P246" s="22">
        <v>86210</v>
      </c>
      <c r="Q246" s="22">
        <v>40</v>
      </c>
      <c r="R246" s="22">
        <v>5</v>
      </c>
      <c r="S246" s="22">
        <v>5</v>
      </c>
      <c r="T246" s="22" t="s">
        <v>874</v>
      </c>
      <c r="U246" s="21">
        <v>1</v>
      </c>
      <c r="V246" s="21">
        <v>1</v>
      </c>
      <c r="W246" s="24">
        <f>(4*3.14*(((Q246^1.6*R246^1.6+Q246^1.6*S246^1.6+R246^1.6+S246^1.6)/3)^(1/1.6)))*(1/V246)</f>
        <v>1953.0057648453731</v>
      </c>
      <c r="X246" s="24">
        <f>3.14/12*R246*S246*Q246*U246</f>
        <v>261.66666666666669</v>
      </c>
      <c r="Y246" s="22">
        <v>1</v>
      </c>
      <c r="Z246" s="24">
        <f>Y246*W246</f>
        <v>1953.0057648453731</v>
      </c>
      <c r="AA246" s="24">
        <f>Y246*X246</f>
        <v>261.66666666666669</v>
      </c>
      <c r="AH246" s="25"/>
      <c r="AI246" s="25"/>
      <c r="AJ246" s="21">
        <v>261.66666666666663</v>
      </c>
      <c r="AK246" s="21">
        <v>40</v>
      </c>
      <c r="AL246" s="22" t="s">
        <v>161</v>
      </c>
      <c r="AM246" s="22">
        <v>0.16</v>
      </c>
      <c r="AO246" s="22" t="s">
        <v>1015</v>
      </c>
      <c r="AP246" s="22" t="s">
        <v>162</v>
      </c>
      <c r="AQ246" s="22" t="str">
        <f>IF(AND($AK246&lt;20,AJ246&lt;10000),"Nanophytoplankton","Microphytoplankton")</f>
        <v>Microphytoplankton</v>
      </c>
      <c r="AR246" s="22">
        <v>0</v>
      </c>
      <c r="AS246" s="22">
        <v>0</v>
      </c>
      <c r="AT246" s="22">
        <v>0</v>
      </c>
      <c r="AU246" s="22">
        <v>0</v>
      </c>
      <c r="AV246" s="22">
        <v>0</v>
      </c>
      <c r="AW246" s="22">
        <v>0</v>
      </c>
      <c r="AX246" s="22">
        <v>0</v>
      </c>
      <c r="AY246" s="22">
        <v>1</v>
      </c>
      <c r="AZ246" s="22">
        <v>0</v>
      </c>
      <c r="BA246" s="22">
        <v>0</v>
      </c>
      <c r="BB246" s="22">
        <v>0</v>
      </c>
      <c r="BC246" s="22">
        <v>2</v>
      </c>
      <c r="BD246" s="22">
        <v>6</v>
      </c>
      <c r="BE246" s="22">
        <v>2</v>
      </c>
      <c r="BH246" s="22">
        <f t="shared" si="39"/>
        <v>0.13398151269020131</v>
      </c>
    </row>
    <row r="247" spans="1:60" s="22" customFormat="1" ht="13">
      <c r="A247" s="21" t="s">
        <v>2717</v>
      </c>
      <c r="B247" s="22" t="s">
        <v>663</v>
      </c>
      <c r="C247" s="22" t="s">
        <v>2223</v>
      </c>
      <c r="D247" s="22" t="s">
        <v>2224</v>
      </c>
      <c r="E247" s="23" t="s">
        <v>63</v>
      </c>
      <c r="F247" s="23" t="s">
        <v>2225</v>
      </c>
      <c r="G247" s="23" t="s">
        <v>2226</v>
      </c>
      <c r="H247" s="22" t="s">
        <v>2253</v>
      </c>
      <c r="I247" s="22" t="s">
        <v>2692</v>
      </c>
      <c r="J247" s="38" t="s">
        <v>428</v>
      </c>
      <c r="K247" s="38"/>
      <c r="L247" s="38"/>
      <c r="N247" s="22" t="s">
        <v>2718</v>
      </c>
      <c r="O247" s="22" t="s">
        <v>2229</v>
      </c>
      <c r="P247" s="21">
        <v>81720</v>
      </c>
      <c r="Q247" s="21">
        <v>15</v>
      </c>
      <c r="R247" s="21">
        <v>4</v>
      </c>
      <c r="S247" s="21">
        <v>4</v>
      </c>
      <c r="T247" s="21" t="s">
        <v>281</v>
      </c>
      <c r="U247" s="21">
        <v>0.7</v>
      </c>
      <c r="V247" s="21">
        <v>0.7</v>
      </c>
      <c r="W247" s="24">
        <f>(4*3.14*(((Q247^1.6*R247^1.6+Q247^1.6*S247^1.6+R247^1.6+S247^1.6)/3)^(1/1.6)))*(1/V247)</f>
        <v>842.41571633763772</v>
      </c>
      <c r="X247" s="24">
        <f>3.14/6*Q247*R247*S247*U247</f>
        <v>87.919999999999987</v>
      </c>
      <c r="Y247" s="22">
        <v>1</v>
      </c>
      <c r="Z247" s="24">
        <f>Y247*W247</f>
        <v>842.41571633763772</v>
      </c>
      <c r="AA247" s="24">
        <f>Y247*X247</f>
        <v>87.919999999999987</v>
      </c>
      <c r="AB247" s="21"/>
      <c r="AC247" s="21"/>
      <c r="AD247" s="21"/>
      <c r="AE247" s="21"/>
      <c r="AF247" s="21"/>
      <c r="AG247" s="21"/>
      <c r="AH247" s="24"/>
      <c r="AI247" s="24"/>
      <c r="AJ247" s="21">
        <v>131.9</v>
      </c>
      <c r="AK247" s="21">
        <v>15</v>
      </c>
      <c r="AL247" s="22" t="s">
        <v>161</v>
      </c>
      <c r="AM247" s="22">
        <v>0.16</v>
      </c>
      <c r="AN247" s="38" t="s">
        <v>2257</v>
      </c>
      <c r="AO247" s="22" t="s">
        <v>2257</v>
      </c>
      <c r="AP247" s="22" t="s">
        <v>162</v>
      </c>
      <c r="AQ247" s="22" t="str">
        <f>IF(AND($AK247&lt;20,AJ247&lt;10000),"Nanophytoplankton","Microphytoplankton")</f>
        <v>Nanophytoplankton</v>
      </c>
      <c r="AR247" s="22">
        <v>0</v>
      </c>
      <c r="AS247" s="22">
        <v>0</v>
      </c>
      <c r="AT247" s="22">
        <v>0</v>
      </c>
      <c r="AU247" s="22">
        <v>0</v>
      </c>
      <c r="AV247" s="22">
        <v>0</v>
      </c>
      <c r="AW247" s="22">
        <v>0</v>
      </c>
      <c r="AX247" s="22">
        <v>0</v>
      </c>
      <c r="AY247" s="22">
        <v>1</v>
      </c>
      <c r="AZ247" s="22">
        <v>0</v>
      </c>
      <c r="BA247" s="22">
        <v>1</v>
      </c>
      <c r="BB247" s="22">
        <v>0</v>
      </c>
      <c r="BC247" s="22">
        <v>1</v>
      </c>
      <c r="BD247" s="22">
        <v>7</v>
      </c>
      <c r="BE247" s="22">
        <v>1</v>
      </c>
      <c r="BH247" s="22">
        <f t="shared" si="39"/>
        <v>0.10436652390844274</v>
      </c>
    </row>
    <row r="248" spans="1:60">
      <c r="BH248" s="22"/>
    </row>
    <row r="249" spans="1:60" s="22" customFormat="1" ht="14">
      <c r="A249" s="22" t="s">
        <v>170</v>
      </c>
      <c r="B249" s="22" t="s">
        <v>149</v>
      </c>
      <c r="C249" s="22" t="s">
        <v>150</v>
      </c>
      <c r="D249" s="23" t="s">
        <v>151</v>
      </c>
      <c r="E249" s="22" t="s">
        <v>61</v>
      </c>
      <c r="F249" s="22" t="s">
        <v>152</v>
      </c>
      <c r="G249" s="20" t="s">
        <v>164</v>
      </c>
      <c r="H249" s="26" t="s">
        <v>165</v>
      </c>
      <c r="I249" s="22" t="s">
        <v>32</v>
      </c>
      <c r="J249" s="22" t="s">
        <v>171</v>
      </c>
      <c r="N249" s="22" t="s">
        <v>172</v>
      </c>
      <c r="O249" s="22" t="s">
        <v>158</v>
      </c>
      <c r="P249" s="22">
        <v>10732</v>
      </c>
      <c r="Q249" s="22">
        <v>4</v>
      </c>
      <c r="R249" s="22">
        <v>4</v>
      </c>
      <c r="S249" s="22">
        <v>4</v>
      </c>
      <c r="T249" s="21" t="s">
        <v>159</v>
      </c>
      <c r="U249" s="21">
        <v>1</v>
      </c>
      <c r="V249" s="21">
        <v>1</v>
      </c>
      <c r="W249" s="24">
        <f>(4*3.14*(((Q249^1.6*R249^1.6+Q249^1.6*S249^1.6+R249^1.6+S249^1.6)/3)^(1/1.6)))*(1/V249)</f>
        <v>166.37591354482302</v>
      </c>
      <c r="X249" s="24">
        <f>3.14/6*Q249*R249*S249*U249</f>
        <v>33.493333333333332</v>
      </c>
      <c r="Y249" s="21">
        <v>25</v>
      </c>
      <c r="Z249" s="24">
        <f>Y249*W249</f>
        <v>4159.3978386205754</v>
      </c>
      <c r="AA249" s="24">
        <f>Y249*X249</f>
        <v>837.33333333333326</v>
      </c>
      <c r="AB249" s="22">
        <v>100</v>
      </c>
      <c r="AC249" s="22">
        <v>4</v>
      </c>
      <c r="AD249" s="22">
        <v>4</v>
      </c>
      <c r="AE249" s="21" t="s">
        <v>160</v>
      </c>
      <c r="AF249" s="21">
        <v>1</v>
      </c>
      <c r="AG249" s="21">
        <v>1</v>
      </c>
      <c r="AH249" s="24">
        <f>3.14*AC249*AB249+2*3.14*(AD249/2)^2/AG249</f>
        <v>1281.1199999999999</v>
      </c>
      <c r="AI249" s="25">
        <f>(3.14/4*AC249^2*AB249)*AF249</f>
        <v>1256</v>
      </c>
      <c r="AJ249" s="21">
        <v>1256</v>
      </c>
      <c r="AK249" s="21">
        <v>100</v>
      </c>
      <c r="AL249" s="22" t="s">
        <v>161</v>
      </c>
      <c r="AM249" s="22">
        <v>0.22</v>
      </c>
      <c r="AO249" s="22" t="s">
        <v>168</v>
      </c>
      <c r="AP249" s="22" t="s">
        <v>169</v>
      </c>
      <c r="AQ249" s="22" t="str">
        <f>IF(AND($AK249&lt;20,AJ249&lt;10000),"Nanophytoplankton","Microphytoplankton")</f>
        <v>Microphytoplankton</v>
      </c>
      <c r="AR249" s="22">
        <v>0</v>
      </c>
      <c r="AS249" s="22">
        <v>0</v>
      </c>
      <c r="AT249" s="22">
        <v>0</v>
      </c>
      <c r="AU249" s="22">
        <v>1</v>
      </c>
      <c r="AV249" s="22">
        <v>1</v>
      </c>
      <c r="AW249" s="22">
        <v>0</v>
      </c>
      <c r="AX249" s="22">
        <v>0</v>
      </c>
      <c r="AY249" s="22">
        <v>1</v>
      </c>
      <c r="BH249" s="22">
        <f t="shared" si="39"/>
        <v>0.20131119114372259</v>
      </c>
    </row>
    <row r="250" spans="1:60" s="22" customFormat="1" ht="13">
      <c r="D250" s="23"/>
      <c r="G250" s="20"/>
      <c r="H250" s="26"/>
      <c r="T250" s="21"/>
      <c r="U250" s="21"/>
      <c r="V250" s="21"/>
      <c r="W250" s="24"/>
      <c r="X250" s="24"/>
      <c r="Y250" s="21"/>
      <c r="Z250" s="24"/>
      <c r="AA250" s="24"/>
      <c r="AE250" s="21"/>
      <c r="AF250" s="21"/>
      <c r="AG250" s="21"/>
      <c r="AH250" s="24"/>
      <c r="AI250" s="25"/>
      <c r="AJ250" s="21"/>
      <c r="AK250" s="21"/>
    </row>
    <row r="251" spans="1:60" s="22" customFormat="1" ht="13">
      <c r="A251" s="21" t="s">
        <v>2164</v>
      </c>
      <c r="B251" s="22" t="s">
        <v>663</v>
      </c>
      <c r="C251" s="23" t="s">
        <v>822</v>
      </c>
      <c r="D251" s="23" t="s">
        <v>965</v>
      </c>
      <c r="E251" s="22" t="s">
        <v>62</v>
      </c>
      <c r="F251" s="22" t="s">
        <v>1424</v>
      </c>
      <c r="G251" s="23" t="s">
        <v>1553</v>
      </c>
      <c r="H251" s="23" t="s">
        <v>1554</v>
      </c>
      <c r="I251" s="22" t="s">
        <v>2165</v>
      </c>
      <c r="J251" s="22" t="s">
        <v>2166</v>
      </c>
      <c r="N251" s="22" t="s">
        <v>1580</v>
      </c>
      <c r="O251" s="22" t="s">
        <v>1430</v>
      </c>
      <c r="P251" s="21">
        <v>70330</v>
      </c>
      <c r="Q251" s="21">
        <v>15</v>
      </c>
      <c r="R251" s="21">
        <v>15</v>
      </c>
      <c r="S251" s="21">
        <v>5</v>
      </c>
      <c r="T251" s="22" t="s">
        <v>330</v>
      </c>
      <c r="U251" s="21">
        <v>1</v>
      </c>
      <c r="V251" s="22">
        <v>1</v>
      </c>
      <c r="W251" s="25">
        <f>(Q251*R251*2+Q251*S251*2+R251*S251*2)/V251</f>
        <v>750</v>
      </c>
      <c r="X251" s="25">
        <f>Q251*R251*S251*U251</f>
        <v>1125</v>
      </c>
      <c r="Y251" s="21">
        <v>1</v>
      </c>
      <c r="Z251" s="24">
        <f>Y251*W251</f>
        <v>750</v>
      </c>
      <c r="AA251" s="24">
        <f>Y251*X251</f>
        <v>1125</v>
      </c>
      <c r="AB251" s="21"/>
      <c r="AC251" s="21"/>
      <c r="AD251" s="21"/>
      <c r="AE251" s="21"/>
      <c r="AF251" s="21" t="s">
        <v>247</v>
      </c>
      <c r="AG251" s="21"/>
      <c r="AH251" s="24"/>
      <c r="AI251" s="24"/>
      <c r="AJ251" s="21">
        <v>883.6</v>
      </c>
      <c r="AK251" s="21">
        <v>15</v>
      </c>
      <c r="AL251" s="22" t="s">
        <v>161</v>
      </c>
      <c r="AM251" s="22">
        <v>0.11</v>
      </c>
      <c r="AO251" s="22" t="s">
        <v>1505</v>
      </c>
      <c r="AP251" s="22" t="s">
        <v>1432</v>
      </c>
      <c r="AQ251" s="22" t="str">
        <f>IF(AND($AK251&lt;20,AJ251&lt;10000),"Nanophytoplankton","Microphytoplankton")</f>
        <v>Nanophytoplankton</v>
      </c>
      <c r="AR251" s="22">
        <v>0</v>
      </c>
      <c r="AS251" s="22">
        <v>0</v>
      </c>
      <c r="AT251" s="22">
        <v>0</v>
      </c>
      <c r="AU251" s="22">
        <v>0</v>
      </c>
      <c r="AV251" s="22">
        <v>0</v>
      </c>
      <c r="AW251" s="22">
        <v>0</v>
      </c>
      <c r="AX251" s="22">
        <v>1</v>
      </c>
      <c r="AY251" s="22">
        <v>0</v>
      </c>
      <c r="AZ251" s="22">
        <v>1</v>
      </c>
      <c r="BA251" s="22">
        <v>3</v>
      </c>
      <c r="BB251" s="22">
        <v>4</v>
      </c>
      <c r="BC251" s="22">
        <v>2</v>
      </c>
      <c r="BD251" s="22">
        <v>0</v>
      </c>
      <c r="BE251" s="22">
        <v>0</v>
      </c>
      <c r="BH251" s="22">
        <f t="shared" si="39"/>
        <v>1.5</v>
      </c>
    </row>
    <row r="252" spans="1:60">
      <c r="BH252" s="22"/>
    </row>
    <row r="253" spans="1:60" s="22" customFormat="1" ht="13">
      <c r="A253" s="21" t="s">
        <v>3062</v>
      </c>
      <c r="B253" s="22" t="s">
        <v>663</v>
      </c>
      <c r="C253" s="22" t="s">
        <v>2223</v>
      </c>
      <c r="D253" s="22" t="s">
        <v>2224</v>
      </c>
      <c r="E253" s="23" t="s">
        <v>63</v>
      </c>
      <c r="F253" s="23" t="s">
        <v>2840</v>
      </c>
      <c r="G253" s="23" t="s">
        <v>2841</v>
      </c>
      <c r="H253" s="23" t="s">
        <v>3063</v>
      </c>
      <c r="I253" s="22" t="s">
        <v>3064</v>
      </c>
      <c r="J253" s="22" t="s">
        <v>3065</v>
      </c>
      <c r="N253" s="22" t="s">
        <v>3066</v>
      </c>
      <c r="O253" s="22" t="s">
        <v>2229</v>
      </c>
      <c r="P253" s="21">
        <v>89900</v>
      </c>
      <c r="Q253" s="21">
        <v>12</v>
      </c>
      <c r="R253" s="21">
        <v>2.5</v>
      </c>
      <c r="S253" s="21">
        <v>2.5</v>
      </c>
      <c r="T253" s="21" t="s">
        <v>160</v>
      </c>
      <c r="U253" s="21">
        <v>1</v>
      </c>
      <c r="V253" s="21">
        <v>1</v>
      </c>
      <c r="W253" s="24">
        <f>3.14*R253*Q253+2*3.14*(S253/2)^2/V253</f>
        <v>104.0125</v>
      </c>
      <c r="X253" s="25">
        <f>(3.14/4*R253^2*Q253)*U253</f>
        <v>58.875</v>
      </c>
      <c r="Y253" s="21">
        <v>1</v>
      </c>
      <c r="Z253" s="24">
        <f>Y253*W253</f>
        <v>104.0125</v>
      </c>
      <c r="AA253" s="24">
        <f>Y253*X253</f>
        <v>58.875</v>
      </c>
      <c r="AB253" s="21"/>
      <c r="AC253" s="21"/>
      <c r="AD253" s="21"/>
      <c r="AE253" s="21"/>
      <c r="AF253" s="21"/>
      <c r="AG253" s="21"/>
      <c r="AH253" s="24"/>
      <c r="AI253" s="24"/>
      <c r="AJ253" s="21">
        <v>47</v>
      </c>
      <c r="AK253" s="21">
        <v>12</v>
      </c>
      <c r="AL253" s="22" t="s">
        <v>3067</v>
      </c>
      <c r="AM253" s="22">
        <v>0.16</v>
      </c>
      <c r="AO253" s="22" t="s">
        <v>2257</v>
      </c>
      <c r="AP253" s="22" t="s">
        <v>626</v>
      </c>
      <c r="AQ253" s="22" t="str">
        <f>IF(AND($AK253&lt;20,AJ253&lt;10000),"Nanophytoplankton","Microphytoplankton")</f>
        <v>Nanophytoplankton</v>
      </c>
      <c r="AR253" s="22">
        <v>0</v>
      </c>
      <c r="AS253" s="22">
        <v>0</v>
      </c>
      <c r="AT253" s="22">
        <v>0</v>
      </c>
      <c r="AU253" s="22">
        <v>0</v>
      </c>
      <c r="AV253" s="22">
        <v>0</v>
      </c>
      <c r="AW253" s="22">
        <v>0</v>
      </c>
      <c r="AX253" s="22">
        <v>0</v>
      </c>
      <c r="AY253" s="22">
        <v>1</v>
      </c>
      <c r="BH253" s="22">
        <f t="shared" si="39"/>
        <v>0.56603773584905659</v>
      </c>
    </row>
    <row r="254" spans="1:60" s="22" customFormat="1" ht="13">
      <c r="A254" s="21" t="s">
        <v>627</v>
      </c>
      <c r="B254" s="22" t="s">
        <v>149</v>
      </c>
      <c r="C254" s="22" t="s">
        <v>150</v>
      </c>
      <c r="D254" s="23" t="s">
        <v>151</v>
      </c>
      <c r="E254" s="22" t="s">
        <v>61</v>
      </c>
      <c r="F254" s="22" t="s">
        <v>152</v>
      </c>
      <c r="G254" s="22" t="s">
        <v>60</v>
      </c>
      <c r="H254" s="22" t="s">
        <v>293</v>
      </c>
      <c r="I254" s="22" t="s">
        <v>624</v>
      </c>
      <c r="J254" s="22" t="s">
        <v>628</v>
      </c>
      <c r="N254" s="22" t="s">
        <v>228</v>
      </c>
      <c r="O254" s="22" t="s">
        <v>158</v>
      </c>
      <c r="P254" s="21">
        <v>11310</v>
      </c>
      <c r="Q254" s="21">
        <v>10</v>
      </c>
      <c r="R254" s="21">
        <v>3</v>
      </c>
      <c r="S254" s="21">
        <v>3</v>
      </c>
      <c r="T254" s="21" t="s">
        <v>160</v>
      </c>
      <c r="U254" s="21">
        <v>1</v>
      </c>
      <c r="V254" s="22">
        <v>1</v>
      </c>
      <c r="W254" s="24">
        <f>3.14*R254*Q254+2*3.14*(S254/2)^2/V254</f>
        <v>108.33</v>
      </c>
      <c r="X254" s="25">
        <f>(3.14/4*R254^2*Q254)*U254</f>
        <v>70.650000000000006</v>
      </c>
      <c r="Y254" s="21">
        <v>1</v>
      </c>
      <c r="Z254" s="24">
        <f>Y254*W254</f>
        <v>108.33</v>
      </c>
      <c r="AA254" s="24">
        <f>Y254*X254</f>
        <v>70.650000000000006</v>
      </c>
      <c r="AB254" s="21"/>
      <c r="AC254" s="21"/>
      <c r="AD254" s="21"/>
      <c r="AE254" s="21"/>
      <c r="AF254" s="21" t="s">
        <v>247</v>
      </c>
      <c r="AG254" s="21"/>
      <c r="AH254" s="24"/>
      <c r="AI254" s="24"/>
      <c r="AJ254" s="21">
        <v>63.6</v>
      </c>
      <c r="AK254" s="21">
        <v>10</v>
      </c>
      <c r="AL254" s="22" t="s">
        <v>161</v>
      </c>
      <c r="AM254" s="22">
        <v>0.22</v>
      </c>
      <c r="AN254" s="22" t="s">
        <v>368</v>
      </c>
      <c r="AO254" s="22" t="s">
        <v>229</v>
      </c>
      <c r="AP254" s="22" t="s">
        <v>626</v>
      </c>
      <c r="AQ254" s="22" t="str">
        <f>IF(AND($AK254&lt;20,AJ254&lt;10000),"Nanophytoplankton","Microphytoplankton")</f>
        <v>Nanophytoplankton</v>
      </c>
      <c r="AR254" s="22">
        <v>0</v>
      </c>
      <c r="AS254" s="22">
        <v>0</v>
      </c>
      <c r="AT254" s="22">
        <v>0</v>
      </c>
      <c r="AU254" s="22">
        <v>0</v>
      </c>
      <c r="AV254" s="22">
        <v>0</v>
      </c>
      <c r="AW254" s="22">
        <v>0</v>
      </c>
      <c r="AX254" s="22">
        <v>0</v>
      </c>
      <c r="AY254" s="22">
        <v>1</v>
      </c>
      <c r="BH254" s="22">
        <f t="shared" si="39"/>
        <v>0.65217391304347827</v>
      </c>
    </row>
    <row r="255" spans="1:60">
      <c r="BH255" s="22"/>
    </row>
    <row r="256" spans="1:60">
      <c r="BH256" s="22"/>
    </row>
    <row r="257" spans="1:60">
      <c r="BH257" s="22"/>
    </row>
    <row r="258" spans="1:60" s="22" customFormat="1" ht="13">
      <c r="A258" s="21" t="s">
        <v>1841</v>
      </c>
      <c r="B258" s="22" t="s">
        <v>663</v>
      </c>
      <c r="C258" s="23" t="s">
        <v>822</v>
      </c>
      <c r="D258" s="23" t="s">
        <v>965</v>
      </c>
      <c r="E258" s="22" t="s">
        <v>62</v>
      </c>
      <c r="F258" s="23" t="s">
        <v>1499</v>
      </c>
      <c r="G258" s="23" t="s">
        <v>1500</v>
      </c>
      <c r="H258" s="23" t="s">
        <v>1501</v>
      </c>
      <c r="I258" s="22" t="s">
        <v>1805</v>
      </c>
      <c r="J258" s="21" t="s">
        <v>1842</v>
      </c>
      <c r="K258" s="21"/>
      <c r="L258" s="21"/>
      <c r="N258" s="22" t="s">
        <v>1843</v>
      </c>
      <c r="O258" s="22" t="s">
        <v>1430</v>
      </c>
      <c r="P258" s="21">
        <v>70625</v>
      </c>
      <c r="Q258" s="21">
        <v>31.7</v>
      </c>
      <c r="R258" s="21">
        <v>4.0999999999999996</v>
      </c>
      <c r="S258" s="21">
        <v>2</v>
      </c>
      <c r="T258" s="22" t="s">
        <v>330</v>
      </c>
      <c r="U258" s="21">
        <v>0.9</v>
      </c>
      <c r="V258" s="21">
        <v>0.9</v>
      </c>
      <c r="W258" s="25">
        <f>(Q258*R258*2+Q258*S258*2+R258*S258*2)/V258</f>
        <v>447.93333333333328</v>
      </c>
      <c r="X258" s="25">
        <f>Q258*R258*S258*U258</f>
        <v>233.946</v>
      </c>
      <c r="Y258" s="21">
        <v>1</v>
      </c>
      <c r="Z258" s="24">
        <f>Y258*W258</f>
        <v>447.93333333333328</v>
      </c>
      <c r="AA258" s="24">
        <f>Y258*X258</f>
        <v>233.946</v>
      </c>
      <c r="AB258" s="21"/>
      <c r="AC258" s="21"/>
      <c r="AD258" s="21"/>
      <c r="AE258" s="21"/>
      <c r="AF258" s="21" t="s">
        <v>247</v>
      </c>
      <c r="AG258" s="21"/>
      <c r="AH258" s="24"/>
      <c r="AI258" s="24"/>
      <c r="AJ258" s="21">
        <v>235</v>
      </c>
      <c r="AK258" s="21">
        <v>32</v>
      </c>
      <c r="AL258" s="22" t="s">
        <v>161</v>
      </c>
      <c r="AM258" s="22">
        <v>0.11</v>
      </c>
      <c r="AO258" s="22" t="s">
        <v>1762</v>
      </c>
      <c r="AP258" s="22" t="s">
        <v>1432</v>
      </c>
      <c r="AQ258" s="22" t="str">
        <f>IF(AND($AK258&lt;20,AJ258&lt;10000),"Nanophytoplankton","Microphytoplankton")</f>
        <v>Microphytoplankton</v>
      </c>
      <c r="AR258" s="22">
        <v>0</v>
      </c>
      <c r="AS258" s="22">
        <v>0</v>
      </c>
      <c r="AT258" s="22">
        <v>0</v>
      </c>
      <c r="AU258" s="22">
        <v>1</v>
      </c>
      <c r="AV258" s="22">
        <v>0</v>
      </c>
      <c r="AW258" s="22">
        <v>0</v>
      </c>
      <c r="AX258" s="22">
        <v>1</v>
      </c>
      <c r="AY258" s="22">
        <v>0</v>
      </c>
      <c r="BH258" s="22">
        <f t="shared" si="39"/>
        <v>0.52227861288882282</v>
      </c>
    </row>
    <row r="259" spans="1:60" s="22" customFormat="1" ht="13">
      <c r="A259" s="22" t="s">
        <v>2215</v>
      </c>
      <c r="B259" s="22" t="s">
        <v>663</v>
      </c>
      <c r="C259" s="23" t="s">
        <v>822</v>
      </c>
      <c r="D259" s="23" t="s">
        <v>965</v>
      </c>
      <c r="E259" s="22" t="s">
        <v>62</v>
      </c>
      <c r="F259" s="23" t="s">
        <v>1499</v>
      </c>
      <c r="G259" s="23" t="s">
        <v>1500</v>
      </c>
      <c r="H259" s="23" t="s">
        <v>1501</v>
      </c>
      <c r="I259" s="23" t="s">
        <v>2216</v>
      </c>
      <c r="J259" s="22" t="s">
        <v>1868</v>
      </c>
      <c r="N259" s="37" t="s">
        <v>2217</v>
      </c>
      <c r="O259" s="22" t="s">
        <v>1430</v>
      </c>
      <c r="P259" s="22">
        <v>70990</v>
      </c>
      <c r="Q259" s="21">
        <v>180</v>
      </c>
      <c r="R259" s="21">
        <v>8</v>
      </c>
      <c r="S259" s="21">
        <v>5</v>
      </c>
      <c r="T259" s="22" t="s">
        <v>330</v>
      </c>
      <c r="U259" s="21">
        <v>0.7</v>
      </c>
      <c r="V259" s="21">
        <v>0.7</v>
      </c>
      <c r="W259" s="25">
        <f>(Q259*R259*2+Q259*S259*2+R259*S259*2)/V259</f>
        <v>6800</v>
      </c>
      <c r="X259" s="25">
        <f>Q259*R259*S259*U259</f>
        <v>5040</v>
      </c>
      <c r="Y259" s="21">
        <v>1</v>
      </c>
      <c r="Z259" s="24">
        <f>Y259*W259</f>
        <v>6800</v>
      </c>
      <c r="AA259" s="24">
        <f>Y259*X259</f>
        <v>5040</v>
      </c>
      <c r="AB259" s="21"/>
      <c r="AC259" s="21"/>
      <c r="AD259" s="21"/>
      <c r="AE259" s="21"/>
      <c r="AF259" s="21" t="s">
        <v>247</v>
      </c>
      <c r="AG259" s="21"/>
      <c r="AH259" s="24"/>
      <c r="AI259" s="24"/>
      <c r="AJ259" s="21">
        <v>5040</v>
      </c>
      <c r="AK259" s="21">
        <v>180</v>
      </c>
      <c r="AL259" s="22" t="s">
        <v>161</v>
      </c>
      <c r="AM259" s="22">
        <v>0.11</v>
      </c>
      <c r="AO259" s="22" t="s">
        <v>383</v>
      </c>
      <c r="AP259" s="22" t="s">
        <v>1432</v>
      </c>
      <c r="AQ259" s="22" t="str">
        <f>IF(AND($AK259&lt;20,AJ259&lt;10000),"Nanophytoplankton","Microphytoplankton")</f>
        <v>Microphytoplankton</v>
      </c>
      <c r="AR259" s="22">
        <v>0</v>
      </c>
      <c r="AS259" s="22">
        <v>0</v>
      </c>
      <c r="AT259" s="22">
        <v>0</v>
      </c>
      <c r="AU259" s="22">
        <v>1</v>
      </c>
      <c r="AV259" s="22">
        <v>0</v>
      </c>
      <c r="AW259" s="22">
        <v>0</v>
      </c>
      <c r="AX259" s="22">
        <v>1</v>
      </c>
      <c r="AY259" s="22">
        <v>0</v>
      </c>
      <c r="BH259" s="22">
        <f t="shared" si="39"/>
        <v>0.74117647058823533</v>
      </c>
    </row>
    <row r="260" spans="1:60">
      <c r="BH260" s="22"/>
    </row>
    <row r="261" spans="1:60" s="22" customFormat="1" ht="13">
      <c r="A261" s="21" t="s">
        <v>3081</v>
      </c>
      <c r="B261" s="22" t="s">
        <v>663</v>
      </c>
      <c r="C261" s="22" t="s">
        <v>2223</v>
      </c>
      <c r="D261" s="22" t="s">
        <v>2224</v>
      </c>
      <c r="E261" s="23" t="s">
        <v>63</v>
      </c>
      <c r="F261" s="23" t="s">
        <v>2225</v>
      </c>
      <c r="G261" s="23" t="s">
        <v>2226</v>
      </c>
      <c r="H261" s="22" t="s">
        <v>2253</v>
      </c>
      <c r="I261" s="22" t="s">
        <v>54</v>
      </c>
      <c r="J261" s="21" t="s">
        <v>2444</v>
      </c>
      <c r="K261" s="21"/>
      <c r="L261" s="21"/>
      <c r="N261" s="22" t="s">
        <v>3082</v>
      </c>
      <c r="O261" s="22" t="s">
        <v>2229</v>
      </c>
      <c r="P261" s="21">
        <v>80820</v>
      </c>
      <c r="Q261" s="21">
        <v>20</v>
      </c>
      <c r="R261" s="21">
        <v>20</v>
      </c>
      <c r="S261" s="21">
        <v>10</v>
      </c>
      <c r="T261" s="21" t="s">
        <v>281</v>
      </c>
      <c r="U261" s="21">
        <v>0.6</v>
      </c>
      <c r="V261" s="21">
        <v>0.6</v>
      </c>
      <c r="W261" s="24">
        <f>(4*3.14*(((Q261^1.6*R261^1.6+Q261^1.6*S261^1.6+R261^1.6+S261^1.6)/3)^(1/1.6)))*(1/V261)</f>
        <v>5061.9707990018487</v>
      </c>
      <c r="X261" s="24">
        <f>3.14/6*Q261*R261*S261*U261</f>
        <v>1256</v>
      </c>
      <c r="Y261" s="21">
        <v>1</v>
      </c>
      <c r="Z261" s="24">
        <f>Y261*W261</f>
        <v>5061.9707990018487</v>
      </c>
      <c r="AA261" s="24">
        <f>Y261*X261</f>
        <v>1256</v>
      </c>
      <c r="AB261" s="21"/>
      <c r="AC261" s="21"/>
      <c r="AD261" s="21"/>
      <c r="AE261" s="21"/>
      <c r="AF261" s="21"/>
      <c r="AG261" s="21"/>
      <c r="AH261" s="24"/>
      <c r="AI261" s="24"/>
      <c r="AJ261" s="21">
        <v>2400</v>
      </c>
      <c r="AK261" s="21">
        <v>20</v>
      </c>
      <c r="AL261" s="22" t="s">
        <v>161</v>
      </c>
      <c r="AM261" s="22">
        <v>0.16</v>
      </c>
      <c r="AO261" s="22" t="s">
        <v>1364</v>
      </c>
      <c r="AP261" s="22" t="s">
        <v>162</v>
      </c>
      <c r="AQ261" s="22" t="str">
        <f>IF(AND($AK261&lt;20,AJ261&lt;10000),"Nanophytoplankton","Microphytoplankton")</f>
        <v>Microphytoplankton</v>
      </c>
      <c r="AR261" s="22">
        <v>0</v>
      </c>
      <c r="AS261" s="22">
        <v>0</v>
      </c>
      <c r="AT261" s="22">
        <v>0</v>
      </c>
      <c r="AU261" s="38">
        <v>0</v>
      </c>
      <c r="AV261" s="38">
        <v>0</v>
      </c>
      <c r="AW261" s="22">
        <v>0</v>
      </c>
      <c r="AX261" s="22">
        <v>0</v>
      </c>
      <c r="AY261" s="22">
        <v>1</v>
      </c>
      <c r="AZ261" s="22">
        <v>0</v>
      </c>
      <c r="BA261" s="22">
        <v>0</v>
      </c>
      <c r="BB261" s="22">
        <v>1</v>
      </c>
      <c r="BC261" s="22">
        <v>3</v>
      </c>
      <c r="BD261" s="22">
        <v>5</v>
      </c>
      <c r="BE261" s="22">
        <v>1</v>
      </c>
      <c r="BH261" s="22">
        <f t="shared" si="39"/>
        <v>0.24812470278328472</v>
      </c>
    </row>
    <row r="262" spans="1:60" s="22" customFormat="1" ht="13">
      <c r="A262" s="21" t="s">
        <v>1368</v>
      </c>
      <c r="B262" s="22" t="s">
        <v>663</v>
      </c>
      <c r="C262" s="23" t="s">
        <v>822</v>
      </c>
      <c r="D262" s="23" t="s">
        <v>965</v>
      </c>
      <c r="E262" s="22" t="s">
        <v>991</v>
      </c>
      <c r="F262" s="22" t="s">
        <v>1347</v>
      </c>
      <c r="G262" s="22" t="s">
        <v>1348</v>
      </c>
      <c r="H262" s="22" t="s">
        <v>1359</v>
      </c>
      <c r="I262" s="22" t="s">
        <v>1360</v>
      </c>
      <c r="J262" s="22" t="s">
        <v>1369</v>
      </c>
      <c r="N262" s="22" t="s">
        <v>1370</v>
      </c>
      <c r="O262" s="22" t="s">
        <v>1352</v>
      </c>
      <c r="P262" s="21">
        <v>63100</v>
      </c>
      <c r="Q262" s="21">
        <v>12</v>
      </c>
      <c r="R262" s="21">
        <v>12</v>
      </c>
      <c r="S262" s="21">
        <v>4</v>
      </c>
      <c r="T262" s="22" t="s">
        <v>281</v>
      </c>
      <c r="U262" s="21">
        <v>0.6</v>
      </c>
      <c r="V262" s="21">
        <v>0.6</v>
      </c>
      <c r="W262" s="24">
        <f>(4*3.14*(((Q262^1.6*R262^1.6+Q262^1.6*S262^1.6+R262^1.6+S262^1.6)/3)^(1/1.6)))*(1/V262)</f>
        <v>1695.2143164123599</v>
      </c>
      <c r="X262" s="24">
        <f>3.14/6*Q262*R262*S262*U262</f>
        <v>180.86399999999995</v>
      </c>
      <c r="Y262" s="21">
        <v>1</v>
      </c>
      <c r="Z262" s="24">
        <f>Y262*W262</f>
        <v>1695.2143164123599</v>
      </c>
      <c r="AA262" s="24">
        <f>Y262*X262</f>
        <v>180.86399999999995</v>
      </c>
      <c r="AB262" s="21"/>
      <c r="AC262" s="21"/>
      <c r="AD262" s="21"/>
      <c r="AE262" s="21"/>
      <c r="AF262" s="21" t="s">
        <v>247</v>
      </c>
      <c r="AG262" s="21"/>
      <c r="AH262" s="24"/>
      <c r="AI262" s="24"/>
      <c r="AJ262" s="21">
        <v>180.9</v>
      </c>
      <c r="AK262" s="21">
        <v>12</v>
      </c>
      <c r="AL262" s="22" t="s">
        <v>161</v>
      </c>
      <c r="AM262" s="22">
        <v>0.11</v>
      </c>
      <c r="AO262" s="22" t="s">
        <v>1364</v>
      </c>
      <c r="AP262" s="22" t="s">
        <v>162</v>
      </c>
      <c r="AQ262" s="22" t="str">
        <f>IF(AND($AK262&lt;20,AJ262&lt;10000),"Nanophytoplankton","Microphytoplankton")</f>
        <v>Nanophytoplankton</v>
      </c>
      <c r="AR262" s="22">
        <v>0</v>
      </c>
      <c r="AS262" s="22">
        <v>0</v>
      </c>
      <c r="AT262" s="22">
        <v>0</v>
      </c>
      <c r="AU262" s="22">
        <v>0</v>
      </c>
      <c r="AV262" s="22">
        <v>0</v>
      </c>
      <c r="AW262" s="22">
        <v>0</v>
      </c>
      <c r="AX262" s="22">
        <v>0</v>
      </c>
      <c r="AY262" s="22">
        <v>1</v>
      </c>
      <c r="BH262" s="22">
        <f t="shared" si="39"/>
        <v>0.10669093473842801</v>
      </c>
    </row>
    <row r="263" spans="1:60" s="22" customFormat="1" ht="13">
      <c r="A263" s="21" t="s">
        <v>3115</v>
      </c>
      <c r="B263" s="22" t="s">
        <v>663</v>
      </c>
      <c r="C263" s="22" t="s">
        <v>2223</v>
      </c>
      <c r="D263" s="22" t="s">
        <v>2224</v>
      </c>
      <c r="E263" s="23" t="s">
        <v>63</v>
      </c>
      <c r="F263" s="23" t="s">
        <v>2225</v>
      </c>
      <c r="G263" s="23" t="s">
        <v>2226</v>
      </c>
      <c r="H263" s="22" t="s">
        <v>2457</v>
      </c>
      <c r="I263" s="22" t="s">
        <v>55</v>
      </c>
      <c r="J263" s="21" t="s">
        <v>3116</v>
      </c>
      <c r="K263" s="21"/>
      <c r="L263" s="21"/>
      <c r="N263" s="22" t="s">
        <v>3033</v>
      </c>
      <c r="O263" s="22" t="s">
        <v>2229</v>
      </c>
      <c r="P263" s="21">
        <v>87100</v>
      </c>
      <c r="Q263" s="22">
        <v>5</v>
      </c>
      <c r="R263" s="22">
        <v>5</v>
      </c>
      <c r="S263" s="22">
        <v>5</v>
      </c>
      <c r="T263" s="22" t="s">
        <v>281</v>
      </c>
      <c r="U263" s="22">
        <v>1</v>
      </c>
      <c r="V263" s="22">
        <v>1</v>
      </c>
      <c r="W263" s="24">
        <f>(4*3.14*(((Q263^1.6*R263^1.6+Q263^1.6*S263^1.6+R263^1.6+S263^1.6)/3)^(1/1.6)))*(1/V263)</f>
        <v>255.14798814971115</v>
      </c>
      <c r="X263" s="24">
        <f>3.14/6*Q263*R263*S263*U263</f>
        <v>65.416666666666671</v>
      </c>
      <c r="Y263" s="22">
        <v>4</v>
      </c>
      <c r="Z263" s="24">
        <f>Y263*W263</f>
        <v>1020.5919525988446</v>
      </c>
      <c r="AA263" s="24">
        <f>Y263*X263</f>
        <v>261.66666666666669</v>
      </c>
      <c r="AB263" s="22">
        <v>20</v>
      </c>
      <c r="AC263" s="22">
        <v>20</v>
      </c>
      <c r="AD263" s="22">
        <v>5</v>
      </c>
      <c r="AE263" s="22" t="s">
        <v>330</v>
      </c>
      <c r="AF263" s="22">
        <v>0.7</v>
      </c>
      <c r="AG263" s="22">
        <v>0.7</v>
      </c>
      <c r="AH263" s="25">
        <f>(AB263*AC263*2+AB263*AD263*2+AC263*AD263*2)/AG263</f>
        <v>1714.2857142857144</v>
      </c>
      <c r="AI263" s="25">
        <f>AB263*AC263*AD263*AF263</f>
        <v>1400</v>
      </c>
      <c r="AJ263" s="21">
        <v>261.8</v>
      </c>
      <c r="AK263" s="21">
        <v>20</v>
      </c>
      <c r="AL263" s="22" t="s">
        <v>161</v>
      </c>
      <c r="AM263" s="22">
        <v>0.16</v>
      </c>
      <c r="AO263" s="22" t="s">
        <v>1364</v>
      </c>
      <c r="AP263" s="22" t="s">
        <v>162</v>
      </c>
      <c r="AQ263" s="22" t="str">
        <f>IF(AND($AK263&lt;20,AJ263&lt;10000),"Nanophytoplankton","Microphytoplankton")</f>
        <v>Microphytoplankton</v>
      </c>
      <c r="AR263" s="22">
        <v>0</v>
      </c>
      <c r="AS263" s="22">
        <v>0</v>
      </c>
      <c r="AT263" s="22">
        <v>0</v>
      </c>
      <c r="AU263" s="22">
        <v>1</v>
      </c>
      <c r="AV263" s="22">
        <v>0</v>
      </c>
      <c r="AW263" s="22">
        <v>0</v>
      </c>
      <c r="AX263" s="22">
        <v>0</v>
      </c>
      <c r="AY263" s="22">
        <v>1</v>
      </c>
      <c r="BH263" s="22">
        <f t="shared" si="39"/>
        <v>0.25638715453355898</v>
      </c>
    </row>
    <row r="264" spans="1:60" s="22" customFormat="1" ht="13">
      <c r="A264" s="21" t="s">
        <v>654</v>
      </c>
      <c r="B264" s="22" t="s">
        <v>149</v>
      </c>
      <c r="C264" s="22" t="s">
        <v>150</v>
      </c>
      <c r="D264" s="23" t="s">
        <v>151</v>
      </c>
      <c r="E264" s="22" t="s">
        <v>61</v>
      </c>
      <c r="F264" s="22" t="s">
        <v>152</v>
      </c>
      <c r="G264" s="22" t="s">
        <v>60</v>
      </c>
      <c r="H264" s="22" t="s">
        <v>226</v>
      </c>
      <c r="I264" s="22" t="s">
        <v>651</v>
      </c>
      <c r="J264" s="22" t="s">
        <v>655</v>
      </c>
      <c r="K264" s="22" t="s">
        <v>184</v>
      </c>
      <c r="L264" s="22" t="s">
        <v>241</v>
      </c>
      <c r="N264" s="22" t="s">
        <v>656</v>
      </c>
      <c r="O264" s="22" t="s">
        <v>158</v>
      </c>
      <c r="P264" s="21">
        <v>11900</v>
      </c>
      <c r="Q264" s="21">
        <v>6</v>
      </c>
      <c r="R264" s="21">
        <v>3</v>
      </c>
      <c r="S264" s="21">
        <v>3</v>
      </c>
      <c r="T264" s="21" t="s">
        <v>281</v>
      </c>
      <c r="U264" s="21">
        <v>1</v>
      </c>
      <c r="V264" s="21">
        <v>1</v>
      </c>
      <c r="W264" s="24">
        <f>(4*3.14*(((Q264^1.6*R264^1.6+Q264^1.6*S264^1.6+R264^1.6+S264^1.6)/3)^(1/1.6)))*(1/V264)</f>
        <v>181.64401962190658</v>
      </c>
      <c r="X264" s="24">
        <f>3.14/6*Q264*R264*S264*U264</f>
        <v>28.259999999999994</v>
      </c>
      <c r="Y264" s="21">
        <v>64</v>
      </c>
      <c r="Z264" s="24">
        <f>Y264*W264</f>
        <v>11625.217255802021</v>
      </c>
      <c r="AA264" s="24">
        <f>Y264*X264</f>
        <v>1808.6399999999996</v>
      </c>
      <c r="AB264" s="21">
        <v>25</v>
      </c>
      <c r="AC264" s="21">
        <v>25</v>
      </c>
      <c r="AD264" s="21">
        <v>25</v>
      </c>
      <c r="AE264" s="22" t="s">
        <v>159</v>
      </c>
      <c r="AF264" s="21">
        <v>0.2</v>
      </c>
      <c r="AG264" s="22">
        <v>1</v>
      </c>
      <c r="AH264" s="24">
        <f>(4*3.14*(((AB264^1.6*AC264^1.6+AB264^1.6*AD264^1.6+AC264^1.6+AD264^1.6)/3)^(1/1.6)))*(1/AG264)</f>
        <v>6114.7951676261209</v>
      </c>
      <c r="AI264" s="24">
        <f>3.14/6*AB264*AC264*AD264*AF264</f>
        <v>1635.4166666666667</v>
      </c>
      <c r="AJ264" s="21">
        <v>33.5</v>
      </c>
      <c r="AK264" s="21">
        <v>4</v>
      </c>
      <c r="AL264" s="22" t="s">
        <v>161</v>
      </c>
      <c r="AM264" s="22">
        <v>0.22</v>
      </c>
      <c r="AN264" s="22" t="s">
        <v>331</v>
      </c>
      <c r="AO264" s="22" t="s">
        <v>331</v>
      </c>
      <c r="AP264" s="22" t="s">
        <v>230</v>
      </c>
      <c r="AQ264" s="22" t="str">
        <f>IF(AND($AK264&lt;20,AJ264&lt;10000),"Nanophytoplankton","Microphytoplankton")</f>
        <v>Nanophytoplankton</v>
      </c>
      <c r="AR264" s="22">
        <v>0</v>
      </c>
      <c r="AS264" s="22">
        <v>0</v>
      </c>
      <c r="AT264" s="22">
        <v>0</v>
      </c>
      <c r="AU264" s="22">
        <v>1</v>
      </c>
      <c r="AV264" s="22">
        <v>0</v>
      </c>
      <c r="AW264" s="22">
        <v>0</v>
      </c>
      <c r="AX264" s="22">
        <v>0</v>
      </c>
      <c r="AY264" s="22">
        <v>1</v>
      </c>
      <c r="BH264" s="22">
        <f t="shared" si="39"/>
        <v>0.15557902791858164</v>
      </c>
    </row>
    <row r="265" spans="1:60" s="22" customFormat="1" ht="13">
      <c r="A265" s="21" t="s">
        <v>657</v>
      </c>
      <c r="B265" s="22" t="s">
        <v>149</v>
      </c>
      <c r="C265" s="22" t="s">
        <v>150</v>
      </c>
      <c r="D265" s="23" t="s">
        <v>151</v>
      </c>
      <c r="E265" s="22" t="s">
        <v>61</v>
      </c>
      <c r="F265" s="22" t="s">
        <v>152</v>
      </c>
      <c r="G265" s="22" t="s">
        <v>60</v>
      </c>
      <c r="H265" s="22" t="s">
        <v>226</v>
      </c>
      <c r="I265" s="22" t="s">
        <v>651</v>
      </c>
      <c r="J265" s="22" t="s">
        <v>655</v>
      </c>
      <c r="K265" s="22" t="s">
        <v>184</v>
      </c>
      <c r="L265" s="22" t="s">
        <v>658</v>
      </c>
      <c r="N265" s="22" t="s">
        <v>656</v>
      </c>
      <c r="O265" s="22" t="s">
        <v>158</v>
      </c>
      <c r="P265" s="21">
        <v>11901</v>
      </c>
      <c r="Q265" s="21">
        <v>6</v>
      </c>
      <c r="R265" s="21">
        <v>3</v>
      </c>
      <c r="S265" s="21">
        <v>3</v>
      </c>
      <c r="T265" s="21" t="s">
        <v>281</v>
      </c>
      <c r="U265" s="21">
        <v>1</v>
      </c>
      <c r="V265" s="22">
        <v>1</v>
      </c>
      <c r="W265" s="24">
        <f>(4*3.14*(((Q265^1.6*R265^1.6+Q265^1.6*S265^1.6+R265^1.6+S265^1.6)/3)^(1/1.6)))*(1/V265)</f>
        <v>181.64401962190658</v>
      </c>
      <c r="X265" s="24">
        <f>3.14/6*Q265*R265*S265*U265</f>
        <v>28.259999999999994</v>
      </c>
      <c r="Y265" s="21">
        <v>1</v>
      </c>
      <c r="Z265" s="24">
        <f>Y265*W265</f>
        <v>181.64401962190658</v>
      </c>
      <c r="AA265" s="24">
        <f>Y265*X265</f>
        <v>28.259999999999994</v>
      </c>
      <c r="AB265" s="21"/>
      <c r="AC265" s="21"/>
      <c r="AD265" s="21"/>
      <c r="AF265" s="21"/>
      <c r="AH265" s="24"/>
      <c r="AI265" s="24"/>
      <c r="AJ265" s="21">
        <v>28.2</v>
      </c>
      <c r="AK265" s="21">
        <v>6</v>
      </c>
      <c r="AL265" s="22" t="s">
        <v>161</v>
      </c>
      <c r="AM265" s="22">
        <v>0.22</v>
      </c>
      <c r="AN265" s="22" t="s">
        <v>331</v>
      </c>
      <c r="AO265" s="22" t="s">
        <v>331</v>
      </c>
      <c r="AP265" s="22" t="s">
        <v>230</v>
      </c>
      <c r="AQ265" s="22" t="str">
        <f>IF(AND($AK265&lt;20,AJ265&lt;10000),"Nanophytoplankton","Microphytoplankton")</f>
        <v>Nanophytoplankton</v>
      </c>
      <c r="AR265" s="22">
        <v>0</v>
      </c>
      <c r="AS265" s="22">
        <v>0</v>
      </c>
      <c r="AT265" s="22">
        <v>0</v>
      </c>
      <c r="AU265" s="22">
        <v>1</v>
      </c>
      <c r="AV265" s="22">
        <v>0</v>
      </c>
      <c r="AW265" s="22">
        <v>0</v>
      </c>
      <c r="AX265" s="22">
        <v>0</v>
      </c>
      <c r="AY265" s="22">
        <v>1</v>
      </c>
      <c r="BH265" s="22">
        <f t="shared" si="39"/>
        <v>0.15557902791858164</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E3FC5-30C4-334C-AB46-9D055BE43B59}">
  <dimension ref="A1:BM212"/>
  <sheetViews>
    <sheetView topLeftCell="AB161" zoomScale="61" workbookViewId="0">
      <selection activeCell="A203" sqref="A203:XFD203"/>
    </sheetView>
  </sheetViews>
  <sheetFormatPr baseColWidth="10" defaultRowHeight="16"/>
  <cols>
    <col min="1" max="1" width="21.33203125" customWidth="1"/>
  </cols>
  <sheetData>
    <row r="1" spans="1:60"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c r="BF1" s="70" t="s">
        <v>3572</v>
      </c>
      <c r="BG1" s="71" t="s">
        <v>3575</v>
      </c>
      <c r="BH1" s="70" t="s">
        <v>3723</v>
      </c>
    </row>
    <row r="2" spans="1:60" s="22" customFormat="1" ht="13">
      <c r="A2" s="21" t="s">
        <v>517</v>
      </c>
      <c r="B2" s="22" t="s">
        <v>149</v>
      </c>
      <c r="C2" s="22" t="s">
        <v>150</v>
      </c>
      <c r="D2" s="23" t="s">
        <v>151</v>
      </c>
      <c r="E2" s="22" t="s">
        <v>61</v>
      </c>
      <c r="F2" s="22" t="s">
        <v>152</v>
      </c>
      <c r="G2" s="22" t="s">
        <v>60</v>
      </c>
      <c r="H2" s="22" t="s">
        <v>507</v>
      </c>
      <c r="I2" s="22" t="s">
        <v>39</v>
      </c>
      <c r="J2" s="22" t="s">
        <v>211</v>
      </c>
      <c r="M2" s="22" t="s">
        <v>1</v>
      </c>
      <c r="N2" s="22" t="s">
        <v>413</v>
      </c>
      <c r="O2" s="22" t="s">
        <v>158</v>
      </c>
      <c r="P2" s="21">
        <v>10200</v>
      </c>
      <c r="Q2" s="21">
        <v>2.5</v>
      </c>
      <c r="R2" s="21">
        <v>2.5</v>
      </c>
      <c r="S2" s="21">
        <v>2.5</v>
      </c>
      <c r="T2" s="21" t="s">
        <v>246</v>
      </c>
      <c r="U2" s="21">
        <v>1</v>
      </c>
      <c r="V2" s="22">
        <v>1</v>
      </c>
      <c r="W2" s="25">
        <f>4*3.14*(R2/2)*(Q2/2)/V2</f>
        <v>19.625</v>
      </c>
      <c r="X2" s="25">
        <f>(3.14/6*(Q2*S2*R2))*U2</f>
        <v>8.1770833333333339</v>
      </c>
      <c r="Y2" s="21">
        <v>640</v>
      </c>
      <c r="Z2" s="24">
        <f>Y2*W2</f>
        <v>12560</v>
      </c>
      <c r="AA2" s="24">
        <f>Y2*X2</f>
        <v>5233.3333333333339</v>
      </c>
      <c r="AB2" s="21">
        <v>100</v>
      </c>
      <c r="AC2" s="21">
        <v>100</v>
      </c>
      <c r="AD2" s="21">
        <v>100</v>
      </c>
      <c r="AE2" s="22" t="s">
        <v>159</v>
      </c>
      <c r="AF2" s="21">
        <v>0.01</v>
      </c>
      <c r="AG2" s="21">
        <v>1</v>
      </c>
      <c r="AH2" s="24">
        <f>(4*3.14*(((AB2^1.6*AC2^1.6+AB2^1.6*AD2^1.6+AC2^1.6+AD2^1.6)/3)^(1/1.6)))*(1/AG2)</f>
        <v>97522.272269543319</v>
      </c>
      <c r="AI2" s="24">
        <f>3.14/6*AB2*AC2*AD2*AF2</f>
        <v>5233.333333333333</v>
      </c>
      <c r="AJ2" s="21">
        <v>5236</v>
      </c>
      <c r="AK2" s="21">
        <v>100</v>
      </c>
      <c r="AL2" s="22" t="s">
        <v>161</v>
      </c>
      <c r="AM2" s="22">
        <v>0.22</v>
      </c>
      <c r="AN2" s="22" t="s">
        <v>509</v>
      </c>
      <c r="AO2" s="22" t="s">
        <v>509</v>
      </c>
      <c r="AP2" s="22" t="s">
        <v>230</v>
      </c>
      <c r="AQ2" s="22" t="str">
        <f>IF(AND($AK2&lt;20,AJ2&lt;10000),"Nanophytoplankton","Microphytoplankton")</f>
        <v>Microphytoplankton</v>
      </c>
      <c r="AR2" s="22">
        <v>0</v>
      </c>
      <c r="AS2" s="22">
        <v>0</v>
      </c>
      <c r="AT2" s="22">
        <v>0</v>
      </c>
      <c r="AU2" s="22">
        <v>1</v>
      </c>
      <c r="AV2" s="22">
        <v>0</v>
      </c>
      <c r="AW2" s="22">
        <v>0</v>
      </c>
      <c r="AX2" s="22">
        <v>0</v>
      </c>
      <c r="AY2" s="22">
        <v>1</v>
      </c>
      <c r="BH2" s="22">
        <f>X2/W2</f>
        <v>0.41666666666666669</v>
      </c>
    </row>
    <row r="3" spans="1:60" s="22" customFormat="1" ht="14">
      <c r="A3" s="21" t="s">
        <v>218</v>
      </c>
      <c r="B3" s="22" t="s">
        <v>149</v>
      </c>
      <c r="C3" s="22" t="s">
        <v>150</v>
      </c>
      <c r="D3" s="23" t="s">
        <v>151</v>
      </c>
      <c r="E3" s="22" t="s">
        <v>61</v>
      </c>
      <c r="F3" s="22" t="s">
        <v>152</v>
      </c>
      <c r="G3" s="20" t="s">
        <v>164</v>
      </c>
      <c r="H3" s="26" t="s">
        <v>165</v>
      </c>
      <c r="I3" s="22" t="s">
        <v>33</v>
      </c>
      <c r="J3" s="22" t="s">
        <v>219</v>
      </c>
      <c r="N3" s="22" t="s">
        <v>220</v>
      </c>
      <c r="O3" s="22" t="s">
        <v>158</v>
      </c>
      <c r="P3" s="21">
        <v>10810</v>
      </c>
      <c r="Q3" s="21">
        <v>5</v>
      </c>
      <c r="R3" s="21">
        <v>5</v>
      </c>
      <c r="S3" s="21">
        <v>5</v>
      </c>
      <c r="T3" s="21" t="s">
        <v>159</v>
      </c>
      <c r="U3" s="21">
        <v>1</v>
      </c>
      <c r="V3" s="21">
        <v>1</v>
      </c>
      <c r="W3" s="24">
        <f>(4*3.14*(((Q3^1.6*R3^1.6+Q3^1.6*S3^1.6+R3^1.6+S3^1.6)/3)^(1/1.6)))*(1/V3)</f>
        <v>255.14798814971115</v>
      </c>
      <c r="X3" s="24">
        <f>3.14/6*Q3*R3*S3*U3</f>
        <v>65.416666666666671</v>
      </c>
      <c r="Y3" s="21">
        <f>AB3/5</f>
        <v>20</v>
      </c>
      <c r="Z3" s="24">
        <f>Y3*W3</f>
        <v>5102.9597629942227</v>
      </c>
      <c r="AA3" s="24">
        <f>Y3*X3</f>
        <v>1308.3333333333335</v>
      </c>
      <c r="AB3" s="21">
        <v>100</v>
      </c>
      <c r="AC3" s="21">
        <v>5</v>
      </c>
      <c r="AD3" s="21">
        <v>5</v>
      </c>
      <c r="AE3" s="21" t="s">
        <v>160</v>
      </c>
      <c r="AF3" s="21">
        <v>1</v>
      </c>
      <c r="AG3" s="21">
        <v>1</v>
      </c>
      <c r="AH3" s="24">
        <f>3.14*AC3*AB3+2*3.14*(AD3/2)^2/AG3</f>
        <v>1609.25</v>
      </c>
      <c r="AI3" s="25">
        <f>(3.14/4*AC3^2*AB3)*AF3</f>
        <v>1962.5</v>
      </c>
      <c r="AJ3" s="21">
        <v>1963</v>
      </c>
      <c r="AK3" s="21">
        <v>100</v>
      </c>
      <c r="AL3" s="22" t="s">
        <v>161</v>
      </c>
      <c r="AM3" s="22">
        <v>0.22</v>
      </c>
      <c r="AN3" s="22" t="s">
        <v>168</v>
      </c>
      <c r="AO3" s="22" t="s">
        <v>168</v>
      </c>
      <c r="AP3" s="22" t="s">
        <v>169</v>
      </c>
      <c r="AQ3" s="22" t="str">
        <f>IF(AND($AK3&lt;20,AJ3&lt;10000),"Nanophytoplankton","Microphytoplankton")</f>
        <v>Microphytoplankton</v>
      </c>
      <c r="AR3" s="22">
        <v>0</v>
      </c>
      <c r="AS3" s="22">
        <v>0</v>
      </c>
      <c r="AT3" s="22">
        <v>0</v>
      </c>
      <c r="AU3" s="22">
        <v>1</v>
      </c>
      <c r="AV3" s="22">
        <v>1</v>
      </c>
      <c r="AW3" s="22">
        <v>0</v>
      </c>
      <c r="AX3" s="22">
        <v>0</v>
      </c>
      <c r="AY3" s="22">
        <v>1</v>
      </c>
      <c r="AZ3" s="22">
        <v>0</v>
      </c>
      <c r="BA3" s="22">
        <v>0</v>
      </c>
      <c r="BB3" s="22">
        <v>0</v>
      </c>
      <c r="BC3" s="22">
        <v>1</v>
      </c>
      <c r="BD3" s="22">
        <v>4</v>
      </c>
      <c r="BE3" s="22">
        <v>5</v>
      </c>
      <c r="BF3" s="22">
        <v>1</v>
      </c>
      <c r="BG3" s="22">
        <v>0</v>
      </c>
      <c r="BH3" s="22">
        <f t="shared" ref="BH3:BH66" si="0">X3/W3</f>
        <v>0.25638715453355898</v>
      </c>
    </row>
    <row r="4" spans="1:60" s="22" customFormat="1" ht="14">
      <c r="A4" s="22" t="s">
        <v>221</v>
      </c>
      <c r="B4" s="22" t="s">
        <v>149</v>
      </c>
      <c r="C4" s="22" t="s">
        <v>150</v>
      </c>
      <c r="D4" s="23" t="s">
        <v>151</v>
      </c>
      <c r="E4" s="22" t="s">
        <v>61</v>
      </c>
      <c r="F4" s="22" t="s">
        <v>152</v>
      </c>
      <c r="G4" s="20" t="s">
        <v>164</v>
      </c>
      <c r="H4" s="26" t="s">
        <v>165</v>
      </c>
      <c r="I4" s="22" t="s">
        <v>33</v>
      </c>
      <c r="J4" s="22" t="s">
        <v>219</v>
      </c>
      <c r="K4" s="22" t="s">
        <v>175</v>
      </c>
      <c r="L4" s="22" t="s">
        <v>222</v>
      </c>
      <c r="N4" s="22" t="s">
        <v>167</v>
      </c>
      <c r="O4" s="22" t="s">
        <v>158</v>
      </c>
      <c r="P4" s="21">
        <v>10811</v>
      </c>
      <c r="Q4" s="22">
        <v>5</v>
      </c>
      <c r="R4" s="22">
        <v>3.5</v>
      </c>
      <c r="S4" s="22">
        <v>3.5</v>
      </c>
      <c r="T4" s="21" t="s">
        <v>159</v>
      </c>
      <c r="U4" s="21">
        <v>1</v>
      </c>
      <c r="V4" s="21">
        <v>1</v>
      </c>
      <c r="W4" s="24">
        <f>(4*3.14*(((Q4^1.6*R4^1.6+Q4^1.6*S4^1.6+R4^1.6+S4^1.6)/3)^(1/1.6)))*(1/V4)</f>
        <v>178.60359170479779</v>
      </c>
      <c r="X4" s="24">
        <f>3.14/6*Q4*R4*S4*U4</f>
        <v>32.054166666666667</v>
      </c>
      <c r="Y4" s="21">
        <f>AB4/5</f>
        <v>20</v>
      </c>
      <c r="Z4" s="24">
        <f>Y4*W4</f>
        <v>3572.0718340959556</v>
      </c>
      <c r="AA4" s="24">
        <f>Y4*X4</f>
        <v>641.08333333333337</v>
      </c>
      <c r="AB4" s="22">
        <v>100</v>
      </c>
      <c r="AC4" s="22">
        <v>3.5</v>
      </c>
      <c r="AD4" s="22">
        <v>3.5</v>
      </c>
      <c r="AE4" s="21" t="s">
        <v>160</v>
      </c>
      <c r="AF4" s="21">
        <v>1</v>
      </c>
      <c r="AG4" s="21">
        <v>1</v>
      </c>
      <c r="AH4" s="24">
        <f>3.14*AC4*AB4+2*3.14*(AD4/2)^2/AG4</f>
        <v>1118.2325000000001</v>
      </c>
      <c r="AI4" s="25">
        <f>(3.14/4*AC4^2*AB4)*AF4</f>
        <v>961.62500000000011</v>
      </c>
      <c r="AJ4" s="21">
        <v>961.62500000000011</v>
      </c>
      <c r="AK4" s="21">
        <v>100</v>
      </c>
      <c r="AL4" s="22" t="s">
        <v>161</v>
      </c>
      <c r="AM4" s="22">
        <v>0.22</v>
      </c>
      <c r="AN4" s="22" t="s">
        <v>168</v>
      </c>
      <c r="AO4" s="22" t="s">
        <v>168</v>
      </c>
      <c r="AP4" s="22" t="s">
        <v>169</v>
      </c>
      <c r="AQ4" s="22" t="str">
        <f>IF(AND($AK4&lt;20,AJ4&lt;10000),"Nanophytoplankton","Microphytoplankton")</f>
        <v>Microphytoplankton</v>
      </c>
      <c r="AR4" s="22">
        <v>0</v>
      </c>
      <c r="AS4" s="22">
        <v>0</v>
      </c>
      <c r="AT4" s="22">
        <v>0</v>
      </c>
      <c r="AU4" s="22">
        <v>1</v>
      </c>
      <c r="AV4" s="22">
        <v>1</v>
      </c>
      <c r="AW4" s="22">
        <v>0</v>
      </c>
      <c r="AX4" s="22">
        <v>0</v>
      </c>
      <c r="AY4" s="22">
        <v>1</v>
      </c>
      <c r="BF4" s="22">
        <v>1</v>
      </c>
      <c r="BG4" s="22">
        <v>0</v>
      </c>
      <c r="BH4" s="22">
        <f t="shared" si="0"/>
        <v>0.17947100817349129</v>
      </c>
    </row>
    <row r="5" spans="1:60" s="22" customFormat="1" ht="28">
      <c r="A5" s="21" t="s">
        <v>557</v>
      </c>
      <c r="B5" s="22" t="s">
        <v>149</v>
      </c>
      <c r="C5" s="22" t="s">
        <v>150</v>
      </c>
      <c r="D5" s="23" t="s">
        <v>151</v>
      </c>
      <c r="E5" s="22" t="s">
        <v>61</v>
      </c>
      <c r="F5" s="22" t="s">
        <v>152</v>
      </c>
      <c r="G5" s="20" t="s">
        <v>153</v>
      </c>
      <c r="H5" s="22" t="s">
        <v>543</v>
      </c>
      <c r="I5" s="22" t="s">
        <v>554</v>
      </c>
      <c r="J5" s="22" t="s">
        <v>558</v>
      </c>
      <c r="N5" s="22" t="s">
        <v>559</v>
      </c>
      <c r="O5" s="22" t="s">
        <v>158</v>
      </c>
      <c r="P5" s="21">
        <v>10910</v>
      </c>
      <c r="Q5" s="21">
        <v>3</v>
      </c>
      <c r="R5" s="21">
        <v>6</v>
      </c>
      <c r="S5" s="21">
        <v>6</v>
      </c>
      <c r="T5" s="21" t="s">
        <v>160</v>
      </c>
      <c r="U5" s="21">
        <v>1</v>
      </c>
      <c r="V5" s="22">
        <v>1</v>
      </c>
      <c r="W5" s="24">
        <f>3.14*R5*Q5+2*3.14*(S5/2)^2/V5</f>
        <v>113.03999999999999</v>
      </c>
      <c r="X5" s="25">
        <f>(3.14/4*R5^2*Q5)*U5</f>
        <v>84.78</v>
      </c>
      <c r="Y5" s="21">
        <v>33.33</v>
      </c>
      <c r="Z5" s="24">
        <f>Y5*W5</f>
        <v>3767.6231999999995</v>
      </c>
      <c r="AA5" s="24">
        <f>Y5*X5</f>
        <v>2825.7174</v>
      </c>
      <c r="AB5" s="21">
        <v>100</v>
      </c>
      <c r="AC5" s="21">
        <v>6</v>
      </c>
      <c r="AD5" s="21">
        <v>6</v>
      </c>
      <c r="AE5" s="21" t="s">
        <v>160</v>
      </c>
      <c r="AF5" s="21">
        <v>1</v>
      </c>
      <c r="AG5" s="22">
        <v>1</v>
      </c>
      <c r="AH5" s="24">
        <f>3.14*AC5*AB5+2*3.14*(AD5/2)^2/AG5</f>
        <v>1940.52</v>
      </c>
      <c r="AI5" s="25">
        <f>(3.14/4*AC5^2*AB5)*AF5</f>
        <v>2826</v>
      </c>
      <c r="AJ5" s="21">
        <v>2827.4</v>
      </c>
      <c r="AK5" s="21">
        <v>100</v>
      </c>
      <c r="AL5" s="22" t="s">
        <v>161</v>
      </c>
      <c r="AM5" s="22">
        <v>0.22</v>
      </c>
      <c r="AN5" s="22" t="s">
        <v>560</v>
      </c>
      <c r="AO5" s="22" t="s">
        <v>560</v>
      </c>
      <c r="AP5" s="22" t="s">
        <v>169</v>
      </c>
      <c r="AQ5" s="22" t="str">
        <f>IF(AND($AK5&lt;20,AJ5&lt;10000),"Nanophytoplankton","Microphytoplankton")</f>
        <v>Microphytoplankton</v>
      </c>
      <c r="AR5" s="22">
        <v>0</v>
      </c>
      <c r="AS5" s="22">
        <v>0</v>
      </c>
      <c r="AT5" s="22">
        <v>0</v>
      </c>
      <c r="AU5" s="22">
        <v>1</v>
      </c>
      <c r="AV5" s="22">
        <v>1</v>
      </c>
      <c r="AW5" s="22">
        <v>0</v>
      </c>
      <c r="AX5" s="22">
        <v>0</v>
      </c>
      <c r="AY5" s="22">
        <v>1</v>
      </c>
      <c r="AZ5" s="22">
        <v>1</v>
      </c>
      <c r="BA5" s="22">
        <v>2</v>
      </c>
      <c r="BB5" s="22">
        <v>3</v>
      </c>
      <c r="BC5" s="22">
        <v>4</v>
      </c>
      <c r="BD5" s="22">
        <v>0</v>
      </c>
      <c r="BE5" s="22">
        <v>0</v>
      </c>
      <c r="BH5" s="22">
        <f t="shared" si="0"/>
        <v>0.75000000000000011</v>
      </c>
    </row>
    <row r="6" spans="1:60">
      <c r="BH6" s="22"/>
    </row>
    <row r="7" spans="1:60" s="22" customFormat="1" ht="13">
      <c r="A7" s="21" t="s">
        <v>2186</v>
      </c>
      <c r="B7" s="22" t="s">
        <v>663</v>
      </c>
      <c r="C7" s="23" t="s">
        <v>822</v>
      </c>
      <c r="D7" s="23" t="s">
        <v>965</v>
      </c>
      <c r="E7" s="22" t="s">
        <v>62</v>
      </c>
      <c r="F7" s="22" t="s">
        <v>1424</v>
      </c>
      <c r="G7" s="23" t="s">
        <v>1553</v>
      </c>
      <c r="H7" s="23" t="s">
        <v>1554</v>
      </c>
      <c r="I7" s="22" t="s">
        <v>2165</v>
      </c>
      <c r="J7" s="22" t="s">
        <v>211</v>
      </c>
      <c r="M7" s="22" t="s">
        <v>1</v>
      </c>
      <c r="N7" s="22" t="s">
        <v>694</v>
      </c>
      <c r="O7" s="22" t="s">
        <v>1430</v>
      </c>
      <c r="P7" s="21">
        <v>70300</v>
      </c>
      <c r="Q7" s="21">
        <v>25</v>
      </c>
      <c r="R7" s="21">
        <v>25</v>
      </c>
      <c r="S7" s="21">
        <v>10</v>
      </c>
      <c r="T7" s="22" t="s">
        <v>330</v>
      </c>
      <c r="U7" s="21">
        <v>1</v>
      </c>
      <c r="V7" s="22">
        <v>1</v>
      </c>
      <c r="W7" s="25">
        <f t="shared" ref="W7:W14" si="1">(Q7*R7*2+Q7*S7*2+R7*S7*2)/V7</f>
        <v>2250</v>
      </c>
      <c r="X7" s="25">
        <f t="shared" ref="X7:X14" si="2">Q7*R7*S7*U7</f>
        <v>6250</v>
      </c>
      <c r="Y7" s="21">
        <v>1</v>
      </c>
      <c r="Z7" s="24">
        <f t="shared" ref="Z7:Z24" si="3">Y7*W7</f>
        <v>2250</v>
      </c>
      <c r="AA7" s="24">
        <f t="shared" ref="AA7:AA24" si="4">Y7*X7</f>
        <v>6250</v>
      </c>
      <c r="AB7" s="21"/>
      <c r="AC7" s="21"/>
      <c r="AD7" s="21"/>
      <c r="AE7" s="21"/>
      <c r="AF7" s="21" t="s">
        <v>247</v>
      </c>
      <c r="AG7" s="21"/>
      <c r="AH7" s="24"/>
      <c r="AI7" s="24"/>
      <c r="AJ7" s="21">
        <v>4908.7</v>
      </c>
      <c r="AK7" s="21">
        <v>25</v>
      </c>
      <c r="AL7" s="22" t="s">
        <v>161</v>
      </c>
      <c r="AM7" s="22">
        <v>0.11</v>
      </c>
      <c r="AO7" s="22" t="s">
        <v>1505</v>
      </c>
      <c r="AP7" s="22" t="s">
        <v>1432</v>
      </c>
      <c r="AQ7" s="22" t="str">
        <f t="shared" ref="AQ7:AQ24" si="5">IF(AND($AK7&lt;20,AJ7&lt;10000),"Nanophytoplankton","Microphytoplankton")</f>
        <v>Microphytoplankton</v>
      </c>
      <c r="AR7" s="22">
        <v>0</v>
      </c>
      <c r="AS7" s="22">
        <v>0</v>
      </c>
      <c r="AT7" s="22">
        <v>0</v>
      </c>
      <c r="AU7" s="22">
        <v>0</v>
      </c>
      <c r="AV7" s="22">
        <v>0</v>
      </c>
      <c r="AW7" s="22">
        <v>0</v>
      </c>
      <c r="AX7" s="22">
        <v>1</v>
      </c>
      <c r="AY7" s="22">
        <v>0</v>
      </c>
      <c r="AZ7" s="22">
        <v>0</v>
      </c>
      <c r="BA7" s="22">
        <v>0</v>
      </c>
      <c r="BB7" s="22">
        <v>0</v>
      </c>
      <c r="BC7" s="22">
        <v>1</v>
      </c>
      <c r="BD7" s="22">
        <v>3</v>
      </c>
      <c r="BE7" s="22">
        <v>6</v>
      </c>
      <c r="BH7" s="22">
        <f t="shared" si="0"/>
        <v>2.7777777777777777</v>
      </c>
    </row>
    <row r="8" spans="1:60" s="22" customFormat="1" ht="13">
      <c r="A8" s="21" t="s">
        <v>1497</v>
      </c>
      <c r="B8" s="22" t="s">
        <v>663</v>
      </c>
      <c r="C8" s="23" t="s">
        <v>822</v>
      </c>
      <c r="D8" s="23" t="s">
        <v>965</v>
      </c>
      <c r="E8" s="22" t="s">
        <v>62</v>
      </c>
      <c r="F8" s="23" t="s">
        <v>1434</v>
      </c>
      <c r="G8" s="23" t="s">
        <v>1478</v>
      </c>
      <c r="H8" s="23" t="s">
        <v>1479</v>
      </c>
      <c r="I8" s="22" t="s">
        <v>1480</v>
      </c>
      <c r="J8" s="22" t="s">
        <v>211</v>
      </c>
      <c r="M8" s="22" t="s">
        <v>1</v>
      </c>
      <c r="N8" s="22" t="s">
        <v>1056</v>
      </c>
      <c r="O8" s="22" t="s">
        <v>1430</v>
      </c>
      <c r="P8" s="21">
        <v>71600</v>
      </c>
      <c r="Q8" s="21">
        <v>40</v>
      </c>
      <c r="R8" s="21">
        <v>15</v>
      </c>
      <c r="S8" s="21">
        <v>10</v>
      </c>
      <c r="T8" s="22" t="s">
        <v>330</v>
      </c>
      <c r="U8" s="21">
        <v>0.75</v>
      </c>
      <c r="V8" s="21">
        <v>0.8</v>
      </c>
      <c r="W8" s="25">
        <f t="shared" si="1"/>
        <v>2875</v>
      </c>
      <c r="X8" s="25">
        <f t="shared" si="2"/>
        <v>4500</v>
      </c>
      <c r="Y8" s="22">
        <v>1</v>
      </c>
      <c r="Z8" s="24">
        <f t="shared" si="3"/>
        <v>2875</v>
      </c>
      <c r="AA8" s="24">
        <f t="shared" si="4"/>
        <v>4500</v>
      </c>
      <c r="AB8" s="21"/>
      <c r="AC8" s="21"/>
      <c r="AD8" s="21"/>
      <c r="AF8" s="21" t="s">
        <v>247</v>
      </c>
      <c r="AH8" s="25"/>
      <c r="AI8" s="25"/>
      <c r="AJ8" s="21">
        <v>4500</v>
      </c>
      <c r="AK8" s="21">
        <v>40</v>
      </c>
      <c r="AL8" s="22" t="s">
        <v>161</v>
      </c>
      <c r="AM8" s="22">
        <v>0.11</v>
      </c>
      <c r="AP8" s="22" t="s">
        <v>1432</v>
      </c>
      <c r="AQ8" s="22" t="str">
        <f t="shared" si="5"/>
        <v>Microphytoplankton</v>
      </c>
      <c r="AR8" s="22">
        <v>1</v>
      </c>
      <c r="AS8" s="22">
        <v>0</v>
      </c>
      <c r="AT8" s="22">
        <v>1</v>
      </c>
      <c r="AU8" s="22">
        <v>0</v>
      </c>
      <c r="AV8" s="22">
        <v>0</v>
      </c>
      <c r="AW8" s="22">
        <v>0</v>
      </c>
      <c r="AX8" s="22">
        <v>1</v>
      </c>
      <c r="AY8" s="22">
        <v>0</v>
      </c>
      <c r="BH8" s="22">
        <f t="shared" si="0"/>
        <v>1.5652173913043479</v>
      </c>
    </row>
    <row r="9" spans="1:60" s="22" customFormat="1" ht="13">
      <c r="A9" s="21" t="s">
        <v>1498</v>
      </c>
      <c r="B9" s="22" t="s">
        <v>663</v>
      </c>
      <c r="C9" s="23" t="s">
        <v>822</v>
      </c>
      <c r="D9" s="23" t="s">
        <v>965</v>
      </c>
      <c r="E9" s="22" t="s">
        <v>62</v>
      </c>
      <c r="F9" s="23" t="s">
        <v>1499</v>
      </c>
      <c r="G9" s="23" t="s">
        <v>1500</v>
      </c>
      <c r="H9" s="23" t="s">
        <v>1501</v>
      </c>
      <c r="I9" s="22" t="s">
        <v>1502</v>
      </c>
      <c r="J9" s="22" t="s">
        <v>1503</v>
      </c>
      <c r="N9" s="22" t="s">
        <v>1504</v>
      </c>
      <c r="O9" s="22" t="s">
        <v>1430</v>
      </c>
      <c r="P9" s="21">
        <v>70710</v>
      </c>
      <c r="Q9" s="21">
        <v>65</v>
      </c>
      <c r="R9" s="21">
        <v>2</v>
      </c>
      <c r="S9" s="21">
        <v>2</v>
      </c>
      <c r="T9" s="22" t="s">
        <v>330</v>
      </c>
      <c r="U9" s="21">
        <v>1</v>
      </c>
      <c r="V9" s="22">
        <v>1</v>
      </c>
      <c r="W9" s="25">
        <f t="shared" si="1"/>
        <v>528</v>
      </c>
      <c r="X9" s="25">
        <f t="shared" si="2"/>
        <v>260</v>
      </c>
      <c r="Y9" s="22">
        <v>1</v>
      </c>
      <c r="Z9" s="24">
        <f t="shared" si="3"/>
        <v>528</v>
      </c>
      <c r="AA9" s="24">
        <f t="shared" si="4"/>
        <v>260</v>
      </c>
      <c r="AB9" s="21"/>
      <c r="AC9" s="21"/>
      <c r="AD9" s="21"/>
      <c r="AF9" s="21" t="s">
        <v>247</v>
      </c>
      <c r="AH9" s="25"/>
      <c r="AI9" s="25"/>
      <c r="AJ9" s="21">
        <v>260</v>
      </c>
      <c r="AK9" s="21">
        <v>130</v>
      </c>
      <c r="AL9" s="22" t="s">
        <v>161</v>
      </c>
      <c r="AM9" s="22">
        <v>0.11</v>
      </c>
      <c r="AN9" s="22" t="s">
        <v>1505</v>
      </c>
      <c r="AO9" s="22" t="s">
        <v>1505</v>
      </c>
      <c r="AP9" s="22" t="s">
        <v>1432</v>
      </c>
      <c r="AQ9" s="22" t="str">
        <f t="shared" si="5"/>
        <v>Microphytoplankton</v>
      </c>
      <c r="AR9" s="22">
        <v>0</v>
      </c>
      <c r="AS9" s="22">
        <v>0</v>
      </c>
      <c r="AT9" s="22">
        <v>0</v>
      </c>
      <c r="AU9" s="22">
        <v>1</v>
      </c>
      <c r="AV9" s="22">
        <v>0</v>
      </c>
      <c r="AW9" s="22">
        <v>0</v>
      </c>
      <c r="AX9" s="22">
        <v>1</v>
      </c>
      <c r="AY9" s="22">
        <v>0</v>
      </c>
      <c r="BF9" s="22">
        <v>0</v>
      </c>
      <c r="BG9" s="22">
        <v>1</v>
      </c>
      <c r="BH9" s="22">
        <f t="shared" si="0"/>
        <v>0.49242424242424243</v>
      </c>
    </row>
    <row r="10" spans="1:60" s="22" customFormat="1" ht="13">
      <c r="A10" s="21" t="s">
        <v>1570</v>
      </c>
      <c r="B10" s="22" t="s">
        <v>663</v>
      </c>
      <c r="C10" s="23" t="s">
        <v>822</v>
      </c>
      <c r="D10" s="23" t="s">
        <v>965</v>
      </c>
      <c r="E10" s="22" t="s">
        <v>62</v>
      </c>
      <c r="F10" s="23" t="s">
        <v>1434</v>
      </c>
      <c r="G10" s="23" t="s">
        <v>1435</v>
      </c>
      <c r="H10" s="23" t="s">
        <v>1564</v>
      </c>
      <c r="I10" s="22" t="s">
        <v>1564</v>
      </c>
      <c r="J10" s="22" t="s">
        <v>211</v>
      </c>
      <c r="M10" s="22" t="s">
        <v>1</v>
      </c>
      <c r="N10" s="22" t="s">
        <v>694</v>
      </c>
      <c r="O10" s="22" t="s">
        <v>1430</v>
      </c>
      <c r="P10" s="21">
        <v>71000</v>
      </c>
      <c r="Q10" s="21">
        <v>22</v>
      </c>
      <c r="R10" s="21">
        <v>10</v>
      </c>
      <c r="S10" s="21">
        <v>4.5</v>
      </c>
      <c r="T10" s="22" t="s">
        <v>330</v>
      </c>
      <c r="U10" s="21">
        <v>0.75</v>
      </c>
      <c r="V10" s="21">
        <v>0.8</v>
      </c>
      <c r="W10" s="25">
        <f t="shared" si="1"/>
        <v>910</v>
      </c>
      <c r="X10" s="25">
        <f t="shared" si="2"/>
        <v>742.5</v>
      </c>
      <c r="Y10" s="22">
        <v>1</v>
      </c>
      <c r="Z10" s="24">
        <f t="shared" si="3"/>
        <v>910</v>
      </c>
      <c r="AA10" s="24">
        <f t="shared" si="4"/>
        <v>742.5</v>
      </c>
      <c r="AB10" s="21"/>
      <c r="AC10" s="21"/>
      <c r="AD10" s="21"/>
      <c r="AF10" s="21" t="s">
        <v>247</v>
      </c>
      <c r="AH10" s="25"/>
      <c r="AI10" s="25"/>
      <c r="AJ10" s="21">
        <v>742.5</v>
      </c>
      <c r="AK10" s="21">
        <v>22</v>
      </c>
      <c r="AL10" s="22" t="s">
        <v>161</v>
      </c>
      <c r="AM10" s="22">
        <v>0.11</v>
      </c>
      <c r="AO10" s="22" t="s">
        <v>383</v>
      </c>
      <c r="AP10" s="22" t="s">
        <v>1432</v>
      </c>
      <c r="AQ10" s="22" t="str">
        <f t="shared" si="5"/>
        <v>Microphytoplankton</v>
      </c>
      <c r="AR10" s="22">
        <v>1</v>
      </c>
      <c r="AS10" s="22">
        <v>0</v>
      </c>
      <c r="AT10" s="22">
        <v>1</v>
      </c>
      <c r="AU10" s="22">
        <v>0</v>
      </c>
      <c r="AV10" s="22">
        <v>0</v>
      </c>
      <c r="AW10" s="22">
        <v>0</v>
      </c>
      <c r="AX10" s="22">
        <v>1</v>
      </c>
      <c r="AY10" s="22">
        <v>0</v>
      </c>
      <c r="BH10" s="22">
        <f t="shared" si="0"/>
        <v>0.81593406593406592</v>
      </c>
    </row>
    <row r="11" spans="1:60" s="22" customFormat="1" ht="13">
      <c r="A11" s="21" t="s">
        <v>1708</v>
      </c>
      <c r="B11" s="22" t="s">
        <v>663</v>
      </c>
      <c r="C11" s="23" t="s">
        <v>822</v>
      </c>
      <c r="D11" s="23" t="s">
        <v>965</v>
      </c>
      <c r="E11" s="22" t="s">
        <v>62</v>
      </c>
      <c r="F11" s="23" t="s">
        <v>1434</v>
      </c>
      <c r="G11" s="23" t="s">
        <v>1662</v>
      </c>
      <c r="H11" s="23" t="s">
        <v>1663</v>
      </c>
      <c r="I11" s="22" t="s">
        <v>1664</v>
      </c>
      <c r="J11" s="21" t="s">
        <v>211</v>
      </c>
      <c r="K11" s="21"/>
      <c r="L11" s="21"/>
      <c r="M11" s="22" t="s">
        <v>1</v>
      </c>
      <c r="N11" s="22" t="s">
        <v>1709</v>
      </c>
      <c r="O11" s="22" t="s">
        <v>1430</v>
      </c>
      <c r="P11" s="21">
        <v>71700</v>
      </c>
      <c r="Q11" s="21">
        <v>40</v>
      </c>
      <c r="R11" s="21">
        <v>18</v>
      </c>
      <c r="S11" s="21">
        <v>6</v>
      </c>
      <c r="T11" s="22" t="s">
        <v>330</v>
      </c>
      <c r="U11" s="21">
        <v>0.7</v>
      </c>
      <c r="V11" s="21">
        <v>0.7</v>
      </c>
      <c r="W11" s="25">
        <f t="shared" si="1"/>
        <v>3051.4285714285716</v>
      </c>
      <c r="X11" s="25">
        <f t="shared" si="2"/>
        <v>3024</v>
      </c>
      <c r="Y11" s="22">
        <v>1</v>
      </c>
      <c r="Z11" s="24">
        <f t="shared" si="3"/>
        <v>3051.4285714285716</v>
      </c>
      <c r="AA11" s="24">
        <f t="shared" si="4"/>
        <v>3024</v>
      </c>
      <c r="AB11" s="21"/>
      <c r="AC11" s="21"/>
      <c r="AD11" s="21"/>
      <c r="AF11" s="21" t="s">
        <v>247</v>
      </c>
      <c r="AG11" s="21"/>
      <c r="AH11" s="24"/>
      <c r="AI11" s="24"/>
      <c r="AJ11" s="21">
        <v>3024</v>
      </c>
      <c r="AK11" s="21">
        <v>40</v>
      </c>
      <c r="AL11" s="22" t="s">
        <v>161</v>
      </c>
      <c r="AM11" s="22">
        <v>0.11</v>
      </c>
      <c r="AO11" s="22" t="s">
        <v>383</v>
      </c>
      <c r="AP11" s="22" t="s">
        <v>1432</v>
      </c>
      <c r="AQ11" s="22" t="str">
        <f>IF(AND($AK11&lt;20,AJ11&lt;10000),"Nanophytoplankton","Microphytoplankton")</f>
        <v>Microphytoplankton</v>
      </c>
      <c r="AR11" s="22">
        <v>1</v>
      </c>
      <c r="AS11" s="22">
        <v>0</v>
      </c>
      <c r="AT11" s="22">
        <v>1</v>
      </c>
      <c r="AU11" s="22">
        <v>1</v>
      </c>
      <c r="AV11" s="22">
        <v>0</v>
      </c>
      <c r="AW11" s="22">
        <v>0</v>
      </c>
      <c r="AX11" s="22">
        <v>1</v>
      </c>
      <c r="AY11" s="22">
        <v>0</v>
      </c>
      <c r="AZ11" s="22">
        <v>0</v>
      </c>
      <c r="BA11" s="22">
        <v>4</v>
      </c>
      <c r="BB11" s="22">
        <v>5</v>
      </c>
      <c r="BC11" s="22">
        <v>1</v>
      </c>
      <c r="BD11" s="22">
        <v>0</v>
      </c>
      <c r="BE11" s="22">
        <v>0</v>
      </c>
      <c r="BH11" s="22">
        <f t="shared" si="0"/>
        <v>0.99101123595505614</v>
      </c>
    </row>
    <row r="12" spans="1:60" s="22" customFormat="1" ht="13">
      <c r="A12" s="21" t="s">
        <v>1838</v>
      </c>
      <c r="B12" s="22" t="s">
        <v>663</v>
      </c>
      <c r="C12" s="23" t="s">
        <v>822</v>
      </c>
      <c r="D12" s="23" t="s">
        <v>965</v>
      </c>
      <c r="E12" s="22" t="s">
        <v>62</v>
      </c>
      <c r="F12" s="23" t="s">
        <v>1499</v>
      </c>
      <c r="G12" s="23" t="s">
        <v>1500</v>
      </c>
      <c r="H12" s="23" t="s">
        <v>1501</v>
      </c>
      <c r="I12" s="22" t="s">
        <v>1805</v>
      </c>
      <c r="J12" s="21" t="s">
        <v>1839</v>
      </c>
      <c r="K12" s="21"/>
      <c r="L12" s="21"/>
      <c r="N12" s="22" t="s">
        <v>1840</v>
      </c>
      <c r="O12" s="22" t="s">
        <v>1430</v>
      </c>
      <c r="P12" s="21">
        <v>70620</v>
      </c>
      <c r="Q12" s="21">
        <v>90</v>
      </c>
      <c r="R12" s="21">
        <v>3</v>
      </c>
      <c r="S12" s="21">
        <v>2</v>
      </c>
      <c r="T12" s="22" t="s">
        <v>330</v>
      </c>
      <c r="U12" s="21">
        <v>0.8</v>
      </c>
      <c r="V12" s="21">
        <v>0.8</v>
      </c>
      <c r="W12" s="25">
        <f t="shared" si="1"/>
        <v>1140</v>
      </c>
      <c r="X12" s="25">
        <f t="shared" si="2"/>
        <v>432</v>
      </c>
      <c r="Y12" s="21">
        <v>1</v>
      </c>
      <c r="Z12" s="24">
        <f t="shared" si="3"/>
        <v>1140</v>
      </c>
      <c r="AA12" s="24">
        <f t="shared" si="4"/>
        <v>432</v>
      </c>
      <c r="AB12" s="21"/>
      <c r="AC12" s="21"/>
      <c r="AD12" s="21"/>
      <c r="AE12" s="21"/>
      <c r="AF12" s="21" t="s">
        <v>247</v>
      </c>
      <c r="AG12" s="21"/>
      <c r="AH12" s="24"/>
      <c r="AI12" s="24"/>
      <c r="AJ12" s="21">
        <v>432</v>
      </c>
      <c r="AK12" s="21">
        <v>100</v>
      </c>
      <c r="AL12" s="22" t="s">
        <v>161</v>
      </c>
      <c r="AM12" s="22">
        <v>0.11</v>
      </c>
      <c r="AN12" s="22" t="s">
        <v>1517</v>
      </c>
      <c r="AO12" s="22" t="s">
        <v>1517</v>
      </c>
      <c r="AP12" s="22" t="s">
        <v>1432</v>
      </c>
      <c r="AQ12" s="22" t="str">
        <f t="shared" si="5"/>
        <v>Microphytoplankton</v>
      </c>
      <c r="AR12" s="22">
        <v>0</v>
      </c>
      <c r="AS12" s="22">
        <v>0</v>
      </c>
      <c r="AT12" s="22">
        <v>0</v>
      </c>
      <c r="AU12" s="22">
        <v>1</v>
      </c>
      <c r="AV12" s="22">
        <v>1</v>
      </c>
      <c r="AW12" s="22">
        <v>0</v>
      </c>
      <c r="AX12" s="22">
        <v>1</v>
      </c>
      <c r="AY12" s="22">
        <v>0</v>
      </c>
      <c r="AZ12" s="22">
        <v>0</v>
      </c>
      <c r="BA12" s="22">
        <v>4</v>
      </c>
      <c r="BB12" s="22">
        <v>3</v>
      </c>
      <c r="BC12" s="22">
        <v>2</v>
      </c>
      <c r="BD12" s="22">
        <v>1</v>
      </c>
      <c r="BE12" s="22">
        <v>0</v>
      </c>
      <c r="BH12" s="22">
        <f t="shared" si="0"/>
        <v>0.37894736842105264</v>
      </c>
    </row>
    <row r="13" spans="1:60" s="22" customFormat="1" ht="13">
      <c r="A13" s="21" t="s">
        <v>2077</v>
      </c>
      <c r="B13" s="22" t="s">
        <v>663</v>
      </c>
      <c r="C13" s="23" t="s">
        <v>822</v>
      </c>
      <c r="D13" s="23" t="s">
        <v>965</v>
      </c>
      <c r="E13" s="22" t="s">
        <v>62</v>
      </c>
      <c r="F13" s="23" t="s">
        <v>1434</v>
      </c>
      <c r="G13" s="23" t="s">
        <v>1719</v>
      </c>
      <c r="H13" s="23" t="s">
        <v>1720</v>
      </c>
      <c r="I13" s="22" t="s">
        <v>43</v>
      </c>
      <c r="J13" s="21" t="s">
        <v>211</v>
      </c>
      <c r="K13" s="21"/>
      <c r="L13" s="21"/>
      <c r="M13" s="22" t="s">
        <v>1</v>
      </c>
      <c r="N13" s="22" t="s">
        <v>1935</v>
      </c>
      <c r="O13" s="22" t="s">
        <v>1430</v>
      </c>
      <c r="P13" s="21">
        <v>71900</v>
      </c>
      <c r="Q13" s="21">
        <v>49</v>
      </c>
      <c r="R13" s="21">
        <v>5</v>
      </c>
      <c r="S13" s="21">
        <v>4</v>
      </c>
      <c r="T13" s="22" t="s">
        <v>330</v>
      </c>
      <c r="U13" s="21">
        <v>0.8</v>
      </c>
      <c r="V13" s="21">
        <v>0.8</v>
      </c>
      <c r="W13" s="25">
        <f t="shared" si="1"/>
        <v>1152.5</v>
      </c>
      <c r="X13" s="25">
        <f t="shared" si="2"/>
        <v>784</v>
      </c>
      <c r="Y13" s="21">
        <v>1</v>
      </c>
      <c r="Z13" s="24">
        <f t="shared" si="3"/>
        <v>1152.5</v>
      </c>
      <c r="AA13" s="24">
        <f t="shared" si="4"/>
        <v>784</v>
      </c>
      <c r="AB13" s="21"/>
      <c r="AC13" s="21"/>
      <c r="AD13" s="21"/>
      <c r="AE13" s="21"/>
      <c r="AF13" s="21" t="s">
        <v>247</v>
      </c>
      <c r="AG13" s="21"/>
      <c r="AH13" s="24"/>
      <c r="AI13" s="24"/>
      <c r="AJ13" s="21">
        <v>784</v>
      </c>
      <c r="AK13" s="21">
        <v>49</v>
      </c>
      <c r="AL13" s="22" t="s">
        <v>161</v>
      </c>
      <c r="AM13" s="22">
        <v>0.11</v>
      </c>
      <c r="AN13" s="22" t="s">
        <v>1762</v>
      </c>
      <c r="AO13" s="22" t="s">
        <v>1447</v>
      </c>
      <c r="AP13" s="22" t="s">
        <v>1432</v>
      </c>
      <c r="AQ13" s="22" t="str">
        <f t="shared" si="5"/>
        <v>Microphytoplankton</v>
      </c>
      <c r="AR13" s="22">
        <v>1</v>
      </c>
      <c r="AS13" s="22">
        <v>0</v>
      </c>
      <c r="AT13" s="22">
        <v>1</v>
      </c>
      <c r="AU13" s="22">
        <v>0</v>
      </c>
      <c r="AV13" s="22">
        <v>0</v>
      </c>
      <c r="AW13" s="22">
        <v>0</v>
      </c>
      <c r="AX13" s="22">
        <v>1</v>
      </c>
      <c r="AY13" s="22">
        <v>0</v>
      </c>
      <c r="BH13" s="22">
        <f t="shared" si="0"/>
        <v>0.68026030368763557</v>
      </c>
    </row>
    <row r="14" spans="1:60" s="22" customFormat="1" ht="13">
      <c r="A14" s="22" t="s">
        <v>2078</v>
      </c>
      <c r="B14" s="22" t="s">
        <v>663</v>
      </c>
      <c r="C14" s="23" t="s">
        <v>822</v>
      </c>
      <c r="D14" s="23" t="s">
        <v>965</v>
      </c>
      <c r="E14" s="22" t="s">
        <v>62</v>
      </c>
      <c r="F14" s="23" t="s">
        <v>1434</v>
      </c>
      <c r="G14" s="23" t="s">
        <v>1719</v>
      </c>
      <c r="H14" s="23" t="s">
        <v>1720</v>
      </c>
      <c r="I14" s="22" t="s">
        <v>43</v>
      </c>
      <c r="J14" s="22" t="s">
        <v>2079</v>
      </c>
      <c r="M14" s="22" t="s">
        <v>1</v>
      </c>
      <c r="N14" s="22" t="s">
        <v>1935</v>
      </c>
      <c r="O14" s="22" t="s">
        <v>1430</v>
      </c>
      <c r="P14" s="21">
        <v>71902</v>
      </c>
      <c r="Q14" s="22">
        <v>50</v>
      </c>
      <c r="R14" s="22">
        <v>5</v>
      </c>
      <c r="S14" s="22">
        <v>2</v>
      </c>
      <c r="T14" s="22" t="s">
        <v>330</v>
      </c>
      <c r="U14" s="22">
        <v>0.7</v>
      </c>
      <c r="V14" s="21">
        <v>0.7</v>
      </c>
      <c r="W14" s="25">
        <f t="shared" si="1"/>
        <v>1028.5714285714287</v>
      </c>
      <c r="X14" s="25">
        <f t="shared" si="2"/>
        <v>350</v>
      </c>
      <c r="Y14" s="21">
        <v>1</v>
      </c>
      <c r="Z14" s="24">
        <f t="shared" si="3"/>
        <v>1028.5714285714287</v>
      </c>
      <c r="AA14" s="24">
        <f t="shared" si="4"/>
        <v>350</v>
      </c>
      <c r="AE14" s="21"/>
      <c r="AF14" s="21" t="s">
        <v>247</v>
      </c>
      <c r="AH14" s="25"/>
      <c r="AI14" s="25"/>
      <c r="AJ14" s="21">
        <v>784</v>
      </c>
      <c r="AK14" s="21">
        <v>50</v>
      </c>
      <c r="AL14" s="22" t="s">
        <v>161</v>
      </c>
      <c r="AM14" s="22">
        <v>0.11</v>
      </c>
      <c r="AN14" s="22" t="s">
        <v>1762</v>
      </c>
      <c r="AO14" s="22" t="s">
        <v>1447</v>
      </c>
      <c r="AP14" s="22" t="s">
        <v>1432</v>
      </c>
      <c r="AQ14" s="22" t="str">
        <f t="shared" si="5"/>
        <v>Microphytoplankton</v>
      </c>
      <c r="AR14" s="22">
        <v>1</v>
      </c>
      <c r="AS14" s="22">
        <v>0</v>
      </c>
      <c r="AT14" s="22">
        <v>1</v>
      </c>
      <c r="AU14" s="22">
        <v>0</v>
      </c>
      <c r="AV14" s="22">
        <v>0</v>
      </c>
      <c r="AW14" s="22">
        <v>0</v>
      </c>
      <c r="AX14" s="22">
        <v>1</v>
      </c>
      <c r="AY14" s="22">
        <v>0</v>
      </c>
    </row>
    <row r="15" spans="1:60" s="22" customFormat="1" ht="13">
      <c r="A15" s="22" t="s">
        <v>2220</v>
      </c>
      <c r="B15" s="22" t="s">
        <v>663</v>
      </c>
      <c r="C15" s="23" t="s">
        <v>822</v>
      </c>
      <c r="D15" s="23" t="s">
        <v>965</v>
      </c>
      <c r="E15" s="22" t="s">
        <v>62</v>
      </c>
      <c r="F15" s="23" t="s">
        <v>1499</v>
      </c>
      <c r="G15" s="23" t="s">
        <v>1500</v>
      </c>
      <c r="H15" s="23" t="s">
        <v>1501</v>
      </c>
      <c r="I15" s="23" t="s">
        <v>2216</v>
      </c>
      <c r="J15" s="22" t="s">
        <v>238</v>
      </c>
      <c r="K15" s="22" t="s">
        <v>175</v>
      </c>
      <c r="L15" s="22" t="s">
        <v>1519</v>
      </c>
      <c r="N15" s="22" t="s">
        <v>2221</v>
      </c>
      <c r="O15" s="22" t="s">
        <v>1430</v>
      </c>
      <c r="P15" s="22">
        <v>70992</v>
      </c>
      <c r="Q15" s="21">
        <v>200</v>
      </c>
      <c r="R15" s="21">
        <v>5</v>
      </c>
      <c r="S15" s="21">
        <v>4</v>
      </c>
      <c r="T15" s="22" t="s">
        <v>330</v>
      </c>
      <c r="U15" s="21">
        <v>0.6</v>
      </c>
      <c r="V15" s="21">
        <v>0.6</v>
      </c>
      <c r="W15" s="25">
        <f>(Q15*R15*2+Q15*S15*2+R15*S15*2)/V15</f>
        <v>6066.666666666667</v>
      </c>
      <c r="X15" s="25">
        <f>Q15*R15*S15*U15</f>
        <v>2400</v>
      </c>
      <c r="Y15" s="21">
        <v>1</v>
      </c>
      <c r="Z15" s="24">
        <f t="shared" si="3"/>
        <v>6066.666666666667</v>
      </c>
      <c r="AA15" s="24">
        <f t="shared" si="4"/>
        <v>2400</v>
      </c>
      <c r="AB15" s="21"/>
      <c r="AC15" s="21"/>
      <c r="AD15" s="21"/>
      <c r="AE15" s="21"/>
      <c r="AF15" s="21" t="s">
        <v>247</v>
      </c>
      <c r="AG15" s="21"/>
      <c r="AH15" s="24"/>
      <c r="AI15" s="24"/>
      <c r="AJ15" s="21">
        <v>2400</v>
      </c>
      <c r="AK15" s="21">
        <v>200</v>
      </c>
      <c r="AL15" s="22" t="s">
        <v>161</v>
      </c>
      <c r="AM15" s="22">
        <v>0.11</v>
      </c>
      <c r="AO15" s="22" t="s">
        <v>1762</v>
      </c>
      <c r="AP15" s="22" t="s">
        <v>1432</v>
      </c>
      <c r="AQ15" s="22" t="str">
        <f t="shared" si="5"/>
        <v>Microphytoplankton</v>
      </c>
      <c r="AR15" s="22">
        <v>0</v>
      </c>
      <c r="AS15" s="22">
        <v>0</v>
      </c>
      <c r="AT15" s="22">
        <v>0</v>
      </c>
      <c r="AU15" s="22">
        <v>0</v>
      </c>
      <c r="AV15" s="22">
        <v>0</v>
      </c>
      <c r="AW15" s="22">
        <v>0</v>
      </c>
      <c r="AX15" s="22">
        <v>1</v>
      </c>
      <c r="AY15" s="22">
        <v>0</v>
      </c>
      <c r="AZ15" s="22">
        <v>0</v>
      </c>
      <c r="BA15" s="22">
        <v>3</v>
      </c>
      <c r="BB15" s="22">
        <v>4</v>
      </c>
      <c r="BC15" s="22">
        <v>2</v>
      </c>
      <c r="BD15" s="22">
        <v>1</v>
      </c>
      <c r="BE15" s="22">
        <v>0</v>
      </c>
      <c r="BH15" s="22">
        <f t="shared" si="0"/>
        <v>0.39560439560439559</v>
      </c>
    </row>
    <row r="16" spans="1:60" s="22" customFormat="1" ht="13">
      <c r="A16" s="21" t="s">
        <v>2200</v>
      </c>
      <c r="B16" s="22" t="s">
        <v>663</v>
      </c>
      <c r="C16" s="23" t="s">
        <v>822</v>
      </c>
      <c r="D16" s="23" t="s">
        <v>965</v>
      </c>
      <c r="E16" s="22" t="s">
        <v>62</v>
      </c>
      <c r="F16" s="23" t="s">
        <v>1499</v>
      </c>
      <c r="G16" s="23" t="s">
        <v>2201</v>
      </c>
      <c r="H16" s="23" t="s">
        <v>2202</v>
      </c>
      <c r="I16" s="22" t="s">
        <v>2203</v>
      </c>
      <c r="J16" s="22" t="s">
        <v>2204</v>
      </c>
      <c r="N16" s="22" t="s">
        <v>2205</v>
      </c>
      <c r="O16" s="22" t="s">
        <v>1430</v>
      </c>
      <c r="P16" s="21">
        <v>72230</v>
      </c>
      <c r="Q16" s="21">
        <v>90</v>
      </c>
      <c r="R16" s="21">
        <v>7</v>
      </c>
      <c r="S16" s="21">
        <v>3.5</v>
      </c>
      <c r="T16" s="22" t="s">
        <v>330</v>
      </c>
      <c r="U16" s="21">
        <v>0.8</v>
      </c>
      <c r="V16" s="21">
        <v>0.8</v>
      </c>
      <c r="W16" s="25">
        <f>(Q16*R16*2+Q16*S16*2+R16*S16*2)/V16</f>
        <v>2423.75</v>
      </c>
      <c r="X16" s="25">
        <f>Q16*R16*S16*U16</f>
        <v>1764</v>
      </c>
      <c r="Y16" s="21">
        <v>1</v>
      </c>
      <c r="Z16" s="24">
        <f t="shared" si="3"/>
        <v>2423.75</v>
      </c>
      <c r="AA16" s="24">
        <f t="shared" si="4"/>
        <v>1764</v>
      </c>
      <c r="AB16" s="21"/>
      <c r="AC16" s="21"/>
      <c r="AD16" s="21"/>
      <c r="AE16" s="21"/>
      <c r="AF16" s="21" t="s">
        <v>247</v>
      </c>
      <c r="AG16" s="21"/>
      <c r="AH16" s="24"/>
      <c r="AI16" s="24"/>
      <c r="AJ16" s="21">
        <v>1323</v>
      </c>
      <c r="AK16" s="21">
        <v>90</v>
      </c>
      <c r="AL16" s="22" t="s">
        <v>161</v>
      </c>
      <c r="AM16" s="22">
        <v>0.11</v>
      </c>
      <c r="AN16" s="22" t="s">
        <v>2206</v>
      </c>
      <c r="AO16" s="22" t="s">
        <v>2206</v>
      </c>
      <c r="AP16" s="22" t="s">
        <v>1432</v>
      </c>
      <c r="AQ16" s="22" t="str">
        <f t="shared" si="5"/>
        <v>Microphytoplankton</v>
      </c>
      <c r="AR16" s="22">
        <v>0</v>
      </c>
      <c r="AS16" s="22">
        <v>0</v>
      </c>
      <c r="AT16" s="22">
        <v>0</v>
      </c>
      <c r="AU16" s="22">
        <v>1</v>
      </c>
      <c r="AV16" s="22">
        <v>0</v>
      </c>
      <c r="AW16" s="22">
        <v>0</v>
      </c>
      <c r="AX16" s="22">
        <v>1</v>
      </c>
      <c r="AY16" s="22">
        <v>0</v>
      </c>
      <c r="BH16" s="22">
        <f t="shared" si="0"/>
        <v>0.72779783393501807</v>
      </c>
    </row>
    <row r="17" spans="1:65" s="22" customFormat="1" ht="13">
      <c r="A17" s="21" t="s">
        <v>1732</v>
      </c>
      <c r="B17" s="22" t="s">
        <v>663</v>
      </c>
      <c r="C17" s="23" t="s">
        <v>822</v>
      </c>
      <c r="D17" s="23" t="s">
        <v>965</v>
      </c>
      <c r="E17" s="22" t="s">
        <v>62</v>
      </c>
      <c r="F17" s="23" t="s">
        <v>1499</v>
      </c>
      <c r="G17" s="23" t="s">
        <v>1500</v>
      </c>
      <c r="H17" s="23" t="s">
        <v>1501</v>
      </c>
      <c r="I17" s="22" t="s">
        <v>1723</v>
      </c>
      <c r="J17" s="22" t="s">
        <v>1733</v>
      </c>
      <c r="N17" s="22" t="s">
        <v>1734</v>
      </c>
      <c r="O17" s="22" t="s">
        <v>1430</v>
      </c>
      <c r="P17" s="21">
        <v>70420</v>
      </c>
      <c r="Q17" s="21">
        <v>45</v>
      </c>
      <c r="R17" s="21">
        <v>10</v>
      </c>
      <c r="S17" s="21">
        <v>10</v>
      </c>
      <c r="T17" s="22" t="s">
        <v>330</v>
      </c>
      <c r="U17" s="21">
        <v>0.8</v>
      </c>
      <c r="V17" s="21">
        <v>0.8</v>
      </c>
      <c r="W17" s="25">
        <f>(Q17*R17*2+Q17*S17*2+R17*S17*2)/V17</f>
        <v>2500</v>
      </c>
      <c r="X17" s="25">
        <f>Q17*R17*S17*U17</f>
        <v>3600</v>
      </c>
      <c r="Y17" s="21">
        <v>1</v>
      </c>
      <c r="Z17" s="24">
        <f t="shared" si="3"/>
        <v>2500</v>
      </c>
      <c r="AA17" s="24">
        <f t="shared" si="4"/>
        <v>3600</v>
      </c>
      <c r="AB17" s="21"/>
      <c r="AC17" s="21"/>
      <c r="AD17" s="21"/>
      <c r="AE17" s="21"/>
      <c r="AF17" s="21" t="s">
        <v>247</v>
      </c>
      <c r="AG17" s="21"/>
      <c r="AH17" s="24"/>
      <c r="AI17" s="24"/>
      <c r="AJ17" s="21">
        <v>3600</v>
      </c>
      <c r="AK17" s="21">
        <v>100</v>
      </c>
      <c r="AL17" s="22" t="s">
        <v>161</v>
      </c>
      <c r="AM17" s="22">
        <v>0.11</v>
      </c>
      <c r="AO17" s="22" t="s">
        <v>383</v>
      </c>
      <c r="AP17" s="22" t="s">
        <v>1432</v>
      </c>
      <c r="AQ17" s="22" t="str">
        <f t="shared" si="5"/>
        <v>Microphytoplankton</v>
      </c>
      <c r="AR17" s="22">
        <v>0</v>
      </c>
      <c r="AS17" s="22">
        <v>0</v>
      </c>
      <c r="AT17" s="22">
        <v>0</v>
      </c>
      <c r="AU17" s="22">
        <v>1</v>
      </c>
      <c r="AV17" s="22">
        <v>0</v>
      </c>
      <c r="AW17" s="22">
        <v>0</v>
      </c>
      <c r="AX17" s="22">
        <v>1</v>
      </c>
      <c r="AY17" s="22">
        <v>0</v>
      </c>
      <c r="BH17" s="22">
        <f t="shared" si="0"/>
        <v>1.44</v>
      </c>
    </row>
    <row r="18" spans="1:65" s="22" customFormat="1" ht="13">
      <c r="A18" s="21" t="s">
        <v>737</v>
      </c>
      <c r="B18" s="22" t="s">
        <v>663</v>
      </c>
      <c r="C18" s="22" t="s">
        <v>664</v>
      </c>
      <c r="D18" s="22" t="s">
        <v>665</v>
      </c>
      <c r="E18" s="22" t="s">
        <v>666</v>
      </c>
      <c r="F18" s="22" t="s">
        <v>667</v>
      </c>
      <c r="G18" s="22" t="s">
        <v>668</v>
      </c>
      <c r="H18" s="22" t="s">
        <v>669</v>
      </c>
      <c r="I18" s="22" t="s">
        <v>702</v>
      </c>
      <c r="J18" s="22" t="s">
        <v>211</v>
      </c>
      <c r="M18" s="22" t="s">
        <v>1</v>
      </c>
      <c r="N18" s="22" t="s">
        <v>738</v>
      </c>
      <c r="O18" s="21" t="s">
        <v>672</v>
      </c>
      <c r="P18" s="21">
        <v>20100</v>
      </c>
      <c r="Q18" s="21">
        <v>20</v>
      </c>
      <c r="R18" s="21">
        <v>10</v>
      </c>
      <c r="S18" s="21">
        <v>7</v>
      </c>
      <c r="T18" s="21" t="s">
        <v>281</v>
      </c>
      <c r="U18" s="21">
        <v>0.9</v>
      </c>
      <c r="V18" s="21">
        <v>0.9</v>
      </c>
      <c r="W18" s="24">
        <f t="shared" ref="W18:W24" si="6">(4*3.14*(((Q18^1.6*R18^1.6+Q18^1.6*S18^1.6+R18^1.6+S18^1.6)/3)^(1/1.6)))*(1/V18)</f>
        <v>1868.1517109631138</v>
      </c>
      <c r="X18" s="24">
        <f t="shared" ref="X18:X24" si="7">3.14/6*Q18*R18*S18*U18</f>
        <v>659.40000000000009</v>
      </c>
      <c r="Y18" s="21">
        <v>1</v>
      </c>
      <c r="Z18" s="24">
        <f t="shared" si="3"/>
        <v>1868.1517109631138</v>
      </c>
      <c r="AA18" s="24">
        <f t="shared" si="4"/>
        <v>659.40000000000009</v>
      </c>
      <c r="AB18" s="21"/>
      <c r="AC18" s="21"/>
      <c r="AD18" s="21"/>
      <c r="AE18" s="21"/>
      <c r="AF18" s="21" t="s">
        <v>247</v>
      </c>
      <c r="AG18" s="21"/>
      <c r="AH18" s="24"/>
      <c r="AI18" s="24"/>
      <c r="AJ18" s="21">
        <v>989.6</v>
      </c>
      <c r="AK18" s="21">
        <v>20</v>
      </c>
      <c r="AL18" s="22" t="s">
        <v>161</v>
      </c>
      <c r="AM18" s="22">
        <v>0.13</v>
      </c>
      <c r="AO18" s="22" t="s">
        <v>713</v>
      </c>
      <c r="AP18" s="22" t="s">
        <v>673</v>
      </c>
      <c r="AQ18" s="22" t="str">
        <f t="shared" si="5"/>
        <v>Microphytoplankton</v>
      </c>
      <c r="AR18" s="22">
        <v>1</v>
      </c>
      <c r="AS18" s="22">
        <v>1</v>
      </c>
      <c r="AT18" s="22">
        <v>0</v>
      </c>
      <c r="AU18" s="22">
        <v>0</v>
      </c>
      <c r="AV18" s="22">
        <v>0</v>
      </c>
      <c r="AW18" s="22">
        <v>0</v>
      </c>
      <c r="AX18" s="22">
        <v>1</v>
      </c>
      <c r="AY18" s="22">
        <v>0</v>
      </c>
      <c r="AZ18" s="22">
        <v>0</v>
      </c>
      <c r="BA18" s="22">
        <v>4</v>
      </c>
      <c r="BB18" s="22">
        <v>3</v>
      </c>
      <c r="BC18" s="22">
        <v>2</v>
      </c>
      <c r="BD18" s="22">
        <v>1</v>
      </c>
      <c r="BE18" s="22">
        <v>0</v>
      </c>
      <c r="BH18" s="22">
        <f t="shared" si="0"/>
        <v>0.35296919202565757</v>
      </c>
    </row>
    <row r="19" spans="1:65" s="22" customFormat="1" ht="13">
      <c r="A19" s="21" t="s">
        <v>739</v>
      </c>
      <c r="B19" s="22" t="s">
        <v>663</v>
      </c>
      <c r="C19" s="22" t="s">
        <v>664</v>
      </c>
      <c r="D19" s="22" t="s">
        <v>665</v>
      </c>
      <c r="E19" s="22" t="s">
        <v>666</v>
      </c>
      <c r="F19" s="22" t="s">
        <v>667</v>
      </c>
      <c r="G19" s="22" t="s">
        <v>668</v>
      </c>
      <c r="H19" s="22" t="s">
        <v>669</v>
      </c>
      <c r="I19" s="22" t="s">
        <v>702</v>
      </c>
      <c r="J19" s="22" t="s">
        <v>478</v>
      </c>
      <c r="M19" s="22" t="s">
        <v>1</v>
      </c>
      <c r="N19" s="22" t="s">
        <v>740</v>
      </c>
      <c r="O19" s="21" t="s">
        <v>672</v>
      </c>
      <c r="P19" s="21">
        <v>20140</v>
      </c>
      <c r="Q19" s="21">
        <v>9</v>
      </c>
      <c r="R19" s="21">
        <v>9</v>
      </c>
      <c r="S19" s="21">
        <v>7</v>
      </c>
      <c r="T19" s="21" t="s">
        <v>281</v>
      </c>
      <c r="U19" s="21">
        <v>1</v>
      </c>
      <c r="V19" s="22">
        <v>1</v>
      </c>
      <c r="W19" s="24">
        <f t="shared" si="6"/>
        <v>718.20289182050567</v>
      </c>
      <c r="X19" s="24">
        <f t="shared" si="7"/>
        <v>296.73</v>
      </c>
      <c r="Y19" s="21">
        <v>1</v>
      </c>
      <c r="Z19" s="24">
        <f t="shared" si="3"/>
        <v>718.20289182050567</v>
      </c>
      <c r="AA19" s="24">
        <f t="shared" si="4"/>
        <v>296.73</v>
      </c>
      <c r="AB19" s="21"/>
      <c r="AC19" s="21"/>
      <c r="AD19" s="21"/>
      <c r="AE19" s="21"/>
      <c r="AF19" s="21" t="s">
        <v>247</v>
      </c>
      <c r="AG19" s="21"/>
      <c r="AH19" s="24"/>
      <c r="AI19" s="24"/>
      <c r="AJ19" s="21">
        <v>296.89999999999998</v>
      </c>
      <c r="AK19" s="21">
        <v>9</v>
      </c>
      <c r="AL19" s="22" t="s">
        <v>161</v>
      </c>
      <c r="AM19" s="22">
        <v>0.13</v>
      </c>
      <c r="AO19" s="22" t="s">
        <v>713</v>
      </c>
      <c r="AP19" s="22" t="s">
        <v>673</v>
      </c>
      <c r="AQ19" s="22" t="str">
        <f t="shared" si="5"/>
        <v>Nanophytoplankton</v>
      </c>
      <c r="AR19" s="22">
        <v>1</v>
      </c>
      <c r="AS19" s="22">
        <v>1</v>
      </c>
      <c r="AT19" s="22">
        <v>0</v>
      </c>
      <c r="AU19" s="22">
        <v>0</v>
      </c>
      <c r="AV19" s="22">
        <v>0</v>
      </c>
      <c r="AW19" s="22">
        <v>0</v>
      </c>
      <c r="AX19" s="22">
        <v>1</v>
      </c>
      <c r="AY19" s="22">
        <v>0</v>
      </c>
      <c r="AZ19" s="22">
        <v>0</v>
      </c>
      <c r="BA19" s="22">
        <v>4</v>
      </c>
      <c r="BB19" s="22">
        <v>3</v>
      </c>
      <c r="BC19" s="22">
        <v>2</v>
      </c>
      <c r="BD19" s="22">
        <v>1</v>
      </c>
      <c r="BE19" s="22">
        <v>0</v>
      </c>
      <c r="BH19" s="22">
        <f t="shared" si="0"/>
        <v>0.41315623117006223</v>
      </c>
    </row>
    <row r="20" spans="1:65" s="22" customFormat="1" ht="13">
      <c r="A20" s="21" t="s">
        <v>741</v>
      </c>
      <c r="B20" s="22" t="s">
        <v>663</v>
      </c>
      <c r="C20" s="22" t="s">
        <v>664</v>
      </c>
      <c r="D20" s="22" t="s">
        <v>665</v>
      </c>
      <c r="E20" s="22" t="s">
        <v>666</v>
      </c>
      <c r="F20" s="22" t="s">
        <v>667</v>
      </c>
      <c r="G20" s="22" t="s">
        <v>668</v>
      </c>
      <c r="H20" s="22" t="s">
        <v>669</v>
      </c>
      <c r="I20" s="22" t="s">
        <v>702</v>
      </c>
      <c r="J20" s="22" t="s">
        <v>742</v>
      </c>
      <c r="M20" s="22" t="s">
        <v>1</v>
      </c>
      <c r="N20" s="22" t="s">
        <v>740</v>
      </c>
      <c r="O20" s="21" t="s">
        <v>672</v>
      </c>
      <c r="P20" s="21">
        <v>20150</v>
      </c>
      <c r="Q20" s="21">
        <v>12</v>
      </c>
      <c r="R20" s="21">
        <v>7</v>
      </c>
      <c r="S20" s="21">
        <v>5.5</v>
      </c>
      <c r="T20" s="21" t="s">
        <v>281</v>
      </c>
      <c r="U20" s="21">
        <v>1</v>
      </c>
      <c r="V20" s="22">
        <v>1</v>
      </c>
      <c r="W20" s="24">
        <f t="shared" si="6"/>
        <v>742.8662657197242</v>
      </c>
      <c r="X20" s="24">
        <f t="shared" si="7"/>
        <v>241.77999999999997</v>
      </c>
      <c r="Y20" s="21">
        <v>1</v>
      </c>
      <c r="Z20" s="24">
        <f t="shared" si="3"/>
        <v>742.8662657197242</v>
      </c>
      <c r="AA20" s="24">
        <f t="shared" si="4"/>
        <v>241.77999999999997</v>
      </c>
      <c r="AB20" s="21"/>
      <c r="AC20" s="21"/>
      <c r="AD20" s="21"/>
      <c r="AE20" s="21"/>
      <c r="AF20" s="21" t="s">
        <v>247</v>
      </c>
      <c r="AG20" s="21"/>
      <c r="AH20" s="24"/>
      <c r="AI20" s="24"/>
      <c r="AJ20" s="21">
        <v>241.9</v>
      </c>
      <c r="AK20" s="21">
        <v>12</v>
      </c>
      <c r="AL20" s="22" t="s">
        <v>161</v>
      </c>
      <c r="AM20" s="22">
        <v>0.13</v>
      </c>
      <c r="AO20" s="22" t="s">
        <v>713</v>
      </c>
      <c r="AP20" s="22" t="s">
        <v>673</v>
      </c>
      <c r="AQ20" s="22" t="str">
        <f t="shared" si="5"/>
        <v>Nanophytoplankton</v>
      </c>
      <c r="AR20" s="22">
        <v>1</v>
      </c>
      <c r="AS20" s="22">
        <v>1</v>
      </c>
      <c r="AT20" s="22">
        <v>0</v>
      </c>
      <c r="AU20" s="22">
        <v>0</v>
      </c>
      <c r="AV20" s="22">
        <v>0</v>
      </c>
      <c r="AW20" s="22">
        <v>0</v>
      </c>
      <c r="AX20" s="22">
        <v>1</v>
      </c>
      <c r="AY20" s="22">
        <v>0</v>
      </c>
      <c r="BH20" s="22">
        <f t="shared" si="0"/>
        <v>0.32546907991003199</v>
      </c>
    </row>
    <row r="21" spans="1:65" s="22" customFormat="1" ht="13">
      <c r="A21" s="21" t="s">
        <v>707</v>
      </c>
      <c r="B21" s="22" t="s">
        <v>663</v>
      </c>
      <c r="C21" s="22" t="s">
        <v>664</v>
      </c>
      <c r="D21" s="22" t="s">
        <v>665</v>
      </c>
      <c r="E21" s="22" t="s">
        <v>666</v>
      </c>
      <c r="F21" s="22" t="s">
        <v>667</v>
      </c>
      <c r="G21" s="22" t="s">
        <v>668</v>
      </c>
      <c r="H21" s="22" t="s">
        <v>669</v>
      </c>
      <c r="I21" s="22" t="s">
        <v>702</v>
      </c>
      <c r="J21" s="22" t="s">
        <v>708</v>
      </c>
      <c r="N21" s="22" t="s">
        <v>709</v>
      </c>
      <c r="O21" s="21" t="s">
        <v>672</v>
      </c>
      <c r="P21" s="21">
        <v>20120</v>
      </c>
      <c r="Q21" s="21">
        <v>35</v>
      </c>
      <c r="R21" s="21">
        <v>25</v>
      </c>
      <c r="S21" s="21">
        <v>17</v>
      </c>
      <c r="T21" s="21" t="s">
        <v>281</v>
      </c>
      <c r="U21" s="21">
        <v>0.8</v>
      </c>
      <c r="V21" s="21">
        <v>0.8</v>
      </c>
      <c r="W21" s="24">
        <f t="shared" si="6"/>
        <v>9072.7999721319411</v>
      </c>
      <c r="X21" s="24">
        <f t="shared" si="7"/>
        <v>6227.6666666666679</v>
      </c>
      <c r="Y21" s="21">
        <v>1</v>
      </c>
      <c r="Z21" s="24">
        <f t="shared" si="3"/>
        <v>9072.7999721319411</v>
      </c>
      <c r="AA21" s="24">
        <f t="shared" si="4"/>
        <v>6227.6666666666679</v>
      </c>
      <c r="AB21" s="21"/>
      <c r="AC21" s="21"/>
      <c r="AD21" s="21"/>
      <c r="AE21" s="21"/>
      <c r="AF21" s="21" t="s">
        <v>247</v>
      </c>
      <c r="AG21" s="21"/>
      <c r="AH21" s="24"/>
      <c r="AI21" s="24"/>
      <c r="AJ21" s="21">
        <v>6230.8</v>
      </c>
      <c r="AK21" s="21">
        <v>35</v>
      </c>
      <c r="AL21" s="22" t="s">
        <v>161</v>
      </c>
      <c r="AM21" s="22">
        <v>0.13</v>
      </c>
      <c r="AO21" s="22" t="s">
        <v>331</v>
      </c>
      <c r="AP21" s="22" t="s">
        <v>673</v>
      </c>
      <c r="AQ21" s="22" t="str">
        <f t="shared" si="5"/>
        <v>Microphytoplankton</v>
      </c>
      <c r="AR21" s="22">
        <v>1</v>
      </c>
      <c r="AS21" s="22">
        <v>1</v>
      </c>
      <c r="AT21" s="22">
        <v>0</v>
      </c>
      <c r="AU21" s="22">
        <v>0</v>
      </c>
      <c r="AV21" s="22">
        <v>0</v>
      </c>
      <c r="AW21" s="22">
        <v>0</v>
      </c>
      <c r="AX21" s="22">
        <v>1</v>
      </c>
      <c r="AY21" s="22">
        <v>0</v>
      </c>
      <c r="BH21" s="22">
        <f t="shared" si="0"/>
        <v>0.68641066548315854</v>
      </c>
    </row>
    <row r="22" spans="1:65" s="22" customFormat="1" ht="13">
      <c r="A22" s="22" t="s">
        <v>801</v>
      </c>
      <c r="B22" s="22" t="s">
        <v>663</v>
      </c>
      <c r="C22" s="22" t="s">
        <v>664</v>
      </c>
      <c r="D22" s="22" t="s">
        <v>665</v>
      </c>
      <c r="E22" s="22" t="s">
        <v>666</v>
      </c>
      <c r="F22" s="22" t="s">
        <v>667</v>
      </c>
      <c r="G22" s="22" t="s">
        <v>675</v>
      </c>
      <c r="H22" s="22" t="s">
        <v>692</v>
      </c>
      <c r="I22" s="22" t="s">
        <v>56</v>
      </c>
      <c r="J22" s="22" t="s">
        <v>211</v>
      </c>
      <c r="M22" s="22" t="s">
        <v>1</v>
      </c>
      <c r="N22" s="22" t="s">
        <v>694</v>
      </c>
      <c r="O22" s="21" t="s">
        <v>672</v>
      </c>
      <c r="P22" s="21">
        <v>20271</v>
      </c>
      <c r="Q22" s="22">
        <v>27</v>
      </c>
      <c r="R22" s="22">
        <v>25.5</v>
      </c>
      <c r="S22" s="22">
        <v>22</v>
      </c>
      <c r="T22" s="21" t="s">
        <v>281</v>
      </c>
      <c r="U22" s="21">
        <v>1</v>
      </c>
      <c r="V22" s="22">
        <v>1</v>
      </c>
      <c r="W22" s="24">
        <f t="shared" si="6"/>
        <v>6281.3727293921538</v>
      </c>
      <c r="X22" s="24">
        <f t="shared" si="7"/>
        <v>7926.93</v>
      </c>
      <c r="Y22" s="21">
        <v>1</v>
      </c>
      <c r="Z22" s="24">
        <f t="shared" si="3"/>
        <v>6281.3727293921538</v>
      </c>
      <c r="AA22" s="24">
        <f t="shared" si="4"/>
        <v>7926.93</v>
      </c>
      <c r="AE22" s="21"/>
      <c r="AF22" s="21" t="s">
        <v>247</v>
      </c>
      <c r="AG22" s="21"/>
      <c r="AH22" s="24"/>
      <c r="AI22" s="24"/>
      <c r="AJ22" s="21">
        <v>9188.0325000000012</v>
      </c>
      <c r="AK22" s="21">
        <v>27</v>
      </c>
      <c r="AL22" s="22" t="s">
        <v>161</v>
      </c>
      <c r="AM22" s="22">
        <v>0.13</v>
      </c>
      <c r="AN22" s="22" t="s">
        <v>331</v>
      </c>
      <c r="AO22" s="22" t="s">
        <v>331</v>
      </c>
      <c r="AP22" s="22" t="s">
        <v>673</v>
      </c>
      <c r="AQ22" s="22" t="str">
        <f t="shared" si="5"/>
        <v>Microphytoplankton</v>
      </c>
      <c r="AR22" s="22">
        <v>1</v>
      </c>
      <c r="AS22" s="22">
        <v>1</v>
      </c>
      <c r="AT22" s="22">
        <v>0</v>
      </c>
      <c r="AU22" s="22">
        <v>0</v>
      </c>
      <c r="AV22" s="22">
        <v>0</v>
      </c>
      <c r="AW22" s="22">
        <v>0</v>
      </c>
      <c r="AX22" s="22">
        <v>1</v>
      </c>
      <c r="AY22" s="22">
        <v>0</v>
      </c>
      <c r="BH22" s="22">
        <f t="shared" si="0"/>
        <v>1.2619741482475417</v>
      </c>
    </row>
    <row r="23" spans="1:65" s="22" customFormat="1" ht="13">
      <c r="A23" s="21" t="s">
        <v>802</v>
      </c>
      <c r="B23" s="22" t="s">
        <v>663</v>
      </c>
      <c r="C23" s="22" t="s">
        <v>664</v>
      </c>
      <c r="D23" s="22" t="s">
        <v>665</v>
      </c>
      <c r="E23" s="22" t="s">
        <v>666</v>
      </c>
      <c r="F23" s="22" t="s">
        <v>667</v>
      </c>
      <c r="G23" s="22" t="s">
        <v>675</v>
      </c>
      <c r="H23" s="22" t="s">
        <v>692</v>
      </c>
      <c r="I23" s="22" t="s">
        <v>56</v>
      </c>
      <c r="J23" s="21" t="s">
        <v>211</v>
      </c>
      <c r="K23" s="21" t="s">
        <v>184</v>
      </c>
      <c r="L23" s="21" t="s">
        <v>803</v>
      </c>
      <c r="M23" s="22" t="s">
        <v>1</v>
      </c>
      <c r="N23" s="22" t="s">
        <v>694</v>
      </c>
      <c r="O23" s="21" t="s">
        <v>672</v>
      </c>
      <c r="P23" s="22">
        <v>20270</v>
      </c>
      <c r="Q23" s="21">
        <v>12</v>
      </c>
      <c r="R23" s="21">
        <v>10</v>
      </c>
      <c r="S23" s="21">
        <v>6</v>
      </c>
      <c r="T23" s="21" t="s">
        <v>281</v>
      </c>
      <c r="U23" s="21">
        <v>1</v>
      </c>
      <c r="V23" s="22">
        <v>1</v>
      </c>
      <c r="W23" s="24">
        <f t="shared" si="6"/>
        <v>964.486998531513</v>
      </c>
      <c r="X23" s="24">
        <f t="shared" si="7"/>
        <v>376.79999999999995</v>
      </c>
      <c r="Y23" s="21">
        <v>1</v>
      </c>
      <c r="Z23" s="24">
        <f t="shared" si="3"/>
        <v>964.486998531513</v>
      </c>
      <c r="AA23" s="24">
        <f t="shared" si="4"/>
        <v>376.79999999999995</v>
      </c>
      <c r="AB23" s="21"/>
      <c r="AC23" s="21"/>
      <c r="AD23" s="21"/>
      <c r="AE23" s="21"/>
      <c r="AF23" s="21" t="s">
        <v>247</v>
      </c>
      <c r="AG23" s="21"/>
      <c r="AH23" s="24"/>
      <c r="AI23" s="24"/>
      <c r="AJ23" s="21">
        <v>377</v>
      </c>
      <c r="AK23" s="21">
        <v>12</v>
      </c>
      <c r="AL23" s="22" t="s">
        <v>161</v>
      </c>
      <c r="AM23" s="22">
        <v>0.13</v>
      </c>
      <c r="AN23" s="22" t="s">
        <v>331</v>
      </c>
      <c r="AO23" s="22" t="s">
        <v>331</v>
      </c>
      <c r="AP23" s="22" t="s">
        <v>673</v>
      </c>
      <c r="AQ23" s="22" t="str">
        <f t="shared" si="5"/>
        <v>Nanophytoplankton</v>
      </c>
      <c r="AR23" s="22">
        <v>1</v>
      </c>
      <c r="AS23" s="22">
        <v>1</v>
      </c>
      <c r="AT23" s="22">
        <v>0</v>
      </c>
      <c r="AU23" s="22">
        <v>0</v>
      </c>
      <c r="AV23" s="22">
        <v>0</v>
      </c>
      <c r="AW23" s="22">
        <v>0</v>
      </c>
      <c r="AX23" s="22">
        <v>1</v>
      </c>
      <c r="AY23" s="22">
        <v>0</v>
      </c>
      <c r="BH23" s="22">
        <f t="shared" si="0"/>
        <v>0.39067400656898399</v>
      </c>
    </row>
    <row r="24" spans="1:65" s="22" customFormat="1" ht="13">
      <c r="A24" s="21" t="s">
        <v>854</v>
      </c>
      <c r="B24" s="22" t="s">
        <v>663</v>
      </c>
      <c r="C24" s="23" t="s">
        <v>822</v>
      </c>
      <c r="D24" s="23" t="s">
        <v>823</v>
      </c>
      <c r="E24" s="23" t="s">
        <v>64</v>
      </c>
      <c r="F24" s="23" t="s">
        <v>824</v>
      </c>
      <c r="G24" s="22" t="s">
        <v>835</v>
      </c>
      <c r="H24" s="23" t="s">
        <v>836</v>
      </c>
      <c r="I24" s="22" t="s">
        <v>57</v>
      </c>
      <c r="J24" s="22" t="s">
        <v>211</v>
      </c>
      <c r="M24" s="22" t="s">
        <v>1</v>
      </c>
      <c r="N24" s="22" t="s">
        <v>694</v>
      </c>
      <c r="O24" s="21" t="s">
        <v>829</v>
      </c>
      <c r="P24" s="21">
        <v>30100</v>
      </c>
      <c r="Q24" s="22">
        <v>22</v>
      </c>
      <c r="R24" s="22">
        <v>11</v>
      </c>
      <c r="S24" s="22">
        <v>9</v>
      </c>
      <c r="T24" s="22" t="s">
        <v>281</v>
      </c>
      <c r="U24" s="21">
        <v>1</v>
      </c>
      <c r="V24" s="22">
        <v>1</v>
      </c>
      <c r="W24" s="24">
        <f t="shared" si="6"/>
        <v>2160.6272333322695</v>
      </c>
      <c r="X24" s="24">
        <f t="shared" si="7"/>
        <v>1139.8200000000002</v>
      </c>
      <c r="Y24" s="21">
        <v>1</v>
      </c>
      <c r="Z24" s="24">
        <f t="shared" si="3"/>
        <v>2160.6272333322695</v>
      </c>
      <c r="AA24" s="24">
        <f t="shared" si="4"/>
        <v>1139.8200000000002</v>
      </c>
      <c r="AB24" s="21"/>
      <c r="AC24" s="21"/>
      <c r="AD24" s="21"/>
      <c r="AE24" s="21"/>
      <c r="AF24" s="21" t="s">
        <v>247</v>
      </c>
      <c r="AG24" s="21"/>
      <c r="AH24" s="24"/>
      <c r="AI24" s="24"/>
      <c r="AJ24" s="21">
        <v>1368.5</v>
      </c>
      <c r="AK24" s="21">
        <v>22</v>
      </c>
      <c r="AL24" s="22" t="s">
        <v>161</v>
      </c>
      <c r="AM24" s="22">
        <v>0.11</v>
      </c>
      <c r="AN24" s="22" t="s">
        <v>713</v>
      </c>
      <c r="AO24" s="22" t="s">
        <v>713</v>
      </c>
      <c r="AP24" s="22" t="s">
        <v>673</v>
      </c>
      <c r="AQ24" s="22" t="str">
        <f t="shared" si="5"/>
        <v>Microphytoplankton</v>
      </c>
      <c r="AR24" s="22">
        <v>1</v>
      </c>
      <c r="AS24" s="22">
        <v>1</v>
      </c>
      <c r="AT24" s="22">
        <v>0</v>
      </c>
      <c r="AU24" s="22">
        <v>0</v>
      </c>
      <c r="AV24" s="22">
        <v>0</v>
      </c>
      <c r="AW24" s="22">
        <v>0</v>
      </c>
      <c r="AX24" s="22">
        <v>1</v>
      </c>
      <c r="AY24" s="22">
        <v>0</v>
      </c>
      <c r="BH24" s="22">
        <f t="shared" si="0"/>
        <v>0.52754125395433926</v>
      </c>
    </row>
    <row r="25" spans="1:65">
      <c r="BH25" s="22"/>
    </row>
    <row r="26" spans="1:65" s="22" customFormat="1" ht="13">
      <c r="A26" s="21" t="s">
        <v>2826</v>
      </c>
      <c r="B26" s="22" t="s">
        <v>663</v>
      </c>
      <c r="C26" s="22" t="s">
        <v>2223</v>
      </c>
      <c r="D26" s="22" t="s">
        <v>2224</v>
      </c>
      <c r="E26" s="23" t="s">
        <v>63</v>
      </c>
      <c r="F26" s="23" t="s">
        <v>2225</v>
      </c>
      <c r="G26" s="23" t="s">
        <v>2284</v>
      </c>
      <c r="H26" s="23" t="s">
        <v>2407</v>
      </c>
      <c r="I26" s="22" t="s">
        <v>2823</v>
      </c>
      <c r="J26" s="38" t="s">
        <v>2827</v>
      </c>
      <c r="K26" s="38"/>
      <c r="L26" s="38"/>
      <c r="N26" s="22" t="s">
        <v>2828</v>
      </c>
      <c r="O26" s="22" t="s">
        <v>2229</v>
      </c>
      <c r="P26" s="21">
        <v>80311</v>
      </c>
      <c r="Q26" s="21">
        <v>17</v>
      </c>
      <c r="R26" s="21">
        <v>17</v>
      </c>
      <c r="S26" s="21">
        <v>7</v>
      </c>
      <c r="T26" s="22" t="s">
        <v>159</v>
      </c>
      <c r="U26" s="21">
        <v>1</v>
      </c>
      <c r="V26" s="21">
        <v>1</v>
      </c>
      <c r="W26" s="24">
        <f>(4*3.14*(((Q26^1.6*R26^1.6+Q26^1.6*S26^1.6+R26^1.6+S26^1.6)/3)^(1/1.6)))*(1/V26)</f>
        <v>2105.5634307927198</v>
      </c>
      <c r="X26" s="24">
        <f>3.14/6*Q26*R26*S26*U26</f>
        <v>1058.7033333333334</v>
      </c>
      <c r="Y26" s="21">
        <v>1</v>
      </c>
      <c r="Z26" s="24">
        <f>Y26*W26</f>
        <v>2105.5634307927198</v>
      </c>
      <c r="AA26" s="24">
        <f>Y26*X26</f>
        <v>1058.7033333333334</v>
      </c>
      <c r="AB26" s="21"/>
      <c r="AC26" s="21"/>
      <c r="AD26" s="21"/>
      <c r="AE26" s="21"/>
      <c r="AF26" s="21"/>
      <c r="AG26" s="21"/>
      <c r="AH26" s="24"/>
      <c r="AI26" s="24"/>
      <c r="AJ26" s="21">
        <v>1058.7033333333334</v>
      </c>
      <c r="AK26" s="21">
        <v>17</v>
      </c>
      <c r="AL26" s="22" t="s">
        <v>161</v>
      </c>
      <c r="AM26" s="22">
        <v>0.16</v>
      </c>
      <c r="AN26" s="38"/>
      <c r="AO26" s="22" t="s">
        <v>2825</v>
      </c>
      <c r="AP26" s="22" t="s">
        <v>673</v>
      </c>
      <c r="AQ26" s="22" t="str">
        <f>IF(AND($AK26&lt;20,AJ26&lt;10000),"Nanophytoplankton","Microphytoplankton")</f>
        <v>Nanophytoplankton</v>
      </c>
      <c r="AR26" s="22">
        <v>1</v>
      </c>
      <c r="AS26" s="22">
        <v>1</v>
      </c>
      <c r="AT26" s="22">
        <v>0</v>
      </c>
      <c r="AU26" s="38">
        <v>0</v>
      </c>
      <c r="AV26" s="38">
        <v>0</v>
      </c>
      <c r="AW26" s="22">
        <v>0</v>
      </c>
      <c r="AX26" s="22">
        <v>0</v>
      </c>
      <c r="AY26" s="22">
        <v>1</v>
      </c>
      <c r="BH26" s="22">
        <f t="shared" si="0"/>
        <v>0.50281236739315138</v>
      </c>
    </row>
    <row r="27" spans="1:65" s="22" customFormat="1" ht="13">
      <c r="A27" s="21" t="s">
        <v>2265</v>
      </c>
      <c r="B27" s="22" t="s">
        <v>663</v>
      </c>
      <c r="C27" s="22" t="s">
        <v>2223</v>
      </c>
      <c r="D27" s="22" t="s">
        <v>2224</v>
      </c>
      <c r="E27" s="23" t="s">
        <v>63</v>
      </c>
      <c r="F27" s="23" t="s">
        <v>2225</v>
      </c>
      <c r="G27" s="23" t="s">
        <v>2226</v>
      </c>
      <c r="H27" s="22" t="s">
        <v>2253</v>
      </c>
      <c r="I27" s="22" t="s">
        <v>2254</v>
      </c>
      <c r="J27" s="22" t="s">
        <v>211</v>
      </c>
      <c r="M27" s="22" t="s">
        <v>1</v>
      </c>
      <c r="N27" s="22" t="s">
        <v>2260</v>
      </c>
      <c r="O27" s="22" t="s">
        <v>2229</v>
      </c>
      <c r="P27" s="21">
        <v>81600</v>
      </c>
      <c r="Q27" s="21">
        <v>50</v>
      </c>
      <c r="R27" s="21">
        <v>4</v>
      </c>
      <c r="S27" s="21">
        <v>4</v>
      </c>
      <c r="T27" s="21" t="s">
        <v>281</v>
      </c>
      <c r="U27" s="21">
        <v>0.8</v>
      </c>
      <c r="V27" s="21">
        <v>0.8</v>
      </c>
      <c r="W27" s="24">
        <f>(4*3.14*(((Q27^1.6*R27^1.6+Q27^1.6*S27^1.6+R27^1.6+S27^1.6)/3)^(1/1.6)))*(1/V27)</f>
        <v>2440.0082151651241</v>
      </c>
      <c r="X27" s="24">
        <f>3.14/6*Q27*R27*S27*U27</f>
        <v>334.93333333333334</v>
      </c>
      <c r="Y27" s="21">
        <v>1</v>
      </c>
      <c r="Z27" s="24">
        <f>Y27*W27</f>
        <v>2440.0082151651241</v>
      </c>
      <c r="AA27" s="24">
        <f>Y27*X27</f>
        <v>334.93333333333334</v>
      </c>
      <c r="AB27" s="21"/>
      <c r="AC27" s="21"/>
      <c r="AD27" s="21"/>
      <c r="AE27" s="21"/>
      <c r="AF27" s="21" t="s">
        <v>247</v>
      </c>
      <c r="AG27" s="21"/>
      <c r="AH27" s="24"/>
      <c r="AI27" s="24"/>
      <c r="AJ27" s="21">
        <v>100</v>
      </c>
      <c r="AK27" s="21">
        <v>50</v>
      </c>
      <c r="AL27" s="22" t="s">
        <v>161</v>
      </c>
      <c r="AM27" s="22">
        <v>0.16</v>
      </c>
      <c r="AO27" s="22" t="s">
        <v>2257</v>
      </c>
      <c r="AP27" s="22" t="s">
        <v>162</v>
      </c>
      <c r="AQ27" s="22" t="str">
        <f>IF(AND($AK27&lt;20,AJ27&lt;10000),"Nanophytoplankton","Microphytoplankton")</f>
        <v>Microphytoplankton</v>
      </c>
      <c r="AR27" s="22">
        <v>0</v>
      </c>
      <c r="AS27" s="22">
        <v>0</v>
      </c>
      <c r="AT27" s="22">
        <v>0</v>
      </c>
      <c r="AU27" s="22">
        <v>1</v>
      </c>
      <c r="AV27" s="22">
        <v>0</v>
      </c>
      <c r="AW27" s="22">
        <v>0</v>
      </c>
      <c r="AX27" s="22">
        <v>0</v>
      </c>
      <c r="AY27" s="22">
        <v>1</v>
      </c>
      <c r="BH27" s="22">
        <f t="shared" si="0"/>
        <v>0.13726729740156518</v>
      </c>
    </row>
    <row r="28" spans="1:65">
      <c r="BH28" s="22"/>
    </row>
    <row r="29" spans="1:65">
      <c r="BH29" s="22"/>
    </row>
    <row r="30" spans="1:65">
      <c r="BH30" s="22"/>
    </row>
    <row r="31" spans="1:65" s="22" customFormat="1" ht="13">
      <c r="A31" s="21" t="s">
        <v>3020</v>
      </c>
      <c r="B31" s="22" t="s">
        <v>663</v>
      </c>
      <c r="C31" s="22" t="s">
        <v>2223</v>
      </c>
      <c r="D31" s="22" t="s">
        <v>2224</v>
      </c>
      <c r="E31" s="23" t="s">
        <v>63</v>
      </c>
      <c r="F31" s="23" t="s">
        <v>2225</v>
      </c>
      <c r="G31" s="23" t="s">
        <v>2226</v>
      </c>
      <c r="H31" s="22" t="s">
        <v>2457</v>
      </c>
      <c r="I31" s="22" t="s">
        <v>53</v>
      </c>
      <c r="J31" s="21" t="s">
        <v>211</v>
      </c>
      <c r="K31" s="21"/>
      <c r="L31" s="21"/>
      <c r="M31" s="22" t="s">
        <v>1</v>
      </c>
      <c r="N31" s="22" t="s">
        <v>501</v>
      </c>
      <c r="O31" s="22" t="s">
        <v>2229</v>
      </c>
      <c r="P31" s="21">
        <v>82500</v>
      </c>
      <c r="Q31" s="21">
        <v>11</v>
      </c>
      <c r="R31" s="21">
        <v>3</v>
      </c>
      <c r="S31" s="21">
        <v>3</v>
      </c>
      <c r="T31" s="21" t="s">
        <v>159</v>
      </c>
      <c r="U31" s="21">
        <v>1</v>
      </c>
      <c r="V31" s="21">
        <v>1</v>
      </c>
      <c r="W31" s="24">
        <f>(4*3.14*(((Q31^1.6*R31^1.6+Q31^1.6*S31^1.6+R31^1.6+S31^1.6)/3)^(1/1.6)))*(1/V31)</f>
        <v>326.01538022567883</v>
      </c>
      <c r="X31" s="24">
        <f>3.14/6*Q31*R31*S31*U31</f>
        <v>51.81</v>
      </c>
      <c r="Y31" s="21">
        <v>4</v>
      </c>
      <c r="Z31" s="24">
        <f>Y31*W31</f>
        <v>1304.0615209027153</v>
      </c>
      <c r="AA31" s="24">
        <f>Y31*X31</f>
        <v>207.24</v>
      </c>
      <c r="AB31" s="21">
        <v>11</v>
      </c>
      <c r="AC31" s="22">
        <f>R31*Y31</f>
        <v>12</v>
      </c>
      <c r="AD31" s="21">
        <v>3</v>
      </c>
      <c r="AE31" s="22" t="s">
        <v>330</v>
      </c>
      <c r="AF31" s="22">
        <v>0.8</v>
      </c>
      <c r="AG31" s="22">
        <v>0.8</v>
      </c>
      <c r="AH31" s="25">
        <f>(AB31*AC31*2+AB31*AD31*2+AC31*AD31*2)/AG31</f>
        <v>502.5</v>
      </c>
      <c r="AI31" s="25">
        <f>AB31*AC31*AD31*AF31</f>
        <v>316.8</v>
      </c>
      <c r="AJ31" s="21">
        <v>311</v>
      </c>
      <c r="AK31" s="21">
        <v>12</v>
      </c>
      <c r="AL31" s="22" t="s">
        <v>161</v>
      </c>
      <c r="AM31" s="22">
        <v>0.16</v>
      </c>
      <c r="AN31" s="22" t="s">
        <v>1364</v>
      </c>
      <c r="AO31" s="22" t="s">
        <v>1364</v>
      </c>
      <c r="AP31" s="22" t="s">
        <v>162</v>
      </c>
      <c r="AQ31" s="22" t="str">
        <f>IF(AND($AK31&lt;20,AJ31&lt;10000),"Nanophytoplankton","Microphytoplankton")</f>
        <v>Nanophytoplankton</v>
      </c>
      <c r="AR31" s="22">
        <v>0</v>
      </c>
      <c r="AS31" s="22">
        <v>0</v>
      </c>
      <c r="AT31" s="22">
        <v>0</v>
      </c>
      <c r="AU31" s="22">
        <v>1</v>
      </c>
      <c r="AV31" s="22">
        <v>0</v>
      </c>
      <c r="AW31" s="22">
        <v>0</v>
      </c>
      <c r="AX31" s="22">
        <v>0</v>
      </c>
      <c r="AY31" s="22">
        <v>1</v>
      </c>
      <c r="AZ31" s="22">
        <v>0</v>
      </c>
      <c r="BA31" s="22">
        <v>0</v>
      </c>
      <c r="BB31" s="22">
        <v>0</v>
      </c>
      <c r="BC31" s="22">
        <v>2</v>
      </c>
      <c r="BD31" s="22">
        <v>6</v>
      </c>
      <c r="BE31" s="22">
        <v>2</v>
      </c>
      <c r="BH31" s="22">
        <f t="shared" si="0"/>
        <v>0.15891888279668087</v>
      </c>
    </row>
    <row r="32" spans="1:65">
      <c r="A32" s="21" t="s">
        <v>3081</v>
      </c>
      <c r="B32" s="22" t="s">
        <v>663</v>
      </c>
      <c r="C32" s="22" t="s">
        <v>2223</v>
      </c>
      <c r="D32" s="22" t="s">
        <v>2224</v>
      </c>
      <c r="E32" s="67" t="s">
        <v>63</v>
      </c>
      <c r="F32" s="67" t="s">
        <v>2225</v>
      </c>
      <c r="G32" s="67" t="s">
        <v>2226</v>
      </c>
      <c r="H32" s="22" t="s">
        <v>2253</v>
      </c>
      <c r="I32" s="22" t="s">
        <v>54</v>
      </c>
      <c r="J32" s="21" t="s">
        <v>2444</v>
      </c>
      <c r="K32" s="21"/>
      <c r="L32" s="21"/>
      <c r="M32" s="22"/>
      <c r="N32" s="22" t="s">
        <v>3082</v>
      </c>
      <c r="O32" s="22" t="s">
        <v>2229</v>
      </c>
      <c r="P32" s="21">
        <v>80820</v>
      </c>
      <c r="Q32" s="21">
        <v>20</v>
      </c>
      <c r="R32" s="21">
        <v>20</v>
      </c>
      <c r="S32" s="21">
        <v>10</v>
      </c>
      <c r="T32" s="21" t="s">
        <v>281</v>
      </c>
      <c r="U32" s="21">
        <v>0.6</v>
      </c>
      <c r="V32" s="21">
        <v>0.6</v>
      </c>
      <c r="W32" s="24">
        <v>5061.97</v>
      </c>
      <c r="X32" s="24">
        <v>1256</v>
      </c>
      <c r="Y32" s="21">
        <v>1</v>
      </c>
      <c r="Z32" s="24">
        <v>5061.97</v>
      </c>
      <c r="AA32" s="24">
        <v>1256</v>
      </c>
      <c r="AB32" s="21"/>
      <c r="AC32" s="21"/>
      <c r="AD32" s="21"/>
      <c r="AE32" s="21"/>
      <c r="AF32" s="21"/>
      <c r="AG32" s="21"/>
      <c r="AH32" s="24"/>
      <c r="AI32" s="24"/>
      <c r="AJ32" s="21">
        <v>2400</v>
      </c>
      <c r="AK32" s="21">
        <v>20</v>
      </c>
      <c r="AL32" s="22" t="s">
        <v>161</v>
      </c>
      <c r="AM32" s="22">
        <v>0.16</v>
      </c>
      <c r="AN32" s="22"/>
      <c r="AO32" s="22" t="s">
        <v>1364</v>
      </c>
      <c r="AP32" s="22" t="s">
        <v>162</v>
      </c>
      <c r="AQ32" s="22" t="s">
        <v>3703</v>
      </c>
      <c r="AR32" s="22">
        <v>0</v>
      </c>
      <c r="AS32" s="22">
        <v>0</v>
      </c>
      <c r="AT32" s="22">
        <v>0</v>
      </c>
      <c r="AU32" s="38">
        <v>0</v>
      </c>
      <c r="AV32" s="38">
        <v>0</v>
      </c>
      <c r="AW32" s="22">
        <v>0</v>
      </c>
      <c r="AX32" s="22">
        <v>0</v>
      </c>
      <c r="AY32" s="22">
        <v>1</v>
      </c>
      <c r="AZ32" s="22">
        <v>0</v>
      </c>
      <c r="BA32" s="22">
        <v>0</v>
      </c>
      <c r="BB32" s="22">
        <v>1</v>
      </c>
      <c r="BC32" s="22">
        <v>3</v>
      </c>
      <c r="BD32" s="22">
        <v>5</v>
      </c>
      <c r="BE32" s="22">
        <v>1</v>
      </c>
      <c r="BF32" s="22"/>
      <c r="BG32" s="22"/>
      <c r="BH32" s="22">
        <f t="shared" si="0"/>
        <v>0.24812474194829284</v>
      </c>
      <c r="BI32" s="22"/>
      <c r="BJ32" s="22"/>
      <c r="BK32" s="22"/>
      <c r="BL32" s="22"/>
      <c r="BM32" s="22"/>
    </row>
    <row r="33" spans="1:65">
      <c r="A33" s="22" t="s">
        <v>3083</v>
      </c>
      <c r="B33" s="22" t="s">
        <v>663</v>
      </c>
      <c r="C33" s="22" t="s">
        <v>2223</v>
      </c>
      <c r="D33" s="22" t="s">
        <v>2224</v>
      </c>
      <c r="E33" s="67" t="s">
        <v>63</v>
      </c>
      <c r="F33" s="67" t="s">
        <v>2225</v>
      </c>
      <c r="G33" s="67" t="s">
        <v>2226</v>
      </c>
      <c r="H33" s="22" t="s">
        <v>2253</v>
      </c>
      <c r="I33" s="22" t="s">
        <v>54</v>
      </c>
      <c r="J33" s="22" t="s">
        <v>2444</v>
      </c>
      <c r="K33" s="22" t="s">
        <v>175</v>
      </c>
      <c r="L33" s="22" t="s">
        <v>3084</v>
      </c>
      <c r="M33" s="22"/>
      <c r="N33" s="22" t="s">
        <v>3085</v>
      </c>
      <c r="O33" s="22" t="s">
        <v>2229</v>
      </c>
      <c r="P33" s="22">
        <v>80821</v>
      </c>
      <c r="Q33" s="22">
        <v>20</v>
      </c>
      <c r="R33" s="22">
        <v>20</v>
      </c>
      <c r="S33" s="22">
        <v>10</v>
      </c>
      <c r="T33" s="22" t="s">
        <v>281</v>
      </c>
      <c r="U33" s="22">
        <v>0.6</v>
      </c>
      <c r="V33" s="22">
        <v>0.6</v>
      </c>
      <c r="W33" s="24">
        <v>5061.97</v>
      </c>
      <c r="X33" s="24">
        <v>1256</v>
      </c>
      <c r="Y33" s="21">
        <v>1</v>
      </c>
      <c r="Z33" s="24">
        <v>5061.97</v>
      </c>
      <c r="AA33" s="24">
        <v>1256</v>
      </c>
      <c r="AB33" s="22"/>
      <c r="AC33" s="22"/>
      <c r="AD33" s="22"/>
      <c r="AE33" s="22"/>
      <c r="AF33" s="22"/>
      <c r="AG33" s="22"/>
      <c r="AH33" s="25"/>
      <c r="AI33" s="25"/>
      <c r="AJ33" s="21">
        <v>1257</v>
      </c>
      <c r="AK33" s="21">
        <v>20</v>
      </c>
      <c r="AL33" s="22" t="s">
        <v>161</v>
      </c>
      <c r="AM33" s="22">
        <v>0.16</v>
      </c>
      <c r="AN33" s="22"/>
      <c r="AO33" s="22" t="s">
        <v>1364</v>
      </c>
      <c r="AP33" s="22" t="s">
        <v>162</v>
      </c>
      <c r="AQ33" s="22" t="s">
        <v>3703</v>
      </c>
      <c r="AR33" s="22">
        <v>0</v>
      </c>
      <c r="AS33" s="22">
        <v>0</v>
      </c>
      <c r="AT33" s="22">
        <v>0</v>
      </c>
      <c r="AU33" s="38">
        <v>0</v>
      </c>
      <c r="AV33" s="38">
        <v>0</v>
      </c>
      <c r="AW33" s="22">
        <v>0</v>
      </c>
      <c r="AX33" s="22">
        <v>0</v>
      </c>
      <c r="AY33" s="22">
        <v>1</v>
      </c>
      <c r="AZ33" s="22">
        <v>0</v>
      </c>
      <c r="BA33" s="22">
        <v>0</v>
      </c>
      <c r="BB33" s="22">
        <v>1</v>
      </c>
      <c r="BC33" s="22">
        <v>3</v>
      </c>
      <c r="BD33" s="22">
        <v>5</v>
      </c>
      <c r="BE33" s="22">
        <v>1</v>
      </c>
      <c r="BF33" s="22"/>
      <c r="BG33" s="22"/>
      <c r="BH33" s="22">
        <f t="shared" si="0"/>
        <v>0.24812474194829284</v>
      </c>
      <c r="BI33" s="22"/>
      <c r="BJ33" s="22"/>
      <c r="BK33" s="22"/>
      <c r="BL33" s="22"/>
      <c r="BM33" s="22"/>
    </row>
    <row r="34" spans="1:65">
      <c r="A34" s="22" t="s">
        <v>3086</v>
      </c>
      <c r="B34" s="22" t="s">
        <v>663</v>
      </c>
      <c r="C34" s="22" t="s">
        <v>2223</v>
      </c>
      <c r="D34" s="22" t="s">
        <v>2224</v>
      </c>
      <c r="E34" s="67" t="s">
        <v>63</v>
      </c>
      <c r="F34" s="67" t="s">
        <v>2225</v>
      </c>
      <c r="G34" s="67" t="s">
        <v>2226</v>
      </c>
      <c r="H34" s="22" t="s">
        <v>2253</v>
      </c>
      <c r="I34" s="22" t="s">
        <v>54</v>
      </c>
      <c r="J34" s="22" t="s">
        <v>2444</v>
      </c>
      <c r="K34" s="22" t="s">
        <v>184</v>
      </c>
      <c r="L34" s="22" t="s">
        <v>3087</v>
      </c>
      <c r="M34" s="22"/>
      <c r="N34" s="22" t="s">
        <v>2809</v>
      </c>
      <c r="O34" s="22" t="s">
        <v>2229</v>
      </c>
      <c r="P34" s="22">
        <v>80822</v>
      </c>
      <c r="Q34" s="22">
        <v>10</v>
      </c>
      <c r="R34" s="22">
        <v>10</v>
      </c>
      <c r="S34" s="22">
        <v>2</v>
      </c>
      <c r="T34" s="22" t="s">
        <v>330</v>
      </c>
      <c r="U34" s="22">
        <v>0.5</v>
      </c>
      <c r="V34" s="22">
        <v>0.5</v>
      </c>
      <c r="W34" s="25">
        <v>560</v>
      </c>
      <c r="X34" s="25">
        <v>100</v>
      </c>
      <c r="Y34" s="21">
        <v>1</v>
      </c>
      <c r="Z34" s="24">
        <v>560</v>
      </c>
      <c r="AA34" s="24">
        <v>100</v>
      </c>
      <c r="AB34" s="22"/>
      <c r="AC34" s="22"/>
      <c r="AD34" s="22"/>
      <c r="AE34" s="22"/>
      <c r="AF34" s="22"/>
      <c r="AG34" s="22"/>
      <c r="AH34" s="25"/>
      <c r="AI34" s="25"/>
      <c r="AJ34" s="21">
        <v>100</v>
      </c>
      <c r="AK34" s="21">
        <v>10</v>
      </c>
      <c r="AL34" s="22" t="s">
        <v>161</v>
      </c>
      <c r="AM34" s="22">
        <v>0.16</v>
      </c>
      <c r="AN34" s="22"/>
      <c r="AO34" s="22" t="s">
        <v>1364</v>
      </c>
      <c r="AP34" s="22" t="s">
        <v>162</v>
      </c>
      <c r="AQ34" s="22" t="s">
        <v>3704</v>
      </c>
      <c r="AR34" s="22">
        <v>0</v>
      </c>
      <c r="AS34" s="22">
        <v>0</v>
      </c>
      <c r="AT34" s="22">
        <v>0</v>
      </c>
      <c r="AU34" s="38">
        <v>0</v>
      </c>
      <c r="AV34" s="38">
        <v>0</v>
      </c>
      <c r="AW34" s="22">
        <v>0</v>
      </c>
      <c r="AX34" s="22">
        <v>0</v>
      </c>
      <c r="AY34" s="22">
        <v>1</v>
      </c>
      <c r="AZ34" s="22"/>
      <c r="BA34" s="22"/>
      <c r="BB34" s="22"/>
      <c r="BC34" s="22"/>
      <c r="BD34" s="22"/>
      <c r="BE34" s="22"/>
      <c r="BF34" s="22"/>
      <c r="BG34" s="22"/>
      <c r="BH34" s="22">
        <f t="shared" si="0"/>
        <v>0.17857142857142858</v>
      </c>
      <c r="BI34" s="22"/>
      <c r="BJ34" s="22"/>
      <c r="BK34" s="22"/>
      <c r="BL34" s="22"/>
      <c r="BM34" s="22"/>
    </row>
    <row r="35" spans="1:65" s="22" customFormat="1" ht="13">
      <c r="A35" s="21" t="s">
        <v>2776</v>
      </c>
      <c r="B35" s="22" t="s">
        <v>663</v>
      </c>
      <c r="C35" s="22" t="s">
        <v>2223</v>
      </c>
      <c r="D35" s="22" t="s">
        <v>2224</v>
      </c>
      <c r="E35" s="23" t="s">
        <v>63</v>
      </c>
      <c r="F35" s="23" t="s">
        <v>2225</v>
      </c>
      <c r="G35" s="23" t="s">
        <v>2226</v>
      </c>
      <c r="H35" s="22" t="s">
        <v>2239</v>
      </c>
      <c r="I35" s="22" t="s">
        <v>51</v>
      </c>
      <c r="J35" s="22" t="s">
        <v>211</v>
      </c>
      <c r="M35" s="22" t="s">
        <v>1</v>
      </c>
      <c r="N35" s="22" t="s">
        <v>228</v>
      </c>
      <c r="O35" s="22" t="s">
        <v>2229</v>
      </c>
      <c r="P35" s="21">
        <v>81200</v>
      </c>
      <c r="Q35" s="21">
        <v>9</v>
      </c>
      <c r="R35" s="21">
        <v>7</v>
      </c>
      <c r="S35" s="21">
        <v>4</v>
      </c>
      <c r="T35" s="21" t="s">
        <v>159</v>
      </c>
      <c r="U35" s="21">
        <v>1</v>
      </c>
      <c r="V35" s="21">
        <v>1</v>
      </c>
      <c r="W35" s="24">
        <f>(4*3.14*(((Q35^1.6*R35^1.6+Q35^1.6*S35^1.6+R35^1.6+S35^1.6)/3)^(1/1.6)))*(1/V35)</f>
        <v>502.39493555916505</v>
      </c>
      <c r="X35" s="24">
        <f>3.14/6*Q35*R35*S35*U35</f>
        <v>131.88</v>
      </c>
      <c r="Y35" s="21">
        <v>1</v>
      </c>
      <c r="Z35" s="24">
        <f t="shared" ref="Z35:Z64" si="8">Y35*W35</f>
        <v>502.39493555916505</v>
      </c>
      <c r="AA35" s="24">
        <f t="shared" ref="AA35:AA64" si="9">Y35*X35</f>
        <v>131.88</v>
      </c>
      <c r="AB35" s="21"/>
      <c r="AC35" s="21"/>
      <c r="AD35" s="21"/>
      <c r="AE35" s="21"/>
      <c r="AF35" s="21"/>
      <c r="AG35" s="21"/>
      <c r="AH35" s="24"/>
      <c r="AI35" s="24"/>
      <c r="AJ35" s="21">
        <v>131.9</v>
      </c>
      <c r="AK35" s="21">
        <v>15</v>
      </c>
      <c r="AL35" s="22" t="s">
        <v>161</v>
      </c>
      <c r="AM35" s="22">
        <v>0.16</v>
      </c>
      <c r="AN35" s="22" t="s">
        <v>2282</v>
      </c>
      <c r="AO35" s="22" t="s">
        <v>2282</v>
      </c>
      <c r="AP35" s="22" t="s">
        <v>230</v>
      </c>
      <c r="AQ35" s="22" t="str">
        <f t="shared" ref="AQ35:AQ64" si="10">IF(AND($AK35&lt;20,AJ35&lt;10000),"Nanophytoplankton","Microphytoplankton")</f>
        <v>Nanophytoplankton</v>
      </c>
      <c r="AR35" s="22">
        <v>0</v>
      </c>
      <c r="AS35" s="22">
        <v>0</v>
      </c>
      <c r="AT35" s="22">
        <v>0</v>
      </c>
      <c r="AU35" s="22">
        <v>0</v>
      </c>
      <c r="AV35" s="22">
        <v>0</v>
      </c>
      <c r="AW35" s="22">
        <v>0</v>
      </c>
      <c r="AX35" s="22">
        <v>0</v>
      </c>
      <c r="AY35" s="22">
        <v>1</v>
      </c>
      <c r="AZ35" s="22">
        <v>0</v>
      </c>
      <c r="BA35" s="22">
        <v>0</v>
      </c>
      <c r="BB35" s="22">
        <v>0</v>
      </c>
      <c r="BC35" s="22">
        <v>1</v>
      </c>
      <c r="BD35" s="22">
        <v>6</v>
      </c>
      <c r="BE35" s="22">
        <v>3</v>
      </c>
      <c r="BH35" s="22">
        <f t="shared" si="0"/>
        <v>0.26250264615668883</v>
      </c>
    </row>
    <row r="36" spans="1:65" s="22" customFormat="1" ht="13">
      <c r="A36" s="21" t="s">
        <v>2525</v>
      </c>
      <c r="B36" s="22" t="s">
        <v>663</v>
      </c>
      <c r="C36" s="22" t="s">
        <v>2223</v>
      </c>
      <c r="D36" s="22" t="s">
        <v>2224</v>
      </c>
      <c r="E36" s="23" t="s">
        <v>63</v>
      </c>
      <c r="F36" s="23" t="s">
        <v>2225</v>
      </c>
      <c r="G36" s="23" t="s">
        <v>2226</v>
      </c>
      <c r="H36" s="22" t="s">
        <v>2253</v>
      </c>
      <c r="I36" s="22" t="s">
        <v>2526</v>
      </c>
      <c r="J36" s="22" t="s">
        <v>2527</v>
      </c>
      <c r="N36" s="22" t="s">
        <v>2528</v>
      </c>
      <c r="O36" s="22" t="s">
        <v>2229</v>
      </c>
      <c r="P36" s="21">
        <v>82810</v>
      </c>
      <c r="Q36" s="22">
        <v>30</v>
      </c>
      <c r="R36" s="21">
        <v>4</v>
      </c>
      <c r="S36" s="21">
        <v>4</v>
      </c>
      <c r="T36" s="21" t="s">
        <v>281</v>
      </c>
      <c r="U36" s="22">
        <v>1</v>
      </c>
      <c r="V36" s="22">
        <v>1</v>
      </c>
      <c r="W36" s="24">
        <f>(4*3.14*(((Q36^1.6*R36^1.6+Q36^1.6*S36^1.6+R36^1.6+S36^1.6)/3)^(1/1.6)))*(1/V36)</f>
        <v>1172.9700926995843</v>
      </c>
      <c r="X36" s="24">
        <f>3.14/6*Q36*R36*S36*U36</f>
        <v>251.2</v>
      </c>
      <c r="Y36" s="21">
        <v>4</v>
      </c>
      <c r="Z36" s="24">
        <f t="shared" si="8"/>
        <v>4691.880370798337</v>
      </c>
      <c r="AA36" s="24">
        <f t="shared" si="9"/>
        <v>1004.8</v>
      </c>
      <c r="AB36" s="21">
        <v>90</v>
      </c>
      <c r="AC36" s="21">
        <v>8</v>
      </c>
      <c r="AD36" s="21">
        <v>8</v>
      </c>
      <c r="AE36" s="21" t="s">
        <v>159</v>
      </c>
      <c r="AF36" s="22">
        <v>0.3</v>
      </c>
      <c r="AG36" s="22">
        <v>1</v>
      </c>
      <c r="AH36" s="24">
        <f>(4*3.14*(((AB36^1.6*AC36^1.6+AB36^1.6*AD36^1.6+AC36^1.6+AD36^1.6)/3)^(1/1.6)))*(1/AG36)</f>
        <v>7022.1117054572405</v>
      </c>
      <c r="AI36" s="24">
        <f>3.14/6*AB36*AC36*AD36*AF36</f>
        <v>904.32</v>
      </c>
      <c r="AJ36" s="21">
        <v>1005.2</v>
      </c>
      <c r="AK36" s="21">
        <v>100</v>
      </c>
      <c r="AL36" s="22" t="s">
        <v>161</v>
      </c>
      <c r="AM36" s="22">
        <v>0.16</v>
      </c>
      <c r="AO36" s="22" t="s">
        <v>2282</v>
      </c>
      <c r="AP36" s="22" t="s">
        <v>230</v>
      </c>
      <c r="AQ36" s="22" t="str">
        <f t="shared" si="10"/>
        <v>Microphytoplankton</v>
      </c>
      <c r="AR36" s="22">
        <v>0</v>
      </c>
      <c r="AS36" s="22">
        <v>0</v>
      </c>
      <c r="AT36" s="22">
        <v>0</v>
      </c>
      <c r="AU36" s="22">
        <v>1</v>
      </c>
      <c r="AV36" s="22">
        <v>0</v>
      </c>
      <c r="AW36" s="22">
        <v>0</v>
      </c>
      <c r="AX36" s="22">
        <v>0</v>
      </c>
      <c r="AY36" s="22">
        <v>1</v>
      </c>
      <c r="BH36" s="22">
        <f t="shared" si="0"/>
        <v>0.21415720789765796</v>
      </c>
    </row>
    <row r="37" spans="1:65" s="22" customFormat="1" ht="13">
      <c r="A37" s="21" t="s">
        <v>3240</v>
      </c>
      <c r="B37" s="22" t="s">
        <v>663</v>
      </c>
      <c r="C37" s="23" t="s">
        <v>2223</v>
      </c>
      <c r="D37" s="22" t="s">
        <v>3188</v>
      </c>
      <c r="E37" s="23" t="s">
        <v>3189</v>
      </c>
      <c r="F37" s="23" t="s">
        <v>3190</v>
      </c>
      <c r="G37" s="23" t="s">
        <v>3191</v>
      </c>
      <c r="H37" s="23" t="s">
        <v>3200</v>
      </c>
      <c r="I37" s="22" t="s">
        <v>48</v>
      </c>
      <c r="J37" s="21" t="s">
        <v>211</v>
      </c>
      <c r="K37" s="21"/>
      <c r="L37" s="21"/>
      <c r="M37" s="22" t="s">
        <v>1</v>
      </c>
      <c r="N37" s="22" t="s">
        <v>3241</v>
      </c>
      <c r="O37" s="22" t="s">
        <v>3196</v>
      </c>
      <c r="P37" s="21">
        <v>90300</v>
      </c>
      <c r="Q37" s="21">
        <v>175</v>
      </c>
      <c r="R37" s="21">
        <v>28</v>
      </c>
      <c r="S37" s="21">
        <v>28</v>
      </c>
      <c r="T37" s="21" t="s">
        <v>160</v>
      </c>
      <c r="U37" s="21">
        <v>1</v>
      </c>
      <c r="V37" s="21">
        <v>1</v>
      </c>
      <c r="W37" s="24">
        <f>3.14*R37*Q37+2*3.14*(S37/2)^2/V37</f>
        <v>16616.88</v>
      </c>
      <c r="X37" s="25">
        <f>(3.14/4*R37^2*Q37)*U37</f>
        <v>107702.00000000001</v>
      </c>
      <c r="Y37" s="21">
        <v>1</v>
      </c>
      <c r="Z37" s="24">
        <f t="shared" si="8"/>
        <v>16616.88</v>
      </c>
      <c r="AA37" s="24">
        <f t="shared" si="9"/>
        <v>107702.00000000001</v>
      </c>
      <c r="AB37" s="21"/>
      <c r="AC37" s="21"/>
      <c r="AD37" s="21"/>
      <c r="AE37" s="21"/>
      <c r="AF37" s="21"/>
      <c r="AG37" s="21"/>
      <c r="AH37" s="24"/>
      <c r="AI37" s="24"/>
      <c r="AJ37" s="21">
        <v>71837.8</v>
      </c>
      <c r="AK37" s="21">
        <v>175</v>
      </c>
      <c r="AL37" s="22" t="s">
        <v>161</v>
      </c>
      <c r="AM37" s="22">
        <v>0.11</v>
      </c>
      <c r="AO37" s="22" t="s">
        <v>1517</v>
      </c>
      <c r="AP37" s="22" t="s">
        <v>162</v>
      </c>
      <c r="AQ37" s="22" t="str">
        <f t="shared" si="10"/>
        <v>Microphytoplankton</v>
      </c>
      <c r="AR37" s="22">
        <v>0</v>
      </c>
      <c r="AS37" s="22">
        <v>0</v>
      </c>
      <c r="AT37" s="22">
        <v>0</v>
      </c>
      <c r="AU37" s="22">
        <v>0</v>
      </c>
      <c r="AV37" s="22">
        <v>0</v>
      </c>
      <c r="AW37" s="22">
        <v>0</v>
      </c>
      <c r="AX37" s="22">
        <v>0</v>
      </c>
      <c r="AY37" s="22">
        <v>1</v>
      </c>
      <c r="BH37" s="22">
        <f t="shared" si="0"/>
        <v>6.4814814814814818</v>
      </c>
    </row>
    <row r="38" spans="1:65" s="22" customFormat="1" ht="13">
      <c r="A38" s="21" t="s">
        <v>3242</v>
      </c>
      <c r="B38" s="22" t="s">
        <v>663</v>
      </c>
      <c r="C38" s="23" t="s">
        <v>2223</v>
      </c>
      <c r="D38" s="22" t="s">
        <v>3188</v>
      </c>
      <c r="E38" s="23" t="s">
        <v>3189</v>
      </c>
      <c r="F38" s="23" t="s">
        <v>3190</v>
      </c>
      <c r="G38" s="23" t="s">
        <v>3191</v>
      </c>
      <c r="H38" s="23" t="s">
        <v>3200</v>
      </c>
      <c r="I38" s="22" t="s">
        <v>48</v>
      </c>
      <c r="J38" s="21" t="s">
        <v>1175</v>
      </c>
      <c r="K38" s="21"/>
      <c r="L38" s="21"/>
      <c r="M38" s="22" t="s">
        <v>1</v>
      </c>
      <c r="N38" s="22" t="s">
        <v>3243</v>
      </c>
      <c r="O38" s="22" t="s">
        <v>3196</v>
      </c>
      <c r="P38" s="21">
        <v>90350</v>
      </c>
      <c r="Q38" s="21">
        <v>19.399999999999999</v>
      </c>
      <c r="R38" s="21">
        <v>5.4</v>
      </c>
      <c r="S38" s="21">
        <v>4</v>
      </c>
      <c r="T38" s="21" t="s">
        <v>160</v>
      </c>
      <c r="U38" s="21">
        <v>0.9</v>
      </c>
      <c r="V38" s="21">
        <v>0.9</v>
      </c>
      <c r="W38" s="24">
        <f>3.14*R38*Q38+2*3.14*(S38/2)^2/V38</f>
        <v>356.85751111111114</v>
      </c>
      <c r="X38" s="25">
        <f>(3.14/4*R38^2*Q38)*U38</f>
        <v>399.66987600000004</v>
      </c>
      <c r="Y38" s="21">
        <v>1</v>
      </c>
      <c r="Z38" s="24">
        <f t="shared" si="8"/>
        <v>356.85751111111114</v>
      </c>
      <c r="AA38" s="24">
        <f t="shared" si="9"/>
        <v>399.66987600000004</v>
      </c>
      <c r="AB38" s="21"/>
      <c r="AC38" s="21"/>
      <c r="AD38" s="21"/>
      <c r="AE38" s="21"/>
      <c r="AF38" s="21"/>
      <c r="AG38" s="21"/>
      <c r="AH38" s="24"/>
      <c r="AI38" s="24"/>
      <c r="AJ38" s="21">
        <v>377</v>
      </c>
      <c r="AK38" s="21">
        <v>19.399999999999999</v>
      </c>
      <c r="AL38" s="22" t="s">
        <v>161</v>
      </c>
      <c r="AM38" s="22">
        <v>0.11</v>
      </c>
      <c r="AO38" s="22" t="s">
        <v>1517</v>
      </c>
      <c r="AP38" s="22" t="s">
        <v>162</v>
      </c>
      <c r="AQ38" s="22" t="str">
        <f t="shared" si="10"/>
        <v>Nanophytoplankton</v>
      </c>
      <c r="AR38" s="22">
        <v>0</v>
      </c>
      <c r="AS38" s="22">
        <v>0</v>
      </c>
      <c r="AT38" s="22">
        <v>0</v>
      </c>
      <c r="AU38" s="22">
        <v>0</v>
      </c>
      <c r="AV38" s="22">
        <v>0</v>
      </c>
      <c r="AW38" s="22">
        <v>0</v>
      </c>
      <c r="AX38" s="22">
        <v>0</v>
      </c>
      <c r="AY38" s="22">
        <v>1</v>
      </c>
      <c r="BH38" s="22">
        <f t="shared" si="0"/>
        <v>1.1199704743654921</v>
      </c>
    </row>
    <row r="39" spans="1:65" s="22" customFormat="1" ht="13">
      <c r="A39" s="21" t="s">
        <v>3203</v>
      </c>
      <c r="B39" s="22" t="s">
        <v>663</v>
      </c>
      <c r="C39" s="23" t="s">
        <v>2223</v>
      </c>
      <c r="D39" s="22" t="s">
        <v>3188</v>
      </c>
      <c r="E39" s="23" t="s">
        <v>3189</v>
      </c>
      <c r="F39" s="23" t="s">
        <v>3190</v>
      </c>
      <c r="G39" s="23" t="s">
        <v>3191</v>
      </c>
      <c r="H39" s="23" t="s">
        <v>3200</v>
      </c>
      <c r="I39" s="22" t="s">
        <v>48</v>
      </c>
      <c r="J39" s="21" t="s">
        <v>2237</v>
      </c>
      <c r="K39" s="21"/>
      <c r="L39" s="21"/>
      <c r="N39" s="22" t="s">
        <v>3204</v>
      </c>
      <c r="O39" s="22" t="s">
        <v>3196</v>
      </c>
      <c r="P39" s="21">
        <v>90310</v>
      </c>
      <c r="Q39" s="21">
        <v>500</v>
      </c>
      <c r="R39" s="21">
        <v>5</v>
      </c>
      <c r="S39" s="21">
        <v>5</v>
      </c>
      <c r="T39" s="21" t="s">
        <v>160</v>
      </c>
      <c r="U39" s="21">
        <v>0.75</v>
      </c>
      <c r="V39" s="21">
        <v>0.75</v>
      </c>
      <c r="W39" s="24">
        <f>3.14*R39*Q39+2*3.14*(S39/2)^2/V39</f>
        <v>7902.3333333333339</v>
      </c>
      <c r="X39" s="25">
        <f>(3.14/4*R39^2*Q39)*U39</f>
        <v>7359.375</v>
      </c>
      <c r="Y39" s="21">
        <v>1</v>
      </c>
      <c r="Z39" s="24">
        <f t="shared" si="8"/>
        <v>7902.3333333333339</v>
      </c>
      <c r="AA39" s="24">
        <f t="shared" si="9"/>
        <v>7359.375</v>
      </c>
      <c r="AB39" s="21"/>
      <c r="AC39" s="21"/>
      <c r="AD39" s="21"/>
      <c r="AE39" s="21"/>
      <c r="AF39" s="21"/>
      <c r="AG39" s="21"/>
      <c r="AH39" s="24"/>
      <c r="AI39" s="24"/>
      <c r="AJ39" s="21">
        <v>7363.1</v>
      </c>
      <c r="AK39" s="21">
        <v>500</v>
      </c>
      <c r="AL39" s="22" t="s">
        <v>161</v>
      </c>
      <c r="AM39" s="22">
        <v>0.11</v>
      </c>
      <c r="AN39" s="22" t="s">
        <v>1517</v>
      </c>
      <c r="AO39" s="22" t="s">
        <v>1517</v>
      </c>
      <c r="AP39" s="22" t="s">
        <v>162</v>
      </c>
      <c r="AQ39" s="22" t="str">
        <f t="shared" si="10"/>
        <v>Microphytoplankton</v>
      </c>
      <c r="AR39" s="22">
        <v>0</v>
      </c>
      <c r="AS39" s="22">
        <v>0</v>
      </c>
      <c r="AT39" s="22">
        <v>0</v>
      </c>
      <c r="AU39" s="22">
        <v>0</v>
      </c>
      <c r="AV39" s="22">
        <v>0</v>
      </c>
      <c r="AW39" s="22">
        <v>0</v>
      </c>
      <c r="AX39" s="22">
        <v>0</v>
      </c>
      <c r="AY39" s="22">
        <v>1</v>
      </c>
      <c r="AZ39" s="22">
        <v>0</v>
      </c>
      <c r="BA39" s="22">
        <v>0</v>
      </c>
      <c r="BB39" s="22">
        <v>0</v>
      </c>
      <c r="BC39" s="22">
        <v>1</v>
      </c>
      <c r="BD39" s="22">
        <v>3</v>
      </c>
      <c r="BE39" s="22">
        <v>6</v>
      </c>
      <c r="BH39" s="22">
        <f t="shared" si="0"/>
        <v>0.93129139072847678</v>
      </c>
    </row>
    <row r="40" spans="1:65" s="22" customFormat="1" ht="13">
      <c r="A40" s="21" t="s">
        <v>3459</v>
      </c>
      <c r="B40" s="22" t="s">
        <v>663</v>
      </c>
      <c r="C40" s="23" t="s">
        <v>2223</v>
      </c>
      <c r="D40" s="22" t="s">
        <v>3188</v>
      </c>
      <c r="E40" s="23" t="s">
        <v>3189</v>
      </c>
      <c r="F40" s="23" t="s">
        <v>3190</v>
      </c>
      <c r="G40" s="23" t="s">
        <v>3191</v>
      </c>
      <c r="H40" s="23" t="s">
        <v>3192</v>
      </c>
      <c r="I40" s="22" t="s">
        <v>3418</v>
      </c>
      <c r="J40" s="21" t="s">
        <v>3460</v>
      </c>
      <c r="K40" s="21"/>
      <c r="L40" s="21"/>
      <c r="M40" s="22" t="s">
        <v>1</v>
      </c>
      <c r="N40" s="22" t="s">
        <v>3461</v>
      </c>
      <c r="O40" s="22" t="s">
        <v>3196</v>
      </c>
      <c r="P40" s="22">
        <v>90680</v>
      </c>
      <c r="Q40" s="21">
        <v>16</v>
      </c>
      <c r="R40" s="21">
        <v>16</v>
      </c>
      <c r="S40" s="21">
        <v>16</v>
      </c>
      <c r="T40" s="21" t="s">
        <v>281</v>
      </c>
      <c r="U40" s="21">
        <v>2</v>
      </c>
      <c r="V40" s="21">
        <v>2</v>
      </c>
      <c r="W40" s="24">
        <f>(4*3.14*(((Q40^1.6*R40^1.6+Q40^1.6*S40^1.6+R40^1.6+S40^1.6)/3)^(1/1.6)))*(1/V40)</f>
        <v>1257.00755096851</v>
      </c>
      <c r="X40" s="24">
        <f>3.14/6*Q40*R40*S40*U40</f>
        <v>4287.1466666666665</v>
      </c>
      <c r="Y40" s="21">
        <v>1</v>
      </c>
      <c r="Z40" s="24">
        <f t="shared" si="8"/>
        <v>1257.00755096851</v>
      </c>
      <c r="AA40" s="24">
        <f t="shared" si="9"/>
        <v>4287.1466666666665</v>
      </c>
      <c r="AB40" s="21"/>
      <c r="AC40" s="21"/>
      <c r="AD40" s="21"/>
      <c r="AE40" s="21"/>
      <c r="AF40" s="21"/>
      <c r="AG40" s="21"/>
      <c r="AH40" s="24"/>
      <c r="AI40" s="24"/>
      <c r="AJ40" s="21">
        <v>4289.3</v>
      </c>
      <c r="AK40" s="21">
        <v>47</v>
      </c>
      <c r="AL40" s="22" t="s">
        <v>161</v>
      </c>
      <c r="AM40" s="22">
        <v>0.11</v>
      </c>
      <c r="AO40" s="22" t="s">
        <v>2206</v>
      </c>
      <c r="AP40" s="22" t="s">
        <v>162</v>
      </c>
      <c r="AQ40" s="22" t="str">
        <f t="shared" si="10"/>
        <v>Microphytoplankton</v>
      </c>
      <c r="AR40" s="22">
        <v>0</v>
      </c>
      <c r="AS40" s="22">
        <v>0</v>
      </c>
      <c r="AT40" s="22">
        <v>0</v>
      </c>
      <c r="AU40" s="22">
        <v>0</v>
      </c>
      <c r="AV40" s="22">
        <v>0</v>
      </c>
      <c r="AW40" s="22">
        <v>0</v>
      </c>
      <c r="AX40" s="22">
        <v>0</v>
      </c>
      <c r="AY40" s="22">
        <v>1</v>
      </c>
      <c r="BH40" s="22">
        <f t="shared" si="0"/>
        <v>3.4105973853247491</v>
      </c>
    </row>
    <row r="41" spans="1:65" s="22" customFormat="1" ht="13">
      <c r="A41" s="21" t="s">
        <v>3462</v>
      </c>
      <c r="B41" s="22" t="s">
        <v>663</v>
      </c>
      <c r="C41" s="23" t="s">
        <v>2223</v>
      </c>
      <c r="D41" s="22" t="s">
        <v>3188</v>
      </c>
      <c r="E41" s="23" t="s">
        <v>3189</v>
      </c>
      <c r="F41" s="23" t="s">
        <v>3190</v>
      </c>
      <c r="G41" s="23" t="s">
        <v>3191</v>
      </c>
      <c r="H41" s="23" t="s">
        <v>3192</v>
      </c>
      <c r="I41" s="22" t="s">
        <v>3418</v>
      </c>
      <c r="J41" s="21" t="s">
        <v>3463</v>
      </c>
      <c r="K41" s="21"/>
      <c r="L41" s="21"/>
      <c r="M41" s="22" t="s">
        <v>1</v>
      </c>
      <c r="N41" s="22" t="s">
        <v>3461</v>
      </c>
      <c r="O41" s="22" t="s">
        <v>3196</v>
      </c>
      <c r="P41" s="21">
        <v>90631</v>
      </c>
      <c r="Q41" s="21">
        <v>25</v>
      </c>
      <c r="R41" s="21">
        <v>15</v>
      </c>
      <c r="S41" s="21">
        <v>13</v>
      </c>
      <c r="T41" s="21" t="s">
        <v>281</v>
      </c>
      <c r="U41" s="21">
        <v>1</v>
      </c>
      <c r="V41" s="21">
        <v>1</v>
      </c>
      <c r="W41" s="24">
        <f>(4*3.14*(((Q41^1.6*R41^1.6+Q41^1.6*S41^1.6+R41^1.6+S41^1.6)/3)^(1/1.6)))*(1/V41)</f>
        <v>3429.5253913782117</v>
      </c>
      <c r="X41" s="24">
        <f>3.14/6*Q41*R41*S41*U41</f>
        <v>2551.2499999999995</v>
      </c>
      <c r="Y41" s="21">
        <v>1</v>
      </c>
      <c r="Z41" s="24">
        <f t="shared" si="8"/>
        <v>3429.5253913782117</v>
      </c>
      <c r="AA41" s="24">
        <f t="shared" si="9"/>
        <v>2551.2499999999995</v>
      </c>
      <c r="AB41" s="21"/>
      <c r="AC41" s="21"/>
      <c r="AD41" s="21"/>
      <c r="AE41" s="21"/>
      <c r="AF41" s="21"/>
      <c r="AG41" s="21"/>
      <c r="AH41" s="24"/>
      <c r="AI41" s="24"/>
      <c r="AJ41" s="21">
        <v>2552.5</v>
      </c>
      <c r="AK41" s="21">
        <v>25</v>
      </c>
      <c r="AL41" s="22" t="s">
        <v>161</v>
      </c>
      <c r="AM41" s="22">
        <v>0.11</v>
      </c>
      <c r="AO41" s="22" t="s">
        <v>2206</v>
      </c>
      <c r="AP41" s="22" t="s">
        <v>162</v>
      </c>
      <c r="AQ41" s="22" t="str">
        <f t="shared" si="10"/>
        <v>Microphytoplankton</v>
      </c>
      <c r="AR41" s="22">
        <v>0</v>
      </c>
      <c r="AS41" s="22">
        <v>0</v>
      </c>
      <c r="AT41" s="22">
        <v>0</v>
      </c>
      <c r="AU41" s="22">
        <v>0</v>
      </c>
      <c r="AV41" s="22">
        <v>0</v>
      </c>
      <c r="AW41" s="22">
        <v>0</v>
      </c>
      <c r="AX41" s="22">
        <v>0</v>
      </c>
      <c r="AY41" s="22">
        <v>1</v>
      </c>
      <c r="BH41" s="22">
        <f t="shared" si="0"/>
        <v>0.74390759911380544</v>
      </c>
    </row>
    <row r="42" spans="1:65" s="22" customFormat="1" ht="13">
      <c r="A42" s="21" t="s">
        <v>3395</v>
      </c>
      <c r="B42" s="22" t="s">
        <v>663</v>
      </c>
      <c r="C42" s="23" t="s">
        <v>2223</v>
      </c>
      <c r="D42" s="22" t="s">
        <v>3188</v>
      </c>
      <c r="E42" s="23" t="s">
        <v>3189</v>
      </c>
      <c r="F42" s="23" t="s">
        <v>3190</v>
      </c>
      <c r="G42" s="23" t="s">
        <v>3191</v>
      </c>
      <c r="H42" s="23" t="s">
        <v>3392</v>
      </c>
      <c r="I42" s="22" t="s">
        <v>50</v>
      </c>
      <c r="J42" s="22" t="s">
        <v>211</v>
      </c>
      <c r="M42" s="22" t="s">
        <v>1</v>
      </c>
      <c r="N42" s="22" t="s">
        <v>475</v>
      </c>
      <c r="O42" s="22" t="s">
        <v>3196</v>
      </c>
      <c r="P42" s="21">
        <v>90210</v>
      </c>
      <c r="Q42" s="21">
        <v>40</v>
      </c>
      <c r="R42" s="21">
        <v>9</v>
      </c>
      <c r="S42" s="21">
        <v>9</v>
      </c>
      <c r="T42" s="21" t="s">
        <v>160</v>
      </c>
      <c r="U42" s="21">
        <v>1</v>
      </c>
      <c r="V42" s="21">
        <v>1</v>
      </c>
      <c r="W42" s="24">
        <f>3.14*R42*Q42+2*3.14*(S42/2)^2/V42</f>
        <v>1257.5700000000002</v>
      </c>
      <c r="X42" s="25">
        <f>(3.14/4*R42^2*Q42)*U42</f>
        <v>2543.4</v>
      </c>
      <c r="Y42" s="21">
        <v>1</v>
      </c>
      <c r="Z42" s="24">
        <f t="shared" si="8"/>
        <v>1257.5700000000002</v>
      </c>
      <c r="AA42" s="24">
        <f t="shared" si="9"/>
        <v>2543.4</v>
      </c>
      <c r="AB42" s="21"/>
      <c r="AC42" s="21"/>
      <c r="AD42" s="21"/>
      <c r="AE42" s="21"/>
      <c r="AF42" s="21"/>
      <c r="AG42" s="21"/>
      <c r="AH42" s="24"/>
      <c r="AI42" s="24"/>
      <c r="AJ42" s="21">
        <v>2544.6999999999998</v>
      </c>
      <c r="AK42" s="21">
        <v>100</v>
      </c>
      <c r="AL42" s="22" t="s">
        <v>161</v>
      </c>
      <c r="AM42" s="22">
        <v>0.11</v>
      </c>
      <c r="AN42" s="22" t="s">
        <v>1357</v>
      </c>
      <c r="AO42" s="22" t="s">
        <v>1357</v>
      </c>
      <c r="AP42" s="22" t="s">
        <v>162</v>
      </c>
      <c r="AQ42" s="22" t="str">
        <f t="shared" si="10"/>
        <v>Microphytoplankton</v>
      </c>
      <c r="AR42" s="22">
        <v>0</v>
      </c>
      <c r="AS42" s="22">
        <v>0</v>
      </c>
      <c r="AT42" s="22">
        <v>0</v>
      </c>
      <c r="AU42" s="22">
        <v>1</v>
      </c>
      <c r="AV42" s="22">
        <v>1</v>
      </c>
      <c r="AW42" s="22">
        <v>0</v>
      </c>
      <c r="AX42" s="22">
        <v>0</v>
      </c>
      <c r="AY42" s="22">
        <v>1</v>
      </c>
      <c r="BH42" s="22">
        <f t="shared" si="0"/>
        <v>2.0224719101123592</v>
      </c>
    </row>
    <row r="43" spans="1:65" s="22" customFormat="1" ht="13">
      <c r="A43" s="21" t="s">
        <v>3396</v>
      </c>
      <c r="B43" s="22" t="s">
        <v>663</v>
      </c>
      <c r="C43" s="23" t="s">
        <v>2223</v>
      </c>
      <c r="D43" s="22" t="s">
        <v>3188</v>
      </c>
      <c r="E43" s="23" t="s">
        <v>3189</v>
      </c>
      <c r="F43" s="23" t="s">
        <v>3190</v>
      </c>
      <c r="G43" s="23" t="s">
        <v>3191</v>
      </c>
      <c r="H43" s="23" t="s">
        <v>3392</v>
      </c>
      <c r="I43" s="22" t="s">
        <v>50</v>
      </c>
      <c r="J43" s="22" t="s">
        <v>3397</v>
      </c>
      <c r="M43" s="22" t="s">
        <v>1</v>
      </c>
      <c r="N43" s="22" t="s">
        <v>475</v>
      </c>
      <c r="O43" s="22" t="s">
        <v>3196</v>
      </c>
      <c r="P43" s="21">
        <v>90211</v>
      </c>
      <c r="Q43" s="21">
        <v>21</v>
      </c>
      <c r="R43" s="21">
        <v>12</v>
      </c>
      <c r="S43" s="21">
        <v>12</v>
      </c>
      <c r="T43" s="21" t="s">
        <v>160</v>
      </c>
      <c r="U43" s="21">
        <v>1</v>
      </c>
      <c r="V43" s="21">
        <v>1</v>
      </c>
      <c r="W43" s="24">
        <f>3.14*R43*Q43+2*3.14*(S43/2)^2/V43</f>
        <v>1017.36</v>
      </c>
      <c r="X43" s="25">
        <f>(3.14/4*R43^2*Q43)*U43</f>
        <v>2373.84</v>
      </c>
      <c r="Y43" s="21">
        <v>10</v>
      </c>
      <c r="Z43" s="24">
        <f t="shared" si="8"/>
        <v>10173.6</v>
      </c>
      <c r="AA43" s="24">
        <f t="shared" si="9"/>
        <v>23738.400000000001</v>
      </c>
      <c r="AB43" s="21">
        <v>207</v>
      </c>
      <c r="AC43" s="21">
        <v>12</v>
      </c>
      <c r="AD43" s="21">
        <v>12</v>
      </c>
      <c r="AE43" s="21" t="s">
        <v>160</v>
      </c>
      <c r="AF43" s="21">
        <v>1</v>
      </c>
      <c r="AG43" s="21">
        <v>1</v>
      </c>
      <c r="AH43" s="24">
        <f>3.14*AC43*AB43+2*3.14*(AD43/2)^2/AG43</f>
        <v>8025.84</v>
      </c>
      <c r="AI43" s="25">
        <f>(3.14/4*AC43^2*AB43)*AF43</f>
        <v>23399.280000000002</v>
      </c>
      <c r="AJ43" s="21">
        <v>23399.200000000001</v>
      </c>
      <c r="AK43" s="21">
        <v>207</v>
      </c>
      <c r="AL43" s="22" t="s">
        <v>161</v>
      </c>
      <c r="AM43" s="22">
        <v>0.11</v>
      </c>
      <c r="AN43" s="22" t="s">
        <v>1357</v>
      </c>
      <c r="AO43" s="22" t="s">
        <v>1357</v>
      </c>
      <c r="AP43" s="22" t="s">
        <v>162</v>
      </c>
      <c r="AQ43" s="22" t="str">
        <f t="shared" si="10"/>
        <v>Microphytoplankton</v>
      </c>
      <c r="AR43" s="22">
        <v>0</v>
      </c>
      <c r="AS43" s="22">
        <v>0</v>
      </c>
      <c r="AT43" s="22">
        <v>0</v>
      </c>
      <c r="AU43" s="22">
        <v>1</v>
      </c>
      <c r="AV43" s="22">
        <v>1</v>
      </c>
      <c r="AW43" s="22">
        <v>0</v>
      </c>
      <c r="AX43" s="22">
        <v>0</v>
      </c>
      <c r="AY43" s="22">
        <v>1</v>
      </c>
      <c r="BH43" s="22">
        <f t="shared" si="0"/>
        <v>2.3333333333333335</v>
      </c>
    </row>
    <row r="44" spans="1:65" s="22" customFormat="1" ht="13">
      <c r="A44" s="21" t="s">
        <v>3398</v>
      </c>
      <c r="B44" s="22" t="s">
        <v>663</v>
      </c>
      <c r="C44" s="23" t="s">
        <v>2223</v>
      </c>
      <c r="D44" s="22" t="s">
        <v>3188</v>
      </c>
      <c r="E44" s="23" t="s">
        <v>3189</v>
      </c>
      <c r="F44" s="23" t="s">
        <v>3190</v>
      </c>
      <c r="G44" s="23" t="s">
        <v>3191</v>
      </c>
      <c r="H44" s="23" t="s">
        <v>3392</v>
      </c>
      <c r="I44" s="22" t="s">
        <v>50</v>
      </c>
      <c r="J44" s="22" t="s">
        <v>3399</v>
      </c>
      <c r="M44" s="22" t="s">
        <v>1</v>
      </c>
      <c r="N44" s="22" t="s">
        <v>475</v>
      </c>
      <c r="O44" s="22" t="s">
        <v>3196</v>
      </c>
      <c r="P44" s="22">
        <v>90220</v>
      </c>
      <c r="Q44" s="21">
        <v>14</v>
      </c>
      <c r="R44" s="21">
        <v>7</v>
      </c>
      <c r="S44" s="21">
        <v>7</v>
      </c>
      <c r="T44" s="21" t="s">
        <v>160</v>
      </c>
      <c r="U44" s="21">
        <v>1</v>
      </c>
      <c r="V44" s="21">
        <v>1</v>
      </c>
      <c r="W44" s="24">
        <f>3.14*R44*Q44+2*3.14*(S44/2)^2/V44</f>
        <v>384.65000000000003</v>
      </c>
      <c r="X44" s="25">
        <f>(3.14/4*R44^2*Q44)*U44</f>
        <v>538.51</v>
      </c>
      <c r="Y44" s="21">
        <v>10</v>
      </c>
      <c r="Z44" s="24">
        <f t="shared" si="8"/>
        <v>3846.5000000000005</v>
      </c>
      <c r="AA44" s="24">
        <f t="shared" si="9"/>
        <v>5385.1</v>
      </c>
      <c r="AB44" s="21">
        <v>142</v>
      </c>
      <c r="AC44" s="21">
        <v>7</v>
      </c>
      <c r="AD44" s="21">
        <v>7</v>
      </c>
      <c r="AE44" s="21" t="s">
        <v>160</v>
      </c>
      <c r="AF44" s="21">
        <v>1</v>
      </c>
      <c r="AG44" s="21">
        <v>1</v>
      </c>
      <c r="AH44" s="24">
        <f>3.14*AC44*AB44+2*3.14*(AD44/2)^2/AG44</f>
        <v>3198.0899999999997</v>
      </c>
      <c r="AI44" s="25">
        <f>(3.14/4*AC44^2*AB44)*AF44</f>
        <v>5462.0300000000007</v>
      </c>
      <c r="AJ44" s="21">
        <v>5464.8</v>
      </c>
      <c r="AK44" s="21">
        <v>142</v>
      </c>
      <c r="AL44" s="22" t="s">
        <v>161</v>
      </c>
      <c r="AM44" s="22">
        <v>0.11</v>
      </c>
      <c r="AN44" s="22" t="s">
        <v>1357</v>
      </c>
      <c r="AO44" s="22" t="s">
        <v>1357</v>
      </c>
      <c r="AP44" s="22" t="s">
        <v>162</v>
      </c>
      <c r="AQ44" s="22" t="str">
        <f t="shared" si="10"/>
        <v>Microphytoplankton</v>
      </c>
      <c r="AR44" s="22">
        <v>0</v>
      </c>
      <c r="AS44" s="22">
        <v>0</v>
      </c>
      <c r="AT44" s="22">
        <v>0</v>
      </c>
      <c r="AU44" s="22">
        <v>1</v>
      </c>
      <c r="AV44" s="22">
        <v>1</v>
      </c>
      <c r="AW44" s="22">
        <v>0</v>
      </c>
      <c r="AX44" s="22">
        <v>0</v>
      </c>
      <c r="AY44" s="22">
        <v>1</v>
      </c>
      <c r="AZ44" s="22">
        <v>0</v>
      </c>
      <c r="BA44" s="22">
        <v>0</v>
      </c>
      <c r="BB44" s="22">
        <v>0</v>
      </c>
      <c r="BC44" s="22">
        <v>3</v>
      </c>
      <c r="BD44" s="22">
        <v>5</v>
      </c>
      <c r="BE44" s="22">
        <v>2</v>
      </c>
      <c r="BH44" s="22">
        <f t="shared" si="0"/>
        <v>1.4</v>
      </c>
    </row>
    <row r="45" spans="1:65" s="22" customFormat="1" ht="13">
      <c r="A45" s="21" t="s">
        <v>3400</v>
      </c>
      <c r="B45" s="22" t="s">
        <v>663</v>
      </c>
      <c r="C45" s="23" t="s">
        <v>2223</v>
      </c>
      <c r="D45" s="22" t="s">
        <v>3188</v>
      </c>
      <c r="E45" s="23" t="s">
        <v>3189</v>
      </c>
      <c r="F45" s="23" t="s">
        <v>3190</v>
      </c>
      <c r="G45" s="23" t="s">
        <v>3191</v>
      </c>
      <c r="H45" s="23" t="s">
        <v>3392</v>
      </c>
      <c r="I45" s="22" t="s">
        <v>50</v>
      </c>
      <c r="J45" s="22" t="s">
        <v>3401</v>
      </c>
      <c r="M45" s="22" t="s">
        <v>1</v>
      </c>
      <c r="N45" s="22" t="s">
        <v>475</v>
      </c>
      <c r="O45" s="22" t="s">
        <v>3196</v>
      </c>
      <c r="P45" s="22">
        <v>90230</v>
      </c>
      <c r="Q45" s="21">
        <v>50</v>
      </c>
      <c r="R45" s="21">
        <v>27</v>
      </c>
      <c r="S45" s="21">
        <v>27</v>
      </c>
      <c r="T45" s="21" t="s">
        <v>160</v>
      </c>
      <c r="U45" s="21">
        <v>1</v>
      </c>
      <c r="V45" s="21">
        <v>1</v>
      </c>
      <c r="W45" s="24">
        <f>3.14*R45*Q45+2*3.14*(S45/2)^2/V45</f>
        <v>5383.53</v>
      </c>
      <c r="X45" s="25">
        <f>(3.14/4*R45^2*Q45)*U45</f>
        <v>28613.25</v>
      </c>
      <c r="Y45" s="21">
        <v>7</v>
      </c>
      <c r="Z45" s="24">
        <f t="shared" si="8"/>
        <v>37684.71</v>
      </c>
      <c r="AA45" s="24">
        <f t="shared" si="9"/>
        <v>200292.75</v>
      </c>
      <c r="AB45" s="21">
        <v>350</v>
      </c>
      <c r="AC45" s="21">
        <v>27</v>
      </c>
      <c r="AD45" s="21">
        <v>27</v>
      </c>
      <c r="AE45" s="21" t="s">
        <v>160</v>
      </c>
      <c r="AF45" s="21">
        <v>1</v>
      </c>
      <c r="AG45" s="21">
        <v>1</v>
      </c>
      <c r="AH45" s="24">
        <f>3.14*AC45*AB45+2*3.14*(AD45/2)^2/AG45</f>
        <v>30817.53</v>
      </c>
      <c r="AI45" s="25">
        <f>(3.14/4*AC45^2*AB45)*AF45</f>
        <v>200292.75</v>
      </c>
      <c r="AJ45" s="21">
        <v>200395</v>
      </c>
      <c r="AK45" s="21">
        <v>350</v>
      </c>
      <c r="AL45" s="22" t="s">
        <v>161</v>
      </c>
      <c r="AM45" s="22">
        <v>0.11</v>
      </c>
      <c r="AN45" s="22" t="s">
        <v>1357</v>
      </c>
      <c r="AO45" s="22" t="s">
        <v>1357</v>
      </c>
      <c r="AP45" s="22" t="s">
        <v>162</v>
      </c>
      <c r="AQ45" s="22" t="str">
        <f t="shared" si="10"/>
        <v>Microphytoplankton</v>
      </c>
      <c r="AR45" s="22">
        <v>0</v>
      </c>
      <c r="AS45" s="22">
        <v>0</v>
      </c>
      <c r="AT45" s="22">
        <v>0</v>
      </c>
      <c r="AU45" s="22">
        <v>1</v>
      </c>
      <c r="AV45" s="22">
        <v>1</v>
      </c>
      <c r="AW45" s="22">
        <v>0</v>
      </c>
      <c r="AX45" s="22">
        <v>0</v>
      </c>
      <c r="AY45" s="22">
        <v>1</v>
      </c>
      <c r="AZ45" s="22">
        <v>0</v>
      </c>
      <c r="BA45" s="22">
        <v>0</v>
      </c>
      <c r="BB45" s="22">
        <v>0</v>
      </c>
      <c r="BC45" s="22">
        <v>3</v>
      </c>
      <c r="BD45" s="22">
        <v>5</v>
      </c>
      <c r="BE45" s="22">
        <v>2</v>
      </c>
      <c r="BH45" s="22">
        <f t="shared" si="0"/>
        <v>5.3149606299212602</v>
      </c>
    </row>
    <row r="46" spans="1:65" s="22" customFormat="1" ht="28">
      <c r="A46" s="21" t="s">
        <v>548</v>
      </c>
      <c r="B46" s="22" t="s">
        <v>149</v>
      </c>
      <c r="C46" s="22" t="s">
        <v>150</v>
      </c>
      <c r="D46" s="23" t="s">
        <v>151</v>
      </c>
      <c r="E46" s="22" t="s">
        <v>61</v>
      </c>
      <c r="F46" s="22" t="s">
        <v>152</v>
      </c>
      <c r="G46" s="20" t="s">
        <v>153</v>
      </c>
      <c r="H46" s="22" t="s">
        <v>154</v>
      </c>
      <c r="I46" s="22" t="s">
        <v>549</v>
      </c>
      <c r="J46" s="22" t="s">
        <v>528</v>
      </c>
      <c r="N46" s="22" t="s">
        <v>550</v>
      </c>
      <c r="O46" s="22" t="s">
        <v>158</v>
      </c>
      <c r="P46" s="21">
        <v>11302</v>
      </c>
      <c r="Q46" s="21">
        <v>5</v>
      </c>
      <c r="R46" s="21">
        <v>1.3</v>
      </c>
      <c r="S46" s="21">
        <v>1.3</v>
      </c>
      <c r="T46" s="21" t="s">
        <v>160</v>
      </c>
      <c r="U46" s="21">
        <v>1</v>
      </c>
      <c r="V46" s="21">
        <v>1</v>
      </c>
      <c r="W46" s="24">
        <f>3.14*R46*Q46+2*3.14*(S46/2)^2/V46</f>
        <v>23.063300000000005</v>
      </c>
      <c r="X46" s="25">
        <f>(3.14/4*R46^2*Q46)*U46</f>
        <v>6.6332500000000003</v>
      </c>
      <c r="Y46" s="21">
        <v>20</v>
      </c>
      <c r="Z46" s="24">
        <f t="shared" si="8"/>
        <v>461.26600000000008</v>
      </c>
      <c r="AA46" s="24">
        <f t="shared" si="9"/>
        <v>132.66500000000002</v>
      </c>
      <c r="AB46" s="21">
        <v>100</v>
      </c>
      <c r="AC46" s="21">
        <v>1.3</v>
      </c>
      <c r="AD46" s="21">
        <v>1.3</v>
      </c>
      <c r="AE46" s="21" t="s">
        <v>160</v>
      </c>
      <c r="AF46" s="21">
        <v>1</v>
      </c>
      <c r="AG46" s="22">
        <v>1</v>
      </c>
      <c r="AH46" s="24">
        <f>3.14*AC46*AB46+2*3.14*(AD46/2)^2/AG46</f>
        <v>410.85330000000005</v>
      </c>
      <c r="AI46" s="25">
        <f>(3.14/4*AC46^2*AB46)*AF46</f>
        <v>132.66500000000002</v>
      </c>
      <c r="AJ46" s="21">
        <v>132.66500000000005</v>
      </c>
      <c r="AK46" s="21">
        <v>100</v>
      </c>
      <c r="AL46" s="22" t="s">
        <v>551</v>
      </c>
      <c r="AM46" s="22">
        <v>0.22</v>
      </c>
      <c r="AO46" s="22" t="s">
        <v>388</v>
      </c>
      <c r="AP46" s="22" t="s">
        <v>162</v>
      </c>
      <c r="AQ46" s="22" t="str">
        <f t="shared" si="10"/>
        <v>Microphytoplankton</v>
      </c>
      <c r="AR46" s="22">
        <v>0</v>
      </c>
      <c r="AS46" s="22">
        <v>0</v>
      </c>
      <c r="AT46" s="22">
        <v>0</v>
      </c>
      <c r="AU46" s="22">
        <v>1</v>
      </c>
      <c r="AV46" s="22">
        <v>1</v>
      </c>
      <c r="AW46" s="22">
        <v>0</v>
      </c>
      <c r="AX46" s="22">
        <v>0</v>
      </c>
      <c r="AY46" s="22">
        <v>1</v>
      </c>
      <c r="BH46" s="22">
        <f t="shared" si="0"/>
        <v>0.2876106194690265</v>
      </c>
    </row>
    <row r="47" spans="1:65" s="22" customFormat="1" ht="13">
      <c r="A47" s="22" t="s">
        <v>2434</v>
      </c>
      <c r="B47" s="22" t="s">
        <v>663</v>
      </c>
      <c r="C47" s="22" t="s">
        <v>2223</v>
      </c>
      <c r="D47" s="22" t="s">
        <v>2224</v>
      </c>
      <c r="E47" s="23" t="s">
        <v>63</v>
      </c>
      <c r="F47" s="23" t="s">
        <v>2225</v>
      </c>
      <c r="G47" s="23" t="s">
        <v>2226</v>
      </c>
      <c r="H47" s="38" t="s">
        <v>2231</v>
      </c>
      <c r="I47" s="22" t="s">
        <v>49</v>
      </c>
      <c r="J47" s="22" t="s">
        <v>211</v>
      </c>
      <c r="K47" s="22" t="s">
        <v>184</v>
      </c>
      <c r="L47" s="22" t="s">
        <v>245</v>
      </c>
      <c r="M47" s="22" t="s">
        <v>1</v>
      </c>
      <c r="N47" s="22" t="s">
        <v>228</v>
      </c>
      <c r="O47" s="22" t="s">
        <v>2229</v>
      </c>
      <c r="P47" s="21">
        <v>82222</v>
      </c>
      <c r="Q47" s="22">
        <v>12</v>
      </c>
      <c r="R47" s="22">
        <v>12</v>
      </c>
      <c r="S47" s="22">
        <v>4</v>
      </c>
      <c r="T47" s="22" t="s">
        <v>246</v>
      </c>
      <c r="U47" s="21">
        <v>1</v>
      </c>
      <c r="V47" s="21">
        <v>1</v>
      </c>
      <c r="W47" s="25">
        <f>4*3.14*(R47/2)*(Q47/2)/V47</f>
        <v>452.15999999999997</v>
      </c>
      <c r="X47" s="25">
        <f>(3.14/6*(Q47*S47*R47))*U47</f>
        <v>301.44</v>
      </c>
      <c r="Y47" s="21">
        <v>1</v>
      </c>
      <c r="Z47" s="24">
        <f t="shared" si="8"/>
        <v>452.15999999999997</v>
      </c>
      <c r="AA47" s="24">
        <f t="shared" si="9"/>
        <v>301.44</v>
      </c>
      <c r="AE47" s="21"/>
      <c r="AF47" s="21"/>
      <c r="AG47" s="21"/>
      <c r="AH47" s="25"/>
      <c r="AI47" s="25"/>
      <c r="AJ47" s="21">
        <v>904.31999999999994</v>
      </c>
      <c r="AK47" s="21">
        <v>12</v>
      </c>
      <c r="AL47" s="22" t="s">
        <v>161</v>
      </c>
      <c r="AM47" s="22">
        <v>0.16</v>
      </c>
      <c r="AN47" s="22" t="s">
        <v>1364</v>
      </c>
      <c r="AO47" s="22" t="s">
        <v>1364</v>
      </c>
      <c r="AP47" s="22" t="s">
        <v>162</v>
      </c>
      <c r="AQ47" s="22" t="str">
        <f t="shared" si="10"/>
        <v>Nanophytoplankton</v>
      </c>
      <c r="AR47" s="22">
        <v>0</v>
      </c>
      <c r="AS47" s="22">
        <v>0</v>
      </c>
      <c r="AT47" s="22">
        <v>0</v>
      </c>
      <c r="AU47" s="22">
        <v>1</v>
      </c>
      <c r="AV47" s="22">
        <v>0</v>
      </c>
      <c r="AW47" s="22">
        <v>0</v>
      </c>
      <c r="AX47" s="22">
        <v>0</v>
      </c>
      <c r="AY47" s="22">
        <v>1</v>
      </c>
      <c r="BH47" s="22">
        <f t="shared" si="0"/>
        <v>0.66666666666666674</v>
      </c>
    </row>
    <row r="48" spans="1:65" s="22" customFormat="1" ht="13">
      <c r="A48" s="21" t="s">
        <v>1642</v>
      </c>
      <c r="B48" s="22" t="s">
        <v>663</v>
      </c>
      <c r="C48" s="23" t="s">
        <v>822</v>
      </c>
      <c r="D48" s="23" t="s">
        <v>965</v>
      </c>
      <c r="E48" s="22" t="s">
        <v>62</v>
      </c>
      <c r="F48" s="22" t="s">
        <v>1424</v>
      </c>
      <c r="G48" s="23" t="s">
        <v>1553</v>
      </c>
      <c r="H48" s="23" t="s">
        <v>1554</v>
      </c>
      <c r="I48" s="22" t="s">
        <v>42</v>
      </c>
      <c r="J48" s="21" t="s">
        <v>211</v>
      </c>
      <c r="K48" s="21"/>
      <c r="L48" s="21"/>
      <c r="M48" s="22" t="s">
        <v>1</v>
      </c>
      <c r="N48" s="22" t="s">
        <v>1643</v>
      </c>
      <c r="O48" s="22" t="s">
        <v>1430</v>
      </c>
      <c r="P48" s="21">
        <v>70200</v>
      </c>
      <c r="Q48" s="21">
        <v>5</v>
      </c>
      <c r="R48" s="21">
        <v>5</v>
      </c>
      <c r="S48" s="21">
        <v>2.5</v>
      </c>
      <c r="T48" s="21" t="s">
        <v>160</v>
      </c>
      <c r="U48" s="21">
        <v>1</v>
      </c>
      <c r="V48" s="22">
        <v>1</v>
      </c>
      <c r="W48" s="24">
        <f>3.14*R48*Q48+2*3.14*(S48/2)^2/V48</f>
        <v>88.3125</v>
      </c>
      <c r="X48" s="25">
        <f>(3.14/4*R48^2*Q48)*U48</f>
        <v>98.125</v>
      </c>
      <c r="Y48" s="21">
        <v>1</v>
      </c>
      <c r="Z48" s="24">
        <f t="shared" si="8"/>
        <v>88.3125</v>
      </c>
      <c r="AA48" s="24">
        <f t="shared" si="9"/>
        <v>98.125</v>
      </c>
      <c r="AB48" s="21"/>
      <c r="AC48" s="21"/>
      <c r="AD48" s="21"/>
      <c r="AE48" s="21"/>
      <c r="AF48" s="21" t="s">
        <v>247</v>
      </c>
      <c r="AG48" s="21"/>
      <c r="AH48" s="24"/>
      <c r="AI48" s="24"/>
      <c r="AJ48" s="21">
        <v>49.1</v>
      </c>
      <c r="AK48" s="21">
        <v>5</v>
      </c>
      <c r="AL48" s="22" t="s">
        <v>161</v>
      </c>
      <c r="AM48" s="22">
        <v>0.11</v>
      </c>
      <c r="AO48" s="22" t="s">
        <v>1529</v>
      </c>
      <c r="AP48" s="22" t="s">
        <v>1432</v>
      </c>
      <c r="AQ48" s="22" t="str">
        <f t="shared" si="10"/>
        <v>Nanophytoplankton</v>
      </c>
      <c r="AR48" s="22">
        <v>0</v>
      </c>
      <c r="AS48" s="22">
        <v>0</v>
      </c>
      <c r="AT48" s="22">
        <v>0</v>
      </c>
      <c r="AU48" s="22">
        <v>0</v>
      </c>
      <c r="AV48" s="22">
        <v>0</v>
      </c>
      <c r="AW48" s="22">
        <v>0</v>
      </c>
      <c r="AX48" s="22">
        <v>1</v>
      </c>
      <c r="AY48" s="22">
        <v>0</v>
      </c>
      <c r="AZ48" s="22">
        <v>4</v>
      </c>
      <c r="BA48" s="22">
        <v>4</v>
      </c>
      <c r="BB48" s="22">
        <v>1</v>
      </c>
      <c r="BC48" s="22">
        <v>1</v>
      </c>
      <c r="BD48" s="22">
        <v>0</v>
      </c>
      <c r="BE48" s="22">
        <v>0</v>
      </c>
      <c r="BH48" s="22">
        <f t="shared" si="0"/>
        <v>1.1111111111111112</v>
      </c>
    </row>
    <row r="49" spans="1:60" s="22" customFormat="1" ht="13">
      <c r="A49" s="21" t="s">
        <v>1920</v>
      </c>
      <c r="B49" s="22" t="s">
        <v>663</v>
      </c>
      <c r="C49" s="23" t="s">
        <v>822</v>
      </c>
      <c r="D49" s="23" t="s">
        <v>965</v>
      </c>
      <c r="E49" s="22" t="s">
        <v>62</v>
      </c>
      <c r="F49" s="23" t="s">
        <v>1434</v>
      </c>
      <c r="G49" s="23" t="s">
        <v>1662</v>
      </c>
      <c r="H49" s="23" t="s">
        <v>1890</v>
      </c>
      <c r="I49" s="22" t="s">
        <v>1891</v>
      </c>
      <c r="J49" s="22" t="s">
        <v>211</v>
      </c>
      <c r="M49" s="22" t="s">
        <v>1</v>
      </c>
      <c r="N49" s="22" t="s">
        <v>694</v>
      </c>
      <c r="O49" s="22" t="s">
        <v>1430</v>
      </c>
      <c r="P49" s="21">
        <v>71800</v>
      </c>
      <c r="Q49" s="21">
        <v>27</v>
      </c>
      <c r="R49" s="21">
        <v>8</v>
      </c>
      <c r="S49" s="21">
        <v>6</v>
      </c>
      <c r="T49" s="22" t="s">
        <v>330</v>
      </c>
      <c r="U49" s="21">
        <v>0.75</v>
      </c>
      <c r="V49" s="21">
        <v>0.75</v>
      </c>
      <c r="W49" s="25">
        <f>(Q49*R49*2+Q49*S49*2+R49*S49*2)/V49</f>
        <v>1136</v>
      </c>
      <c r="X49" s="25">
        <f>Q49*R49*S49*U49</f>
        <v>972</v>
      </c>
      <c r="Y49" s="21">
        <v>1</v>
      </c>
      <c r="Z49" s="24">
        <f t="shared" si="8"/>
        <v>1136</v>
      </c>
      <c r="AA49" s="24">
        <f t="shared" si="9"/>
        <v>972</v>
      </c>
      <c r="AB49" s="21"/>
      <c r="AC49" s="21"/>
      <c r="AD49" s="21"/>
      <c r="AE49" s="21"/>
      <c r="AF49" s="21" t="s">
        <v>247</v>
      </c>
      <c r="AG49" s="21"/>
      <c r="AH49" s="24"/>
      <c r="AI49" s="24"/>
      <c r="AJ49" s="21">
        <v>972</v>
      </c>
      <c r="AK49" s="21">
        <v>27</v>
      </c>
      <c r="AL49" s="22" t="s">
        <v>161</v>
      </c>
      <c r="AM49" s="22">
        <v>0.11</v>
      </c>
      <c r="AO49" s="22" t="s">
        <v>1447</v>
      </c>
      <c r="AP49" s="22" t="s">
        <v>1432</v>
      </c>
      <c r="AQ49" s="22" t="str">
        <f t="shared" si="10"/>
        <v>Microphytoplankton</v>
      </c>
      <c r="AR49" s="22">
        <v>1</v>
      </c>
      <c r="AS49" s="22">
        <v>0</v>
      </c>
      <c r="AT49" s="22">
        <v>1</v>
      </c>
      <c r="AU49" s="22">
        <v>0</v>
      </c>
      <c r="AV49" s="22">
        <v>0</v>
      </c>
      <c r="AW49" s="22">
        <v>0</v>
      </c>
      <c r="AX49" s="22">
        <v>1</v>
      </c>
      <c r="AY49" s="22">
        <v>0</v>
      </c>
      <c r="BH49" s="22">
        <f t="shared" si="0"/>
        <v>0.85563380281690138</v>
      </c>
    </row>
    <row r="50" spans="1:60" s="22" customFormat="1" ht="13">
      <c r="A50" s="21" t="s">
        <v>3335</v>
      </c>
      <c r="B50" s="22" t="s">
        <v>663</v>
      </c>
      <c r="C50" s="23" t="s">
        <v>2223</v>
      </c>
      <c r="D50" s="22" t="s">
        <v>3188</v>
      </c>
      <c r="E50" s="23" t="s">
        <v>3189</v>
      </c>
      <c r="F50" s="23" t="s">
        <v>3190</v>
      </c>
      <c r="G50" s="23" t="s">
        <v>3191</v>
      </c>
      <c r="H50" s="23" t="s">
        <v>3192</v>
      </c>
      <c r="I50" s="22" t="s">
        <v>3253</v>
      </c>
      <c r="J50" s="21" t="s">
        <v>211</v>
      </c>
      <c r="K50" s="21"/>
      <c r="L50" s="21"/>
      <c r="M50" s="22" t="s">
        <v>1</v>
      </c>
      <c r="N50" s="22" t="s">
        <v>2260</v>
      </c>
      <c r="O50" s="22" t="s">
        <v>3196</v>
      </c>
      <c r="P50" s="21">
        <v>90400</v>
      </c>
      <c r="Q50" s="21">
        <v>40</v>
      </c>
      <c r="R50" s="21">
        <v>40</v>
      </c>
      <c r="S50" s="21">
        <v>12</v>
      </c>
      <c r="T50" s="21" t="s">
        <v>281</v>
      </c>
      <c r="U50" s="21">
        <v>0.7</v>
      </c>
      <c r="V50" s="21">
        <v>0.7</v>
      </c>
      <c r="W50" s="24">
        <f>(4*3.14*(((Q50^1.6*R50^1.6+Q50^1.6*S50^1.6+R50^1.6+S50^1.6)/3)^(1/1.6)))*(1/V50)</f>
        <v>15756.720681234388</v>
      </c>
      <c r="X50" s="24">
        <f>3.14/6*Q50*R50*S50*U50</f>
        <v>7033.5999999999995</v>
      </c>
      <c r="Y50" s="21">
        <v>1</v>
      </c>
      <c r="Z50" s="24">
        <f t="shared" si="8"/>
        <v>15756.720681234388</v>
      </c>
      <c r="AA50" s="24">
        <f t="shared" si="9"/>
        <v>7033.5999999999995</v>
      </c>
      <c r="AB50" s="21"/>
      <c r="AC50" s="21"/>
      <c r="AD50" s="21"/>
      <c r="AE50" s="21"/>
      <c r="AF50" s="21"/>
      <c r="AG50" s="21"/>
      <c r="AH50" s="24"/>
      <c r="AI50" s="24"/>
      <c r="AJ50" s="21">
        <v>7037.2</v>
      </c>
      <c r="AK50" s="21">
        <v>40</v>
      </c>
      <c r="AL50" s="22" t="s">
        <v>161</v>
      </c>
      <c r="AM50" s="22">
        <v>0.11</v>
      </c>
      <c r="AN50" s="22" t="s">
        <v>2206</v>
      </c>
      <c r="AO50" s="22" t="s">
        <v>2206</v>
      </c>
      <c r="AP50" s="22" t="s">
        <v>162</v>
      </c>
      <c r="AQ50" s="22" t="str">
        <f t="shared" si="10"/>
        <v>Microphytoplankton</v>
      </c>
      <c r="AR50" s="22">
        <v>0</v>
      </c>
      <c r="AS50" s="22">
        <v>0</v>
      </c>
      <c r="AT50" s="22">
        <v>0</v>
      </c>
      <c r="AU50" s="22">
        <v>0</v>
      </c>
      <c r="AV50" s="22">
        <v>0</v>
      </c>
      <c r="AW50" s="22">
        <v>0</v>
      </c>
      <c r="AX50" s="22">
        <v>0</v>
      </c>
      <c r="AY50" s="22">
        <v>1</v>
      </c>
      <c r="BH50" s="22">
        <f t="shared" si="0"/>
        <v>0.44638729988891218</v>
      </c>
    </row>
    <row r="51" spans="1:60" s="22" customFormat="1" ht="13">
      <c r="A51" s="21" t="s">
        <v>3336</v>
      </c>
      <c r="B51" s="22" t="s">
        <v>663</v>
      </c>
      <c r="C51" s="23" t="s">
        <v>2223</v>
      </c>
      <c r="D51" s="22" t="s">
        <v>3188</v>
      </c>
      <c r="E51" s="23" t="s">
        <v>3189</v>
      </c>
      <c r="F51" s="23" t="s">
        <v>3190</v>
      </c>
      <c r="G51" s="23" t="s">
        <v>3191</v>
      </c>
      <c r="H51" s="23" t="s">
        <v>3192</v>
      </c>
      <c r="I51" s="22" t="s">
        <v>3253</v>
      </c>
      <c r="J51" s="21" t="s">
        <v>1175</v>
      </c>
      <c r="K51" s="21"/>
      <c r="L51" s="21"/>
      <c r="M51" s="22" t="s">
        <v>1</v>
      </c>
      <c r="N51" s="22" t="s">
        <v>3337</v>
      </c>
      <c r="O51" s="22" t="s">
        <v>3196</v>
      </c>
      <c r="P51" s="21">
        <v>90421</v>
      </c>
      <c r="Q51" s="21">
        <v>47</v>
      </c>
      <c r="R51" s="21">
        <v>34</v>
      </c>
      <c r="S51" s="21">
        <v>17</v>
      </c>
      <c r="T51" s="21" t="s">
        <v>281</v>
      </c>
      <c r="U51" s="21">
        <v>1</v>
      </c>
      <c r="V51" s="21">
        <v>1</v>
      </c>
      <c r="W51" s="24">
        <f>(4*3.14*(((Q51^1.6*R51^1.6+Q51^1.6*S51^1.6+R51^1.6+S51^1.6)/3)^(1/1.6)))*(1/V51)</f>
        <v>12087.052131335844</v>
      </c>
      <c r="X51" s="24">
        <f>3.14/6*Q51*R51*S51*U51</f>
        <v>14216.873333333335</v>
      </c>
      <c r="Y51" s="21">
        <v>1</v>
      </c>
      <c r="Z51" s="24">
        <f t="shared" si="8"/>
        <v>12087.052131335844</v>
      </c>
      <c r="AA51" s="24">
        <f t="shared" si="9"/>
        <v>14216.873333333335</v>
      </c>
      <c r="AB51" s="21"/>
      <c r="AC51" s="21"/>
      <c r="AD51" s="21"/>
      <c r="AE51" s="21"/>
      <c r="AF51" s="21"/>
      <c r="AG51" s="21"/>
      <c r="AH51" s="24"/>
      <c r="AI51" s="24"/>
      <c r="AJ51" s="21">
        <v>14224.1</v>
      </c>
      <c r="AK51" s="21">
        <v>47</v>
      </c>
      <c r="AL51" s="22" t="s">
        <v>161</v>
      </c>
      <c r="AM51" s="22">
        <v>0.11</v>
      </c>
      <c r="AN51" s="22" t="s">
        <v>2206</v>
      </c>
      <c r="AO51" s="22" t="s">
        <v>2206</v>
      </c>
      <c r="AP51" s="22" t="s">
        <v>162</v>
      </c>
      <c r="AQ51" s="22" t="str">
        <f t="shared" si="10"/>
        <v>Microphytoplankton</v>
      </c>
      <c r="AR51" s="22">
        <v>0</v>
      </c>
      <c r="AS51" s="22">
        <v>0</v>
      </c>
      <c r="AT51" s="22">
        <v>0</v>
      </c>
      <c r="AU51" s="22">
        <v>0</v>
      </c>
      <c r="AV51" s="22">
        <v>0</v>
      </c>
      <c r="AW51" s="22">
        <v>0</v>
      </c>
      <c r="AX51" s="22">
        <v>0</v>
      </c>
      <c r="AY51" s="22">
        <v>1</v>
      </c>
      <c r="BH51" s="22">
        <f t="shared" si="0"/>
        <v>1.1762068351203601</v>
      </c>
    </row>
    <row r="52" spans="1:60" s="22" customFormat="1" ht="13">
      <c r="A52" s="22" t="s">
        <v>3338</v>
      </c>
      <c r="B52" s="22" t="s">
        <v>663</v>
      </c>
      <c r="C52" s="23" t="s">
        <v>2223</v>
      </c>
      <c r="D52" s="22" t="s">
        <v>3188</v>
      </c>
      <c r="E52" s="23" t="s">
        <v>3189</v>
      </c>
      <c r="F52" s="23" t="s">
        <v>3190</v>
      </c>
      <c r="G52" s="23" t="s">
        <v>3191</v>
      </c>
      <c r="H52" s="23" t="s">
        <v>3192</v>
      </c>
      <c r="I52" s="22" t="s">
        <v>3253</v>
      </c>
      <c r="J52" s="22" t="s">
        <v>1556</v>
      </c>
      <c r="M52" s="22" t="s">
        <v>1</v>
      </c>
      <c r="N52" s="22" t="s">
        <v>3337</v>
      </c>
      <c r="O52" s="22" t="s">
        <v>3196</v>
      </c>
      <c r="P52" s="21">
        <v>90427</v>
      </c>
      <c r="Q52" s="22">
        <v>20</v>
      </c>
      <c r="R52" s="22">
        <v>20</v>
      </c>
      <c r="S52" s="22">
        <v>10</v>
      </c>
      <c r="T52" s="22" t="s">
        <v>159</v>
      </c>
      <c r="U52" s="22">
        <v>1</v>
      </c>
      <c r="V52" s="22">
        <v>1</v>
      </c>
      <c r="W52" s="24">
        <f>(4*3.14*(((Q52^1.6*R52^1.6+Q52^1.6*S52^1.6+R52^1.6+S52^1.6)/3)^(1/1.6)))*(1/V52)</f>
        <v>3037.182479401109</v>
      </c>
      <c r="X52" s="24">
        <f>3.14/6*Q52*R52*S52*U52</f>
        <v>2093.3333333333335</v>
      </c>
      <c r="Y52" s="21">
        <v>1</v>
      </c>
      <c r="Z52" s="24">
        <f t="shared" si="8"/>
        <v>3037.182479401109</v>
      </c>
      <c r="AA52" s="24">
        <f t="shared" si="9"/>
        <v>2093.3333333333335</v>
      </c>
      <c r="AH52" s="25"/>
      <c r="AI52" s="25"/>
      <c r="AJ52" s="21">
        <v>2093.3333333333335</v>
      </c>
      <c r="AK52" s="21">
        <v>20</v>
      </c>
      <c r="AL52" s="22" t="s">
        <v>161</v>
      </c>
      <c r="AM52" s="22">
        <v>0.11</v>
      </c>
      <c r="AN52" s="22" t="s">
        <v>2206</v>
      </c>
      <c r="AO52" s="22" t="s">
        <v>2206</v>
      </c>
      <c r="AP52" s="22" t="s">
        <v>162</v>
      </c>
      <c r="AQ52" s="22" t="str">
        <f t="shared" si="10"/>
        <v>Microphytoplankton</v>
      </c>
      <c r="AR52" s="22">
        <v>0</v>
      </c>
      <c r="AS52" s="22">
        <v>0</v>
      </c>
      <c r="AT52" s="22">
        <v>0</v>
      </c>
      <c r="AU52" s="22">
        <v>0</v>
      </c>
      <c r="AV52" s="22">
        <v>0</v>
      </c>
      <c r="AW52" s="22">
        <v>0</v>
      </c>
      <c r="AX52" s="22">
        <v>0</v>
      </c>
      <c r="AY52" s="22">
        <v>1</v>
      </c>
      <c r="BH52" s="22">
        <f t="shared" si="0"/>
        <v>0.68923528550912427</v>
      </c>
    </row>
    <row r="53" spans="1:60" s="22" customFormat="1" ht="13">
      <c r="A53" s="21" t="s">
        <v>1803</v>
      </c>
      <c r="B53" s="22" t="s">
        <v>663</v>
      </c>
      <c r="C53" s="23" t="s">
        <v>822</v>
      </c>
      <c r="D53" s="23" t="s">
        <v>965</v>
      </c>
      <c r="E53" s="22" t="s">
        <v>62</v>
      </c>
      <c r="F53" s="23" t="s">
        <v>1434</v>
      </c>
      <c r="G53" s="23" t="s">
        <v>1784</v>
      </c>
      <c r="H53" s="23" t="s">
        <v>1785</v>
      </c>
      <c r="I53" s="22" t="s">
        <v>1786</v>
      </c>
      <c r="J53" s="22" t="s">
        <v>211</v>
      </c>
      <c r="M53" s="22" t="s">
        <v>1</v>
      </c>
      <c r="N53" s="22" t="s">
        <v>1580</v>
      </c>
      <c r="O53" s="22" t="s">
        <v>1430</v>
      </c>
      <c r="P53" s="21">
        <v>74050</v>
      </c>
      <c r="Q53" s="21">
        <v>47</v>
      </c>
      <c r="R53" s="21">
        <v>5.5</v>
      </c>
      <c r="S53" s="21">
        <v>5.5</v>
      </c>
      <c r="T53" s="22" t="s">
        <v>330</v>
      </c>
      <c r="U53" s="21">
        <v>0.8</v>
      </c>
      <c r="V53" s="21">
        <v>0.8</v>
      </c>
      <c r="W53" s="25">
        <f t="shared" ref="W53:W58" si="11">(Q53*R53*2+Q53*S53*2+R53*S53*2)/V53</f>
        <v>1368.125</v>
      </c>
      <c r="X53" s="25">
        <f t="shared" ref="X53:X58" si="12">Q53*R53*S53*U53</f>
        <v>1137.4000000000001</v>
      </c>
      <c r="Y53" s="21">
        <v>1</v>
      </c>
      <c r="Z53" s="24">
        <f t="shared" si="8"/>
        <v>1368.125</v>
      </c>
      <c r="AA53" s="24">
        <f t="shared" si="9"/>
        <v>1137.4000000000001</v>
      </c>
      <c r="AB53" s="21"/>
      <c r="AC53" s="21"/>
      <c r="AD53" s="21"/>
      <c r="AE53" s="21"/>
      <c r="AF53" s="21" t="s">
        <v>247</v>
      </c>
      <c r="AG53" s="21"/>
      <c r="AH53" s="24"/>
      <c r="AI53" s="24"/>
      <c r="AJ53" s="21">
        <v>1137.4000000000001</v>
      </c>
      <c r="AK53" s="21">
        <v>47</v>
      </c>
      <c r="AL53" s="22" t="s">
        <v>161</v>
      </c>
      <c r="AM53" s="22">
        <v>0.11</v>
      </c>
      <c r="AO53" s="22" t="s">
        <v>383</v>
      </c>
      <c r="AP53" s="22" t="s">
        <v>1432</v>
      </c>
      <c r="AQ53" s="22" t="str">
        <f t="shared" si="10"/>
        <v>Microphytoplankton</v>
      </c>
      <c r="AR53" s="22">
        <v>1</v>
      </c>
      <c r="AS53" s="22">
        <v>0</v>
      </c>
      <c r="AT53" s="22">
        <v>1</v>
      </c>
      <c r="AU53" s="22">
        <v>1</v>
      </c>
      <c r="AV53" s="22">
        <v>0</v>
      </c>
      <c r="AW53" s="22">
        <v>0</v>
      </c>
      <c r="AX53" s="22">
        <v>1</v>
      </c>
      <c r="AY53" s="22">
        <v>0</v>
      </c>
      <c r="BH53" s="22">
        <f t="shared" si="0"/>
        <v>0.83135678391959811</v>
      </c>
    </row>
    <row r="54" spans="1:60" s="22" customFormat="1" ht="13">
      <c r="A54" s="21" t="s">
        <v>1812</v>
      </c>
      <c r="B54" s="22" t="s">
        <v>663</v>
      </c>
      <c r="C54" s="23" t="s">
        <v>822</v>
      </c>
      <c r="D54" s="23" t="s">
        <v>965</v>
      </c>
      <c r="E54" s="22" t="s">
        <v>62</v>
      </c>
      <c r="F54" s="23" t="s">
        <v>1499</v>
      </c>
      <c r="G54" s="23" t="s">
        <v>1500</v>
      </c>
      <c r="H54" s="23" t="s">
        <v>1501</v>
      </c>
      <c r="I54" s="22" t="s">
        <v>1805</v>
      </c>
      <c r="J54" s="21" t="s">
        <v>1813</v>
      </c>
      <c r="K54" s="21"/>
      <c r="L54" s="21"/>
      <c r="N54" s="22" t="s">
        <v>1814</v>
      </c>
      <c r="O54" s="22" t="s">
        <v>1430</v>
      </c>
      <c r="P54" s="21">
        <v>70610</v>
      </c>
      <c r="Q54" s="21">
        <v>32</v>
      </c>
      <c r="R54" s="21">
        <v>3</v>
      </c>
      <c r="S54" s="21">
        <v>3</v>
      </c>
      <c r="T54" s="22" t="s">
        <v>330</v>
      </c>
      <c r="U54" s="21">
        <v>0.6</v>
      </c>
      <c r="V54" s="21">
        <v>0.6</v>
      </c>
      <c r="W54" s="25">
        <f t="shared" si="11"/>
        <v>670</v>
      </c>
      <c r="X54" s="25">
        <f t="shared" si="12"/>
        <v>172.79999999999998</v>
      </c>
      <c r="Y54" s="21">
        <v>1</v>
      </c>
      <c r="Z54" s="24">
        <f t="shared" si="8"/>
        <v>670</v>
      </c>
      <c r="AA54" s="24">
        <f t="shared" si="9"/>
        <v>172.79999999999998</v>
      </c>
      <c r="AB54" s="21"/>
      <c r="AC54" s="21"/>
      <c r="AD54" s="21"/>
      <c r="AE54" s="21"/>
      <c r="AF54" s="21" t="s">
        <v>247</v>
      </c>
      <c r="AG54" s="21"/>
      <c r="AH54" s="24"/>
      <c r="AI54" s="24"/>
      <c r="AJ54" s="21">
        <v>172.8</v>
      </c>
      <c r="AK54" s="21">
        <v>100</v>
      </c>
      <c r="AL54" s="22" t="s">
        <v>161</v>
      </c>
      <c r="AM54" s="22">
        <v>0.11</v>
      </c>
      <c r="AO54" s="22" t="s">
        <v>383</v>
      </c>
      <c r="AP54" s="22" t="s">
        <v>1432</v>
      </c>
      <c r="AQ54" s="22" t="str">
        <f t="shared" si="10"/>
        <v>Microphytoplankton</v>
      </c>
      <c r="AR54" s="22">
        <v>0</v>
      </c>
      <c r="AS54" s="22">
        <v>0</v>
      </c>
      <c r="AT54" s="22">
        <v>0</v>
      </c>
      <c r="AU54" s="22">
        <v>1</v>
      </c>
      <c r="AV54" s="22">
        <v>0</v>
      </c>
      <c r="AW54" s="22">
        <v>0</v>
      </c>
      <c r="AX54" s="22">
        <v>1</v>
      </c>
      <c r="AY54" s="22">
        <v>0</v>
      </c>
      <c r="BH54" s="22">
        <f t="shared" si="0"/>
        <v>0.25791044776119398</v>
      </c>
    </row>
    <row r="55" spans="1:60" s="22" customFormat="1" ht="13">
      <c r="A55" s="21" t="s">
        <v>1815</v>
      </c>
      <c r="B55" s="22" t="s">
        <v>663</v>
      </c>
      <c r="C55" s="23" t="s">
        <v>822</v>
      </c>
      <c r="D55" s="23" t="s">
        <v>965</v>
      </c>
      <c r="E55" s="22" t="s">
        <v>62</v>
      </c>
      <c r="F55" s="23" t="s">
        <v>1499</v>
      </c>
      <c r="G55" s="23" t="s">
        <v>1500</v>
      </c>
      <c r="H55" s="23" t="s">
        <v>1501</v>
      </c>
      <c r="I55" s="22" t="s">
        <v>1805</v>
      </c>
      <c r="J55" s="35" t="s">
        <v>1813</v>
      </c>
      <c r="K55" s="21" t="s">
        <v>175</v>
      </c>
      <c r="L55" s="21" t="s">
        <v>1816</v>
      </c>
      <c r="N55" s="22" t="s">
        <v>1817</v>
      </c>
      <c r="O55" s="22" t="s">
        <v>1430</v>
      </c>
      <c r="P55" s="21">
        <v>70840</v>
      </c>
      <c r="Q55" s="21">
        <v>100</v>
      </c>
      <c r="R55" s="21">
        <v>3</v>
      </c>
      <c r="S55" s="21">
        <v>2</v>
      </c>
      <c r="T55" s="22" t="s">
        <v>330</v>
      </c>
      <c r="U55" s="21">
        <v>0.6</v>
      </c>
      <c r="V55" s="21">
        <v>0.6</v>
      </c>
      <c r="W55" s="25">
        <f t="shared" si="11"/>
        <v>1686.6666666666667</v>
      </c>
      <c r="X55" s="25">
        <f t="shared" si="12"/>
        <v>360</v>
      </c>
      <c r="Y55" s="21">
        <v>1</v>
      </c>
      <c r="Z55" s="24">
        <f t="shared" si="8"/>
        <v>1686.6666666666667</v>
      </c>
      <c r="AA55" s="24">
        <f t="shared" si="9"/>
        <v>360</v>
      </c>
      <c r="AB55" s="21"/>
      <c r="AC55" s="21"/>
      <c r="AD55" s="21"/>
      <c r="AE55" s="21"/>
      <c r="AF55" s="21" t="s">
        <v>247</v>
      </c>
      <c r="AG55" s="21"/>
      <c r="AH55" s="24"/>
      <c r="AI55" s="24"/>
      <c r="AJ55" s="21">
        <v>360</v>
      </c>
      <c r="AK55" s="21">
        <v>100</v>
      </c>
      <c r="AL55" s="22" t="s">
        <v>161</v>
      </c>
      <c r="AM55" s="22">
        <v>0.11</v>
      </c>
      <c r="AO55" s="22" t="s">
        <v>383</v>
      </c>
      <c r="AP55" s="22" t="s">
        <v>1432</v>
      </c>
      <c r="AQ55" s="22" t="str">
        <f t="shared" si="10"/>
        <v>Microphytoplankton</v>
      </c>
      <c r="AR55" s="22">
        <v>0</v>
      </c>
      <c r="AS55" s="22">
        <v>0</v>
      </c>
      <c r="AT55" s="22">
        <v>0</v>
      </c>
      <c r="AU55" s="22">
        <v>1</v>
      </c>
      <c r="AV55" s="22">
        <v>0</v>
      </c>
      <c r="AW55" s="22">
        <v>0</v>
      </c>
      <c r="AX55" s="22">
        <v>1</v>
      </c>
      <c r="AY55" s="22">
        <v>0</v>
      </c>
      <c r="BH55" s="22">
        <f t="shared" si="0"/>
        <v>0.2134387351778656</v>
      </c>
    </row>
    <row r="56" spans="1:60" s="22" customFormat="1" ht="13">
      <c r="A56" s="35" t="s">
        <v>1818</v>
      </c>
      <c r="B56" s="22" t="s">
        <v>663</v>
      </c>
      <c r="C56" s="23" t="s">
        <v>822</v>
      </c>
      <c r="D56" s="23" t="s">
        <v>965</v>
      </c>
      <c r="E56" s="22" t="s">
        <v>62</v>
      </c>
      <c r="F56" s="23" t="s">
        <v>1499</v>
      </c>
      <c r="G56" s="23" t="s">
        <v>1500</v>
      </c>
      <c r="H56" s="23" t="s">
        <v>1501</v>
      </c>
      <c r="I56" s="22" t="s">
        <v>1805</v>
      </c>
      <c r="J56" s="35" t="s">
        <v>1813</v>
      </c>
      <c r="K56" s="35" t="s">
        <v>175</v>
      </c>
      <c r="L56" s="35" t="s">
        <v>1819</v>
      </c>
      <c r="N56" s="22" t="s">
        <v>1820</v>
      </c>
      <c r="O56" s="22" t="s">
        <v>1430</v>
      </c>
      <c r="P56" s="21">
        <v>70611</v>
      </c>
      <c r="Q56" s="21">
        <v>30</v>
      </c>
      <c r="R56" s="21">
        <v>4.5</v>
      </c>
      <c r="S56" s="21">
        <v>3</v>
      </c>
      <c r="T56" s="22" t="s">
        <v>330</v>
      </c>
      <c r="U56" s="21">
        <v>0.7</v>
      </c>
      <c r="V56" s="21">
        <v>0.7</v>
      </c>
      <c r="W56" s="25">
        <f t="shared" si="11"/>
        <v>681.42857142857144</v>
      </c>
      <c r="X56" s="25">
        <f t="shared" si="12"/>
        <v>283.5</v>
      </c>
      <c r="Y56" s="21">
        <v>1</v>
      </c>
      <c r="Z56" s="24">
        <f t="shared" si="8"/>
        <v>681.42857142857144</v>
      </c>
      <c r="AA56" s="24">
        <f t="shared" si="9"/>
        <v>283.5</v>
      </c>
      <c r="AB56" s="21"/>
      <c r="AC56" s="21"/>
      <c r="AD56" s="21"/>
      <c r="AE56" s="21"/>
      <c r="AF56" s="21" t="s">
        <v>247</v>
      </c>
      <c r="AG56" s="21"/>
      <c r="AH56" s="24"/>
      <c r="AI56" s="24"/>
      <c r="AJ56" s="21">
        <v>283.5</v>
      </c>
      <c r="AK56" s="21">
        <v>30</v>
      </c>
      <c r="AL56" s="22" t="s">
        <v>161</v>
      </c>
      <c r="AM56" s="22">
        <v>0.11</v>
      </c>
      <c r="AO56" s="22" t="s">
        <v>383</v>
      </c>
      <c r="AP56" s="22" t="s">
        <v>1432</v>
      </c>
      <c r="AQ56" s="22" t="str">
        <f t="shared" si="10"/>
        <v>Microphytoplankton</v>
      </c>
      <c r="AR56" s="22">
        <v>0</v>
      </c>
      <c r="AS56" s="22">
        <v>0</v>
      </c>
      <c r="AT56" s="22">
        <v>0</v>
      </c>
      <c r="AU56" s="22">
        <v>1</v>
      </c>
      <c r="AV56" s="22">
        <v>0</v>
      </c>
      <c r="AW56" s="22">
        <v>0</v>
      </c>
      <c r="AX56" s="22">
        <v>1</v>
      </c>
      <c r="AY56" s="22">
        <v>0</v>
      </c>
      <c r="BH56" s="22">
        <f t="shared" si="0"/>
        <v>0.41603773584905657</v>
      </c>
    </row>
    <row r="57" spans="1:60" s="22" customFormat="1" ht="13">
      <c r="A57" s="21" t="s">
        <v>2074</v>
      </c>
      <c r="B57" s="22" t="s">
        <v>663</v>
      </c>
      <c r="C57" s="23" t="s">
        <v>822</v>
      </c>
      <c r="D57" s="23" t="s">
        <v>965</v>
      </c>
      <c r="E57" s="22" t="s">
        <v>62</v>
      </c>
      <c r="F57" s="23" t="s">
        <v>1434</v>
      </c>
      <c r="G57" s="23" t="s">
        <v>1719</v>
      </c>
      <c r="H57" s="23" t="s">
        <v>1720</v>
      </c>
      <c r="I57" s="22" t="s">
        <v>43</v>
      </c>
      <c r="J57" s="21" t="s">
        <v>2075</v>
      </c>
      <c r="K57" s="21"/>
      <c r="L57" s="21"/>
      <c r="N57" s="22" t="s">
        <v>2076</v>
      </c>
      <c r="O57" s="22" t="s">
        <v>1430</v>
      </c>
      <c r="P57" s="21">
        <v>71930</v>
      </c>
      <c r="Q57" s="21">
        <v>320</v>
      </c>
      <c r="R57" s="21">
        <v>11</v>
      </c>
      <c r="S57" s="21">
        <v>6</v>
      </c>
      <c r="T57" s="22" t="s">
        <v>330</v>
      </c>
      <c r="U57" s="21">
        <v>0.75</v>
      </c>
      <c r="V57" s="21">
        <v>0.75</v>
      </c>
      <c r="W57" s="25">
        <f t="shared" si="11"/>
        <v>14682.666666666666</v>
      </c>
      <c r="X57" s="25">
        <f t="shared" si="12"/>
        <v>15840</v>
      </c>
      <c r="Y57" s="21">
        <v>1</v>
      </c>
      <c r="Z57" s="24">
        <f t="shared" si="8"/>
        <v>14682.666666666666</v>
      </c>
      <c r="AA57" s="24">
        <f t="shared" si="9"/>
        <v>15840</v>
      </c>
      <c r="AB57" s="21"/>
      <c r="AC57" s="21"/>
      <c r="AD57" s="21"/>
      <c r="AE57" s="21"/>
      <c r="AF57" s="21" t="s">
        <v>247</v>
      </c>
      <c r="AG57" s="21"/>
      <c r="AH57" s="24"/>
      <c r="AI57" s="24"/>
      <c r="AJ57" s="21">
        <v>15840</v>
      </c>
      <c r="AK57" s="21">
        <v>320</v>
      </c>
      <c r="AL57" s="22" t="s">
        <v>161</v>
      </c>
      <c r="AM57" s="22">
        <v>0.11</v>
      </c>
      <c r="AN57" s="22" t="s">
        <v>1762</v>
      </c>
      <c r="AO57" s="22" t="s">
        <v>383</v>
      </c>
      <c r="AP57" s="22" t="s">
        <v>1432</v>
      </c>
      <c r="AQ57" s="22" t="str">
        <f t="shared" si="10"/>
        <v>Microphytoplankton</v>
      </c>
      <c r="AR57" s="22">
        <v>1</v>
      </c>
      <c r="AS57" s="22">
        <v>0</v>
      </c>
      <c r="AT57" s="22">
        <v>1</v>
      </c>
      <c r="AU57" s="22">
        <v>0</v>
      </c>
      <c r="AV57" s="22">
        <v>0</v>
      </c>
      <c r="AW57" s="22">
        <v>0</v>
      </c>
      <c r="AX57" s="22">
        <v>1</v>
      </c>
      <c r="AY57" s="22">
        <v>0</v>
      </c>
      <c r="BH57" s="22">
        <f t="shared" si="0"/>
        <v>1.0788231020704686</v>
      </c>
    </row>
    <row r="58" spans="1:60" s="22" customFormat="1" ht="13">
      <c r="A58" s="21" t="s">
        <v>1804</v>
      </c>
      <c r="B58" s="22" t="s">
        <v>663</v>
      </c>
      <c r="C58" s="23" t="s">
        <v>822</v>
      </c>
      <c r="D58" s="23" t="s">
        <v>965</v>
      </c>
      <c r="E58" s="22" t="s">
        <v>62</v>
      </c>
      <c r="F58" s="23" t="s">
        <v>1499</v>
      </c>
      <c r="G58" s="23" t="s">
        <v>1500</v>
      </c>
      <c r="H58" s="23" t="s">
        <v>1501</v>
      </c>
      <c r="I58" s="22" t="s">
        <v>1805</v>
      </c>
      <c r="J58" s="21" t="s">
        <v>1787</v>
      </c>
      <c r="K58" s="21"/>
      <c r="L58" s="21"/>
      <c r="N58" s="22" t="s">
        <v>1806</v>
      </c>
      <c r="O58" s="22" t="s">
        <v>1430</v>
      </c>
      <c r="P58" s="21">
        <v>72910</v>
      </c>
      <c r="Q58" s="21">
        <v>80</v>
      </c>
      <c r="R58" s="21">
        <v>5</v>
      </c>
      <c r="S58" s="21">
        <v>3</v>
      </c>
      <c r="T58" s="22" t="s">
        <v>330</v>
      </c>
      <c r="U58" s="21">
        <v>0.6</v>
      </c>
      <c r="V58" s="21">
        <v>0.6</v>
      </c>
      <c r="W58" s="25">
        <f t="shared" si="11"/>
        <v>2183.3333333333335</v>
      </c>
      <c r="X58" s="25">
        <f t="shared" si="12"/>
        <v>720</v>
      </c>
      <c r="Y58" s="21">
        <v>1</v>
      </c>
      <c r="Z58" s="24">
        <f t="shared" si="8"/>
        <v>2183.3333333333335</v>
      </c>
      <c r="AA58" s="24">
        <f t="shared" si="9"/>
        <v>720</v>
      </c>
      <c r="AB58" s="21"/>
      <c r="AC58" s="21"/>
      <c r="AD58" s="21"/>
      <c r="AE58" s="21"/>
      <c r="AF58" s="21" t="s">
        <v>247</v>
      </c>
      <c r="AG58" s="21"/>
      <c r="AH58" s="24"/>
      <c r="AI58" s="24"/>
      <c r="AJ58" s="21">
        <v>720</v>
      </c>
      <c r="AK58" s="21">
        <v>80</v>
      </c>
      <c r="AL58" s="22" t="s">
        <v>161</v>
      </c>
      <c r="AM58" s="22">
        <v>0.11</v>
      </c>
      <c r="AO58" s="22" t="s">
        <v>383</v>
      </c>
      <c r="AP58" s="22" t="s">
        <v>1432</v>
      </c>
      <c r="AQ58" s="22" t="str">
        <f t="shared" si="10"/>
        <v>Microphytoplankton</v>
      </c>
      <c r="AR58" s="22">
        <v>0</v>
      </c>
      <c r="AS58" s="22">
        <v>0</v>
      </c>
      <c r="AT58" s="22">
        <v>0</v>
      </c>
      <c r="AU58" s="22">
        <v>1</v>
      </c>
      <c r="AV58" s="22">
        <v>0</v>
      </c>
      <c r="AW58" s="22">
        <v>0</v>
      </c>
      <c r="AX58" s="22">
        <v>1</v>
      </c>
      <c r="AY58" s="22">
        <v>0</v>
      </c>
      <c r="BH58" s="22">
        <f t="shared" si="0"/>
        <v>0.32977099236641216</v>
      </c>
    </row>
    <row r="59" spans="1:60" s="22" customFormat="1" ht="13">
      <c r="A59" s="22" t="s">
        <v>2215</v>
      </c>
      <c r="B59" s="22" t="s">
        <v>663</v>
      </c>
      <c r="C59" s="23" t="s">
        <v>822</v>
      </c>
      <c r="D59" s="23" t="s">
        <v>965</v>
      </c>
      <c r="E59" s="22" t="s">
        <v>62</v>
      </c>
      <c r="F59" s="23" t="s">
        <v>1499</v>
      </c>
      <c r="G59" s="23" t="s">
        <v>1500</v>
      </c>
      <c r="H59" s="23" t="s">
        <v>1501</v>
      </c>
      <c r="I59" s="23" t="s">
        <v>2216</v>
      </c>
      <c r="J59" s="22" t="s">
        <v>1868</v>
      </c>
      <c r="N59" s="37" t="s">
        <v>2217</v>
      </c>
      <c r="O59" s="22" t="s">
        <v>1430</v>
      </c>
      <c r="P59" s="22">
        <v>70990</v>
      </c>
      <c r="Q59" s="21">
        <v>180</v>
      </c>
      <c r="R59" s="21">
        <v>8</v>
      </c>
      <c r="S59" s="21">
        <v>5</v>
      </c>
      <c r="T59" s="22" t="s">
        <v>330</v>
      </c>
      <c r="U59" s="21">
        <v>0.7</v>
      </c>
      <c r="V59" s="21">
        <v>0.7</v>
      </c>
      <c r="W59" s="25">
        <f>(Q59*R59*2+Q59*S59*2+R59*S59*2)/V59</f>
        <v>6800</v>
      </c>
      <c r="X59" s="25">
        <f>Q59*R59*S59*U59</f>
        <v>5040</v>
      </c>
      <c r="Y59" s="21">
        <v>1</v>
      </c>
      <c r="Z59" s="24">
        <f t="shared" si="8"/>
        <v>6800</v>
      </c>
      <c r="AA59" s="24">
        <f t="shared" si="9"/>
        <v>5040</v>
      </c>
      <c r="AB59" s="21"/>
      <c r="AC59" s="21"/>
      <c r="AD59" s="21"/>
      <c r="AE59" s="21"/>
      <c r="AF59" s="21" t="s">
        <v>247</v>
      </c>
      <c r="AG59" s="21"/>
      <c r="AH59" s="24"/>
      <c r="AI59" s="24"/>
      <c r="AJ59" s="21">
        <v>5040</v>
      </c>
      <c r="AK59" s="21">
        <v>180</v>
      </c>
      <c r="AL59" s="22" t="s">
        <v>161</v>
      </c>
      <c r="AM59" s="22">
        <v>0.11</v>
      </c>
      <c r="AO59" s="22" t="s">
        <v>383</v>
      </c>
      <c r="AP59" s="22" t="s">
        <v>1432</v>
      </c>
      <c r="AQ59" s="22" t="str">
        <f t="shared" si="10"/>
        <v>Microphytoplankton</v>
      </c>
      <c r="AR59" s="22">
        <v>0</v>
      </c>
      <c r="AS59" s="22">
        <v>0</v>
      </c>
      <c r="AT59" s="22">
        <v>0</v>
      </c>
      <c r="AU59" s="22">
        <v>1</v>
      </c>
      <c r="AV59" s="22">
        <v>0</v>
      </c>
      <c r="AW59" s="22">
        <v>0</v>
      </c>
      <c r="AX59" s="22">
        <v>1</v>
      </c>
      <c r="AY59" s="22">
        <v>0</v>
      </c>
      <c r="BH59" s="22">
        <f t="shared" si="0"/>
        <v>0.74117647058823533</v>
      </c>
    </row>
    <row r="60" spans="1:60" s="22" customFormat="1" ht="13">
      <c r="A60" s="21" t="s">
        <v>2777</v>
      </c>
      <c r="B60" s="22" t="s">
        <v>663</v>
      </c>
      <c r="C60" s="22" t="s">
        <v>2223</v>
      </c>
      <c r="D60" s="22" t="s">
        <v>2224</v>
      </c>
      <c r="E60" s="23" t="s">
        <v>63</v>
      </c>
      <c r="F60" s="23" t="s">
        <v>2225</v>
      </c>
      <c r="G60" s="23" t="s">
        <v>2284</v>
      </c>
      <c r="H60" s="23" t="s">
        <v>2534</v>
      </c>
      <c r="I60" s="22" t="s">
        <v>2778</v>
      </c>
      <c r="J60" s="22" t="s">
        <v>2779</v>
      </c>
      <c r="N60" s="22" t="s">
        <v>2003</v>
      </c>
      <c r="O60" s="22" t="s">
        <v>2229</v>
      </c>
      <c r="P60" s="21">
        <v>80610</v>
      </c>
      <c r="Q60" s="21">
        <v>15</v>
      </c>
      <c r="R60" s="21">
        <v>15</v>
      </c>
      <c r="S60" s="21">
        <v>15</v>
      </c>
      <c r="T60" s="21" t="s">
        <v>281</v>
      </c>
      <c r="U60" s="21">
        <v>1</v>
      </c>
      <c r="V60" s="21">
        <v>1</v>
      </c>
      <c r="W60" s="24">
        <f>(4*3.14*(((Q60^1.6*R60^1.6+Q60^1.6*S60^1.6+R60^1.6+S60^1.6)/3)^(1/1.6)))*(1/V60)</f>
        <v>2211.3412553863004</v>
      </c>
      <c r="X60" s="24">
        <f>3.14/6*Q60*R60*S60*U60</f>
        <v>1766.25</v>
      </c>
      <c r="Y60" s="21">
        <v>16</v>
      </c>
      <c r="Z60" s="24">
        <f t="shared" si="8"/>
        <v>35381.460086180807</v>
      </c>
      <c r="AA60" s="24">
        <f t="shared" si="9"/>
        <v>28260</v>
      </c>
      <c r="AB60" s="21">
        <v>70</v>
      </c>
      <c r="AC60" s="21">
        <v>70</v>
      </c>
      <c r="AD60" s="21">
        <v>70</v>
      </c>
      <c r="AE60" s="21" t="s">
        <v>246</v>
      </c>
      <c r="AF60" s="22">
        <v>0.7</v>
      </c>
      <c r="AG60" s="21">
        <v>1</v>
      </c>
      <c r="AH60" s="25">
        <f>4*3.14*(AC60/2)*(AB60/2)/AG60</f>
        <v>15386</v>
      </c>
      <c r="AI60" s="25">
        <f>(3.14/6*(AD60*AB60*AC60))*AF60</f>
        <v>125652.33333333331</v>
      </c>
      <c r="AJ60" s="21">
        <v>28274.3</v>
      </c>
      <c r="AK60" s="21">
        <v>70</v>
      </c>
      <c r="AL60" s="22" t="s">
        <v>161</v>
      </c>
      <c r="AM60" s="22">
        <v>0.16</v>
      </c>
      <c r="AN60" s="22" t="s">
        <v>2282</v>
      </c>
      <c r="AO60" s="22" t="s">
        <v>2289</v>
      </c>
      <c r="AP60" s="22" t="s">
        <v>673</v>
      </c>
      <c r="AQ60" s="22" t="str">
        <f t="shared" si="10"/>
        <v>Microphytoplankton</v>
      </c>
      <c r="AR60" s="22">
        <v>1</v>
      </c>
      <c r="AS60" s="22">
        <v>1</v>
      </c>
      <c r="AT60" s="22">
        <v>0</v>
      </c>
      <c r="AU60" s="22">
        <v>1</v>
      </c>
      <c r="AV60" s="22">
        <v>0</v>
      </c>
      <c r="AW60" s="22">
        <v>0</v>
      </c>
      <c r="AX60" s="22">
        <v>0</v>
      </c>
      <c r="AY60" s="22">
        <v>1</v>
      </c>
      <c r="AZ60" s="22">
        <v>0</v>
      </c>
      <c r="BA60" s="22">
        <v>0</v>
      </c>
      <c r="BB60" s="22">
        <v>0</v>
      </c>
      <c r="BC60" s="22">
        <v>1</v>
      </c>
      <c r="BD60" s="22">
        <v>2</v>
      </c>
      <c r="BE60" s="22">
        <v>7</v>
      </c>
      <c r="BH60" s="22">
        <f t="shared" si="0"/>
        <v>0.79872339725848995</v>
      </c>
    </row>
    <row r="61" spans="1:60" s="22" customFormat="1" ht="13">
      <c r="A61" s="21" t="s">
        <v>2780</v>
      </c>
      <c r="B61" s="22" t="s">
        <v>663</v>
      </c>
      <c r="C61" s="22" t="s">
        <v>2223</v>
      </c>
      <c r="D61" s="22" t="s">
        <v>2224</v>
      </c>
      <c r="E61" s="23" t="s">
        <v>63</v>
      </c>
      <c r="F61" s="23" t="s">
        <v>2225</v>
      </c>
      <c r="G61" s="23" t="s">
        <v>2284</v>
      </c>
      <c r="H61" s="23" t="s">
        <v>2534</v>
      </c>
      <c r="I61" s="22" t="s">
        <v>2778</v>
      </c>
      <c r="J61" s="22" t="s">
        <v>2779</v>
      </c>
      <c r="K61" s="22" t="s">
        <v>175</v>
      </c>
      <c r="L61" s="22" t="s">
        <v>530</v>
      </c>
      <c r="N61" s="22" t="s">
        <v>2781</v>
      </c>
      <c r="O61" s="22" t="s">
        <v>2229</v>
      </c>
      <c r="P61" s="21">
        <v>80611</v>
      </c>
      <c r="Q61" s="21">
        <v>15</v>
      </c>
      <c r="R61" s="21">
        <v>15</v>
      </c>
      <c r="S61" s="21">
        <v>15</v>
      </c>
      <c r="T61" s="21" t="s">
        <v>977</v>
      </c>
      <c r="U61" s="21">
        <v>1</v>
      </c>
      <c r="V61" s="21">
        <v>1</v>
      </c>
      <c r="W61" s="24">
        <f>(4*3.14*(((Q61^1.6*R61^1.6+Q61^1.6*S61^1.6+R61^1.6+S61^1.6)/3)^(1/1.6)))*(1/V61)</f>
        <v>2211.3412553863004</v>
      </c>
      <c r="X61" s="24">
        <f>3.14/12*Q61*R61*S61*U61</f>
        <v>883.125</v>
      </c>
      <c r="Y61" s="21">
        <v>20</v>
      </c>
      <c r="Z61" s="24">
        <f t="shared" si="8"/>
        <v>44226.825107726007</v>
      </c>
      <c r="AA61" s="24">
        <f t="shared" si="9"/>
        <v>17662.5</v>
      </c>
      <c r="AB61" s="21">
        <v>80</v>
      </c>
      <c r="AC61" s="21">
        <v>80</v>
      </c>
      <c r="AD61" s="21">
        <v>80</v>
      </c>
      <c r="AE61" s="21" t="s">
        <v>246</v>
      </c>
      <c r="AF61" s="22">
        <v>0.7</v>
      </c>
      <c r="AG61" s="21">
        <v>1</v>
      </c>
      <c r="AH61" s="25">
        <f>4*3.14*(AC61/2)*(AB61/2)/AG61</f>
        <v>20096</v>
      </c>
      <c r="AI61" s="25">
        <f>(3.14/6*(AD61*AB61*AC61))*AF61</f>
        <v>187562.66666666666</v>
      </c>
      <c r="AJ61" s="21">
        <v>17662.5</v>
      </c>
      <c r="AK61" s="21">
        <v>80</v>
      </c>
      <c r="AL61" s="22" t="s">
        <v>2782</v>
      </c>
      <c r="AM61" s="22">
        <v>0.16</v>
      </c>
      <c r="AN61" s="22" t="s">
        <v>2282</v>
      </c>
      <c r="AO61" s="22" t="s">
        <v>2289</v>
      </c>
      <c r="AP61" s="22" t="s">
        <v>673</v>
      </c>
      <c r="AQ61" s="22" t="str">
        <f t="shared" si="10"/>
        <v>Microphytoplankton</v>
      </c>
      <c r="AR61" s="22">
        <v>1</v>
      </c>
      <c r="AS61" s="22">
        <v>1</v>
      </c>
      <c r="AT61" s="22">
        <v>0</v>
      </c>
      <c r="AU61" s="22">
        <v>1</v>
      </c>
      <c r="AV61" s="22">
        <v>0</v>
      </c>
      <c r="AW61" s="22">
        <v>0</v>
      </c>
      <c r="AX61" s="22">
        <v>0</v>
      </c>
      <c r="AY61" s="22">
        <v>1</v>
      </c>
      <c r="BH61" s="22">
        <f t="shared" si="0"/>
        <v>0.39936169862924498</v>
      </c>
    </row>
    <row r="62" spans="1:60" s="22" customFormat="1" ht="14">
      <c r="A62" s="21" t="s">
        <v>187</v>
      </c>
      <c r="B62" s="22" t="s">
        <v>149</v>
      </c>
      <c r="C62" s="22" t="s">
        <v>150</v>
      </c>
      <c r="D62" s="23" t="s">
        <v>151</v>
      </c>
      <c r="E62" s="22" t="s">
        <v>61</v>
      </c>
      <c r="F62" s="22" t="s">
        <v>152</v>
      </c>
      <c r="G62" s="20" t="s">
        <v>164</v>
      </c>
      <c r="H62" s="26" t="s">
        <v>165</v>
      </c>
      <c r="I62" s="22" t="s">
        <v>32</v>
      </c>
      <c r="J62" s="21" t="s">
        <v>188</v>
      </c>
      <c r="K62" s="21"/>
      <c r="L62" s="21"/>
      <c r="N62" s="22" t="s">
        <v>189</v>
      </c>
      <c r="O62" s="22" t="s">
        <v>158</v>
      </c>
      <c r="P62" s="21">
        <v>10720</v>
      </c>
      <c r="Q62" s="22">
        <v>5</v>
      </c>
      <c r="R62" s="22">
        <v>5</v>
      </c>
      <c r="S62" s="22">
        <v>5</v>
      </c>
      <c r="T62" s="21" t="s">
        <v>159</v>
      </c>
      <c r="U62" s="21">
        <v>1</v>
      </c>
      <c r="V62" s="21">
        <v>1</v>
      </c>
      <c r="W62" s="24">
        <f>(4*3.14*(((Q62^1.6*R62^1.6+Q62^1.6*S62^1.6+R62^1.6+S62^1.6)/3)^(1/1.6)))*(1/V62)</f>
        <v>255.14798814971115</v>
      </c>
      <c r="X62" s="24">
        <f>3.14/6*Q62*R62*S62*U62</f>
        <v>65.416666666666671</v>
      </c>
      <c r="Y62" s="21">
        <v>20</v>
      </c>
      <c r="Z62" s="24">
        <f t="shared" si="8"/>
        <v>5102.9597629942227</v>
      </c>
      <c r="AA62" s="24">
        <f t="shared" si="9"/>
        <v>1308.3333333333335</v>
      </c>
      <c r="AB62" s="22">
        <v>100</v>
      </c>
      <c r="AC62" s="22">
        <v>5</v>
      </c>
      <c r="AD62" s="22">
        <v>5</v>
      </c>
      <c r="AE62" s="21" t="s">
        <v>160</v>
      </c>
      <c r="AF62" s="21">
        <v>1</v>
      </c>
      <c r="AG62" s="21">
        <v>1</v>
      </c>
      <c r="AH62" s="24">
        <f>3.14*AC62*AB62+2*3.14*(AD62/2)^2/AG62</f>
        <v>1609.25</v>
      </c>
      <c r="AI62" s="25">
        <f>(3.14/4*AC62^2*AB62)*AF62</f>
        <v>1962.5</v>
      </c>
      <c r="AJ62" s="21">
        <v>1570.8</v>
      </c>
      <c r="AK62" s="21">
        <v>100</v>
      </c>
      <c r="AL62" s="22" t="s">
        <v>161</v>
      </c>
      <c r="AM62" s="22">
        <v>0.22</v>
      </c>
      <c r="AN62" s="22" t="s">
        <v>168</v>
      </c>
      <c r="AO62" s="22" t="s">
        <v>168</v>
      </c>
      <c r="AP62" s="22" t="s">
        <v>169</v>
      </c>
      <c r="AQ62" s="22" t="str">
        <f t="shared" si="10"/>
        <v>Microphytoplankton</v>
      </c>
      <c r="AR62" s="22">
        <v>0</v>
      </c>
      <c r="AS62" s="22">
        <v>0</v>
      </c>
      <c r="AT62" s="22">
        <v>0</v>
      </c>
      <c r="AU62" s="22">
        <v>1</v>
      </c>
      <c r="AV62" s="22">
        <v>1</v>
      </c>
      <c r="AW62" s="22">
        <v>0</v>
      </c>
      <c r="AX62" s="22">
        <v>0</v>
      </c>
      <c r="AY62" s="22">
        <v>1</v>
      </c>
      <c r="BH62" s="22">
        <f t="shared" si="0"/>
        <v>0.25638715453355898</v>
      </c>
    </row>
    <row r="63" spans="1:60" s="22" customFormat="1" ht="14">
      <c r="A63" s="22" t="s">
        <v>190</v>
      </c>
      <c r="B63" s="22" t="s">
        <v>149</v>
      </c>
      <c r="C63" s="22" t="s">
        <v>150</v>
      </c>
      <c r="D63" s="23" t="s">
        <v>151</v>
      </c>
      <c r="E63" s="22" t="s">
        <v>61</v>
      </c>
      <c r="F63" s="22" t="s">
        <v>152</v>
      </c>
      <c r="G63" s="20" t="s">
        <v>164</v>
      </c>
      <c r="H63" s="26" t="s">
        <v>165</v>
      </c>
      <c r="I63" s="22" t="s">
        <v>32</v>
      </c>
      <c r="J63" s="21" t="s">
        <v>188</v>
      </c>
      <c r="K63" s="22" t="s">
        <v>184</v>
      </c>
      <c r="L63" s="22" t="s">
        <v>191</v>
      </c>
      <c r="N63" s="22" t="s">
        <v>192</v>
      </c>
      <c r="O63" s="22" t="s">
        <v>158</v>
      </c>
      <c r="P63" s="22">
        <v>10733</v>
      </c>
      <c r="Q63" s="22">
        <v>3.5</v>
      </c>
      <c r="R63" s="22">
        <v>3.5</v>
      </c>
      <c r="S63" s="22">
        <v>3.5</v>
      </c>
      <c r="T63" s="21" t="s">
        <v>159</v>
      </c>
      <c r="U63" s="21">
        <v>1</v>
      </c>
      <c r="V63" s="21">
        <v>1</v>
      </c>
      <c r="W63" s="24">
        <f>(4*3.14*(((Q63^1.6*R63^1.6+Q63^1.6*S63^1.6+R63^1.6+S63^1.6)/3)^(1/1.6)))*(1/V63)</f>
        <v>129.23451491074422</v>
      </c>
      <c r="X63" s="24">
        <f>3.14/6*Q63*R63*S63*U63</f>
        <v>22.437916666666666</v>
      </c>
      <c r="Y63" s="21">
        <v>29</v>
      </c>
      <c r="Z63" s="24">
        <f t="shared" si="8"/>
        <v>3747.8009324115824</v>
      </c>
      <c r="AA63" s="24">
        <f t="shared" si="9"/>
        <v>650.69958333333329</v>
      </c>
      <c r="AB63" s="22">
        <v>100</v>
      </c>
      <c r="AC63" s="22">
        <v>3.5</v>
      </c>
      <c r="AD63" s="22">
        <v>3.5</v>
      </c>
      <c r="AE63" s="21" t="s">
        <v>160</v>
      </c>
      <c r="AF63" s="21">
        <v>1</v>
      </c>
      <c r="AG63" s="21">
        <v>1</v>
      </c>
      <c r="AH63" s="24">
        <f>3.14*AC63*AB63+2*3.14*(AD63/2)^2/AG63</f>
        <v>1118.2325000000001</v>
      </c>
      <c r="AI63" s="25">
        <f>(3.14/4*AC63^2*AB63)*AF63</f>
        <v>961.62500000000011</v>
      </c>
      <c r="AJ63" s="21">
        <v>961.62500000000011</v>
      </c>
      <c r="AK63" s="21">
        <v>100</v>
      </c>
      <c r="AL63" s="22" t="s">
        <v>161</v>
      </c>
      <c r="AM63" s="22">
        <v>0.22</v>
      </c>
      <c r="AN63" s="22" t="s">
        <v>193</v>
      </c>
      <c r="AO63" s="22" t="s">
        <v>193</v>
      </c>
      <c r="AP63" s="22" t="s">
        <v>169</v>
      </c>
      <c r="AQ63" s="22" t="str">
        <f t="shared" si="10"/>
        <v>Microphytoplankton</v>
      </c>
      <c r="AR63" s="22">
        <v>0</v>
      </c>
      <c r="AS63" s="22">
        <v>0</v>
      </c>
      <c r="AT63" s="22">
        <v>0</v>
      </c>
      <c r="AU63" s="22">
        <v>1</v>
      </c>
      <c r="AV63" s="22">
        <v>1</v>
      </c>
      <c r="AW63" s="22">
        <v>0</v>
      </c>
      <c r="AX63" s="22">
        <v>0</v>
      </c>
      <c r="AY63" s="22">
        <v>1</v>
      </c>
      <c r="BH63" s="22">
        <f t="shared" si="0"/>
        <v>0.17362170378527289</v>
      </c>
    </row>
    <row r="64" spans="1:60" s="22" customFormat="1" ht="14">
      <c r="A64" s="21" t="s">
        <v>194</v>
      </c>
      <c r="B64" s="44" t="s">
        <v>149</v>
      </c>
      <c r="C64" s="22" t="s">
        <v>150</v>
      </c>
      <c r="D64" s="23" t="s">
        <v>151</v>
      </c>
      <c r="E64" s="22" t="s">
        <v>61</v>
      </c>
      <c r="F64" s="22" t="s">
        <v>152</v>
      </c>
      <c r="G64" s="20" t="s">
        <v>164</v>
      </c>
      <c r="H64" s="26" t="s">
        <v>165</v>
      </c>
      <c r="I64" s="22" t="s">
        <v>32</v>
      </c>
      <c r="J64" s="21" t="s">
        <v>188</v>
      </c>
      <c r="K64" s="21" t="s">
        <v>175</v>
      </c>
      <c r="L64" s="21" t="s">
        <v>195</v>
      </c>
      <c r="N64" s="22" t="s">
        <v>196</v>
      </c>
      <c r="O64" s="22" t="s">
        <v>158</v>
      </c>
      <c r="P64" s="21">
        <v>10750</v>
      </c>
      <c r="Q64" s="21">
        <v>3.5</v>
      </c>
      <c r="R64" s="21">
        <v>3.5</v>
      </c>
      <c r="S64" s="21">
        <v>3.5</v>
      </c>
      <c r="T64" s="21" t="s">
        <v>159</v>
      </c>
      <c r="U64" s="21">
        <v>1</v>
      </c>
      <c r="V64" s="21">
        <v>1</v>
      </c>
      <c r="W64" s="24">
        <f>(4*3.14*(((Q64^1.6*R64^1.6+Q64^1.6*S64^1.6+R64^1.6+S64^1.6)/3)^(1/1.6)))*(1/V64)</f>
        <v>129.23451491074422</v>
      </c>
      <c r="X64" s="24">
        <f>3.14/6*Q64*R64*S64*U64</f>
        <v>22.437916666666666</v>
      </c>
      <c r="Y64" s="21">
        <v>29</v>
      </c>
      <c r="Z64" s="24">
        <f t="shared" si="8"/>
        <v>3747.8009324115824</v>
      </c>
      <c r="AA64" s="24">
        <f t="shared" si="9"/>
        <v>650.69958333333329</v>
      </c>
      <c r="AB64" s="21">
        <v>100</v>
      </c>
      <c r="AC64" s="21">
        <v>3.5</v>
      </c>
      <c r="AD64" s="21">
        <v>3.5</v>
      </c>
      <c r="AE64" s="21" t="s">
        <v>160</v>
      </c>
      <c r="AF64" s="21">
        <v>1</v>
      </c>
      <c r="AG64" s="21">
        <v>1</v>
      </c>
      <c r="AH64" s="24">
        <f>3.14*AC64*AB64+2*3.14*(AD64/2)^2/AG64</f>
        <v>1118.2325000000001</v>
      </c>
      <c r="AI64" s="25">
        <f>(3.14/4*AC64^2*AB64)*AF64</f>
        <v>961.62500000000011</v>
      </c>
      <c r="AJ64" s="21">
        <v>769.7</v>
      </c>
      <c r="AK64" s="21">
        <v>100</v>
      </c>
      <c r="AL64" s="22" t="s">
        <v>161</v>
      </c>
      <c r="AM64" s="22">
        <v>0.22</v>
      </c>
      <c r="AN64" s="22" t="s">
        <v>168</v>
      </c>
      <c r="AO64" s="22" t="s">
        <v>168</v>
      </c>
      <c r="AP64" s="22" t="s">
        <v>169</v>
      </c>
      <c r="AQ64" s="22" t="str">
        <f t="shared" si="10"/>
        <v>Microphytoplankton</v>
      </c>
      <c r="AR64" s="22">
        <v>0</v>
      </c>
      <c r="AS64" s="22">
        <v>0</v>
      </c>
      <c r="AT64" s="22">
        <v>0</v>
      </c>
      <c r="AU64" s="22">
        <v>1</v>
      </c>
      <c r="AV64" s="22">
        <v>1</v>
      </c>
      <c r="AW64" s="22">
        <v>0</v>
      </c>
      <c r="AX64" s="22">
        <v>0</v>
      </c>
      <c r="AY64" s="22">
        <v>1</v>
      </c>
      <c r="BH64" s="22">
        <f t="shared" si="0"/>
        <v>0.17362170378527289</v>
      </c>
    </row>
    <row r="65" spans="1:60">
      <c r="BH65" s="22"/>
    </row>
    <row r="66" spans="1:60" s="22" customFormat="1" ht="13">
      <c r="A66" s="21" t="s">
        <v>674</v>
      </c>
      <c r="B66" s="22" t="s">
        <v>663</v>
      </c>
      <c r="C66" s="22" t="s">
        <v>664</v>
      </c>
      <c r="D66" s="22" t="s">
        <v>665</v>
      </c>
      <c r="E66" s="22" t="s">
        <v>666</v>
      </c>
      <c r="F66" s="22" t="s">
        <v>667</v>
      </c>
      <c r="G66" s="22" t="s">
        <v>675</v>
      </c>
      <c r="H66" s="22" t="s">
        <v>676</v>
      </c>
      <c r="I66" s="22" t="s">
        <v>677</v>
      </c>
      <c r="J66" s="22" t="s">
        <v>678</v>
      </c>
      <c r="N66" s="22" t="s">
        <v>679</v>
      </c>
      <c r="O66" s="21" t="s">
        <v>672</v>
      </c>
      <c r="P66" s="21">
        <v>20410</v>
      </c>
      <c r="Q66" s="21">
        <v>60</v>
      </c>
      <c r="R66" s="21">
        <v>50</v>
      </c>
      <c r="S66" s="21">
        <v>25</v>
      </c>
      <c r="T66" s="21" t="s">
        <v>281</v>
      </c>
      <c r="U66" s="21">
        <v>1</v>
      </c>
      <c r="V66" s="22">
        <v>1</v>
      </c>
      <c r="W66" s="24">
        <f>(4*3.14*(((Q66^1.6*R66^1.6+Q66^1.6*S66^1.6+R66^1.6+S66^1.6)/3)^(1/1.6)))*(1/V66)</f>
        <v>22681.919953844474</v>
      </c>
      <c r="X66" s="24">
        <f>3.14/6*Q66*R66*S66*U66</f>
        <v>39250</v>
      </c>
      <c r="Y66" s="21">
        <v>1</v>
      </c>
      <c r="Z66" s="24">
        <f t="shared" ref="Z66:Z71" si="13">Y66*W66</f>
        <v>22681.919953844474</v>
      </c>
      <c r="AA66" s="24">
        <f t="shared" ref="AA66:AA71" si="14">Y66*X66</f>
        <v>39250</v>
      </c>
      <c r="AB66" s="21"/>
      <c r="AC66" s="21"/>
      <c r="AD66" s="21"/>
      <c r="AE66" s="21"/>
      <c r="AF66" s="21" t="s">
        <v>247</v>
      </c>
      <c r="AG66" s="21"/>
      <c r="AH66" s="24"/>
      <c r="AI66" s="24"/>
      <c r="AJ66" s="21">
        <v>39269.9</v>
      </c>
      <c r="AK66" s="21">
        <v>240</v>
      </c>
      <c r="AL66" s="22" t="s">
        <v>161</v>
      </c>
      <c r="AM66" s="22">
        <v>0.13</v>
      </c>
      <c r="AN66" s="22" t="s">
        <v>414</v>
      </c>
      <c r="AO66" s="22" t="s">
        <v>331</v>
      </c>
      <c r="AP66" s="22" t="s">
        <v>673</v>
      </c>
      <c r="AQ66" s="22" t="str">
        <f t="shared" ref="AQ66:AQ71" si="15">IF(AND($AK66&lt;20,AJ66&lt;10000),"Nanophytoplankton","Microphytoplankton")</f>
        <v>Microphytoplankton</v>
      </c>
      <c r="AR66" s="22">
        <v>1</v>
      </c>
      <c r="AS66" s="22">
        <v>1</v>
      </c>
      <c r="AT66" s="22">
        <v>0</v>
      </c>
      <c r="AU66" s="22">
        <v>0</v>
      </c>
      <c r="AV66" s="22">
        <v>0</v>
      </c>
      <c r="AW66" s="22">
        <v>0</v>
      </c>
      <c r="AX66" s="22">
        <v>1</v>
      </c>
      <c r="AY66" s="22">
        <v>0</v>
      </c>
      <c r="AZ66" s="22">
        <v>3</v>
      </c>
      <c r="BA66" s="22">
        <v>2</v>
      </c>
      <c r="BB66" s="22">
        <v>2</v>
      </c>
      <c r="BC66" s="22">
        <v>1</v>
      </c>
      <c r="BD66" s="22">
        <v>1</v>
      </c>
      <c r="BE66" s="22">
        <v>1</v>
      </c>
      <c r="BH66" s="22">
        <f t="shared" si="0"/>
        <v>1.7304531573989317</v>
      </c>
    </row>
    <row r="67" spans="1:60" s="22" customFormat="1" ht="13">
      <c r="A67" s="21" t="s">
        <v>2547</v>
      </c>
      <c r="B67" s="22" t="s">
        <v>663</v>
      </c>
      <c r="C67" s="22" t="s">
        <v>2223</v>
      </c>
      <c r="D67" s="22" t="s">
        <v>2224</v>
      </c>
      <c r="E67" s="23" t="s">
        <v>63</v>
      </c>
      <c r="F67" s="23" t="s">
        <v>2225</v>
      </c>
      <c r="G67" s="23" t="s">
        <v>2226</v>
      </c>
      <c r="H67" s="38" t="s">
        <v>2303</v>
      </c>
      <c r="I67" s="22" t="s">
        <v>2538</v>
      </c>
      <c r="J67" s="22" t="s">
        <v>211</v>
      </c>
      <c r="M67" s="22" t="s">
        <v>1</v>
      </c>
      <c r="N67" s="22" t="s">
        <v>2543</v>
      </c>
      <c r="O67" s="22" t="s">
        <v>2229</v>
      </c>
      <c r="P67" s="21">
        <v>80412</v>
      </c>
      <c r="Q67" s="21">
        <v>4</v>
      </c>
      <c r="R67" s="21">
        <v>4</v>
      </c>
      <c r="S67" s="21">
        <v>4</v>
      </c>
      <c r="T67" s="21" t="s">
        <v>246</v>
      </c>
      <c r="U67" s="21">
        <v>1</v>
      </c>
      <c r="V67" s="21">
        <v>1</v>
      </c>
      <c r="W67" s="25">
        <f>4*3.14*(R67/2)*(Q67/2)/V67</f>
        <v>50.24</v>
      </c>
      <c r="X67" s="25">
        <f>(3.14/6*(Q67*S67*R67))*U67</f>
        <v>33.493333333333332</v>
      </c>
      <c r="Y67" s="21">
        <v>8</v>
      </c>
      <c r="Z67" s="24">
        <f t="shared" si="13"/>
        <v>401.92</v>
      </c>
      <c r="AA67" s="24">
        <f t="shared" si="14"/>
        <v>267.94666666666666</v>
      </c>
      <c r="AB67" s="21">
        <v>30</v>
      </c>
      <c r="AC67" s="21">
        <v>30</v>
      </c>
      <c r="AD67" s="21">
        <v>30</v>
      </c>
      <c r="AE67" s="21" t="s">
        <v>330</v>
      </c>
      <c r="AF67" s="21">
        <v>0.5</v>
      </c>
      <c r="AG67" s="21">
        <v>1</v>
      </c>
      <c r="AH67" s="25">
        <f>(AB67*AC67*2+AB67*AD67*2+AC67*AD67*2)/AG67</f>
        <v>5400</v>
      </c>
      <c r="AI67" s="25">
        <f>AB67*AC67*AD67*AF67</f>
        <v>13500</v>
      </c>
      <c r="AJ67" s="21">
        <v>267.94666666666666</v>
      </c>
      <c r="AK67" s="21">
        <v>30</v>
      </c>
      <c r="AL67" s="22" t="s">
        <v>161</v>
      </c>
      <c r="AM67" s="22">
        <v>0.16</v>
      </c>
      <c r="AO67" s="22" t="s">
        <v>2282</v>
      </c>
      <c r="AP67" s="22" t="s">
        <v>162</v>
      </c>
      <c r="AQ67" s="22" t="str">
        <f t="shared" si="15"/>
        <v>Microphytoplankton</v>
      </c>
      <c r="AR67" s="22">
        <v>0</v>
      </c>
      <c r="AS67" s="22">
        <v>0</v>
      </c>
      <c r="AT67" s="22">
        <v>0</v>
      </c>
      <c r="AU67" s="22">
        <v>1</v>
      </c>
      <c r="AV67" s="22">
        <v>0</v>
      </c>
      <c r="AW67" s="22">
        <v>0</v>
      </c>
      <c r="AX67" s="22">
        <v>0</v>
      </c>
      <c r="AY67" s="22">
        <v>1</v>
      </c>
      <c r="BH67" s="22">
        <f t="shared" ref="BH67:BH129" si="16">X67/W67</f>
        <v>0.66666666666666663</v>
      </c>
    </row>
    <row r="68" spans="1:60" s="22" customFormat="1" ht="13">
      <c r="A68" s="21" t="s">
        <v>2744</v>
      </c>
      <c r="B68" s="22" t="s">
        <v>663</v>
      </c>
      <c r="C68" s="22" t="s">
        <v>2223</v>
      </c>
      <c r="D68" s="22" t="s">
        <v>2224</v>
      </c>
      <c r="E68" s="23" t="s">
        <v>63</v>
      </c>
      <c r="F68" s="23" t="s">
        <v>2225</v>
      </c>
      <c r="G68" s="23" t="s">
        <v>2226</v>
      </c>
      <c r="H68" s="22" t="s">
        <v>2239</v>
      </c>
      <c r="I68" s="22" t="s">
        <v>2745</v>
      </c>
      <c r="J68" s="22" t="s">
        <v>2746</v>
      </c>
      <c r="N68" s="22" t="s">
        <v>228</v>
      </c>
      <c r="O68" s="22" t="s">
        <v>2229</v>
      </c>
      <c r="P68" s="22">
        <v>81315</v>
      </c>
      <c r="Q68" s="21">
        <v>20</v>
      </c>
      <c r="R68" s="21">
        <v>5</v>
      </c>
      <c r="S68" s="21">
        <v>5</v>
      </c>
      <c r="T68" s="21" t="s">
        <v>159</v>
      </c>
      <c r="U68" s="21">
        <v>1</v>
      </c>
      <c r="V68" s="21">
        <v>1</v>
      </c>
      <c r="W68" s="24">
        <f>(4*3.14*(((Q68^1.6*R68^1.6+Q68^1.6*S68^1.6+R68^1.6+S68^1.6)/3)^(1/1.6)))*(1/V68)</f>
        <v>979.87905462110689</v>
      </c>
      <c r="X68" s="24">
        <f>3.14/6*Q68*R68*S68*U68</f>
        <v>261.66666666666669</v>
      </c>
      <c r="Y68" s="21">
        <v>4</v>
      </c>
      <c r="Z68" s="24">
        <f t="shared" si="13"/>
        <v>3919.5162184844276</v>
      </c>
      <c r="AA68" s="24">
        <f t="shared" si="14"/>
        <v>1046.6666666666667</v>
      </c>
      <c r="AB68" s="21">
        <v>40</v>
      </c>
      <c r="AC68" s="21">
        <v>40</v>
      </c>
      <c r="AD68" s="21">
        <v>40</v>
      </c>
      <c r="AE68" s="21" t="s">
        <v>159</v>
      </c>
      <c r="AF68" s="21">
        <v>0.3</v>
      </c>
      <c r="AG68" s="21">
        <v>1</v>
      </c>
      <c r="AH68" s="24">
        <f>(4*3.14*(((AB68^1.6*AC68^1.6+AB68^1.6*AD68^1.6+AC68^1.6+AD68^1.6)/3)^(1/1.6)))*(1/AG68)</f>
        <v>15624.046118762988</v>
      </c>
      <c r="AI68" s="24">
        <f>3.14/6*AB68*AC68*AD68*AF68</f>
        <v>10048</v>
      </c>
      <c r="AJ68" s="21">
        <v>10048</v>
      </c>
      <c r="AK68" s="21">
        <v>40</v>
      </c>
      <c r="AL68" s="22" t="s">
        <v>161</v>
      </c>
      <c r="AM68" s="22">
        <v>0.16</v>
      </c>
      <c r="AO68" s="22" t="s">
        <v>2282</v>
      </c>
      <c r="AP68" s="22" t="s">
        <v>230</v>
      </c>
      <c r="AQ68" s="22" t="str">
        <f t="shared" si="15"/>
        <v>Microphytoplankton</v>
      </c>
      <c r="AR68" s="22">
        <v>0</v>
      </c>
      <c r="AS68" s="22">
        <v>0</v>
      </c>
      <c r="AT68" s="22">
        <v>0</v>
      </c>
      <c r="AU68" s="22">
        <v>1</v>
      </c>
      <c r="AV68" s="22">
        <v>0</v>
      </c>
      <c r="AW68" s="22">
        <v>0</v>
      </c>
      <c r="AX68" s="22">
        <v>0</v>
      </c>
      <c r="AY68" s="22">
        <v>1</v>
      </c>
      <c r="BH68" s="22">
        <f t="shared" si="16"/>
        <v>0.26703975907296662</v>
      </c>
    </row>
    <row r="69" spans="1:60" s="22" customFormat="1" ht="13">
      <c r="A69" s="22" t="s">
        <v>2663</v>
      </c>
      <c r="B69" s="22" t="s">
        <v>663</v>
      </c>
      <c r="C69" s="22" t="s">
        <v>2223</v>
      </c>
      <c r="D69" s="22" t="s">
        <v>2224</v>
      </c>
      <c r="E69" s="23" t="s">
        <v>63</v>
      </c>
      <c r="F69" s="23" t="s">
        <v>2225</v>
      </c>
      <c r="G69" s="23" t="s">
        <v>2226</v>
      </c>
      <c r="H69" s="38" t="s">
        <v>2239</v>
      </c>
      <c r="I69" s="22" t="s">
        <v>2644</v>
      </c>
      <c r="J69" s="22" t="s">
        <v>211</v>
      </c>
      <c r="M69" s="22" t="s">
        <v>1</v>
      </c>
      <c r="N69" s="22" t="s">
        <v>2664</v>
      </c>
      <c r="O69" s="22" t="s">
        <v>2229</v>
      </c>
      <c r="P69" s="21">
        <v>83612</v>
      </c>
      <c r="Q69" s="22">
        <v>10</v>
      </c>
      <c r="R69" s="22">
        <v>8</v>
      </c>
      <c r="S69" s="22">
        <v>8</v>
      </c>
      <c r="T69" s="22" t="s">
        <v>159</v>
      </c>
      <c r="U69" s="22">
        <v>1</v>
      </c>
      <c r="V69" s="22">
        <v>1</v>
      </c>
      <c r="W69" s="24">
        <f>(4*3.14*(((Q69^1.6*R69^1.6+Q69^1.6*S69^1.6+R69^1.6+S69^1.6)/3)^(1/1.6)))*(1/V69)</f>
        <v>792.05708010260832</v>
      </c>
      <c r="X69" s="24">
        <f>3.14/6*Q69*R69*S69*U69</f>
        <v>334.93333333333334</v>
      </c>
      <c r="Y69" s="22">
        <v>1</v>
      </c>
      <c r="Z69" s="24">
        <f t="shared" si="13"/>
        <v>792.05708010260832</v>
      </c>
      <c r="AA69" s="24">
        <f t="shared" si="14"/>
        <v>334.93333333333334</v>
      </c>
      <c r="AH69" s="25"/>
      <c r="AI69" s="25"/>
      <c r="AJ69" s="21">
        <v>334.93333333333334</v>
      </c>
      <c r="AK69" s="21">
        <v>10</v>
      </c>
      <c r="AL69" s="22" t="s">
        <v>161</v>
      </c>
      <c r="AM69" s="22">
        <v>0.16</v>
      </c>
      <c r="AP69" s="22" t="s">
        <v>162</v>
      </c>
      <c r="AQ69" s="22" t="str">
        <f t="shared" si="15"/>
        <v>Nanophytoplankton</v>
      </c>
      <c r="AR69" s="22">
        <v>0</v>
      </c>
      <c r="AS69" s="22">
        <v>0</v>
      </c>
      <c r="AT69" s="22">
        <v>0</v>
      </c>
      <c r="AU69" s="22">
        <v>0</v>
      </c>
      <c r="AV69" s="22">
        <v>0</v>
      </c>
      <c r="AW69" s="22">
        <v>0</v>
      </c>
      <c r="AX69" s="22">
        <v>0</v>
      </c>
      <c r="AY69" s="22">
        <v>1</v>
      </c>
      <c r="BH69" s="22">
        <f t="shared" si="16"/>
        <v>0.4228651466507235</v>
      </c>
    </row>
    <row r="70" spans="1:60" s="22" customFormat="1" ht="13">
      <c r="A70" s="21" t="s">
        <v>1152</v>
      </c>
      <c r="B70" s="22" t="s">
        <v>663</v>
      </c>
      <c r="C70" s="23" t="s">
        <v>822</v>
      </c>
      <c r="D70" s="23" t="s">
        <v>965</v>
      </c>
      <c r="E70" s="22" t="s">
        <v>1153</v>
      </c>
      <c r="F70" s="23" t="s">
        <v>1154</v>
      </c>
      <c r="G70" s="22" t="s">
        <v>1155</v>
      </c>
      <c r="H70" s="22" t="s">
        <v>1156</v>
      </c>
      <c r="I70" s="22" t="s">
        <v>1157</v>
      </c>
      <c r="J70" s="22" t="s">
        <v>1158</v>
      </c>
      <c r="N70" s="22" t="s">
        <v>850</v>
      </c>
      <c r="O70" s="22" t="s">
        <v>962</v>
      </c>
      <c r="P70" s="21">
        <v>51200</v>
      </c>
      <c r="Q70" s="21">
        <v>4.5</v>
      </c>
      <c r="R70" s="21">
        <v>4.5</v>
      </c>
      <c r="S70" s="21">
        <v>3</v>
      </c>
      <c r="T70" s="22" t="s">
        <v>281</v>
      </c>
      <c r="U70" s="21">
        <v>1.1000000000000001</v>
      </c>
      <c r="V70" s="21">
        <v>1.1000000000000001</v>
      </c>
      <c r="W70" s="24">
        <f>(4*3.14*(((Q70^1.6*R70^1.6+Q70^1.6*S70^1.6+R70^1.6+S70^1.6)/3)^(1/1.6)))*(1/V70)</f>
        <v>159.72721905179992</v>
      </c>
      <c r="X70" s="24">
        <f>3.14/6*Q70*R70*S70*U70</f>
        <v>34.97175</v>
      </c>
      <c r="Y70" s="21">
        <v>1</v>
      </c>
      <c r="Z70" s="24">
        <f t="shared" si="13"/>
        <v>159.72721905179992</v>
      </c>
      <c r="AA70" s="24">
        <f t="shared" si="14"/>
        <v>34.97175</v>
      </c>
      <c r="AB70" s="21"/>
      <c r="AC70" s="21"/>
      <c r="AD70" s="21"/>
      <c r="AE70" s="21"/>
      <c r="AF70" s="21" t="s">
        <v>247</v>
      </c>
      <c r="AG70" s="21"/>
      <c r="AH70" s="24"/>
      <c r="AI70" s="24"/>
      <c r="AJ70" s="21">
        <v>35</v>
      </c>
      <c r="AK70" s="21">
        <v>4.5</v>
      </c>
      <c r="AL70" s="22" t="s">
        <v>161</v>
      </c>
      <c r="AM70" s="22">
        <v>0.11</v>
      </c>
      <c r="AO70" s="22" t="s">
        <v>1057</v>
      </c>
      <c r="AP70" s="22" t="s">
        <v>963</v>
      </c>
      <c r="AQ70" s="22" t="str">
        <f t="shared" si="15"/>
        <v>Nanophytoplankton</v>
      </c>
      <c r="AR70" s="22">
        <v>1</v>
      </c>
      <c r="AS70" s="22">
        <v>1</v>
      </c>
      <c r="AT70" s="22">
        <v>0</v>
      </c>
      <c r="AU70" s="22">
        <v>0</v>
      </c>
      <c r="AV70" s="22">
        <v>0</v>
      </c>
      <c r="AW70" s="22">
        <v>0</v>
      </c>
      <c r="AX70" s="22">
        <v>1</v>
      </c>
      <c r="AY70" s="22">
        <v>0</v>
      </c>
      <c r="BH70" s="22">
        <f t="shared" si="16"/>
        <v>0.21894671557925627</v>
      </c>
    </row>
    <row r="71" spans="1:60" s="22" customFormat="1" ht="13">
      <c r="A71" s="21" t="s">
        <v>351</v>
      </c>
      <c r="B71" s="22" t="s">
        <v>149</v>
      </c>
      <c r="C71" s="22" t="s">
        <v>150</v>
      </c>
      <c r="D71" s="23" t="s">
        <v>151</v>
      </c>
      <c r="E71" s="22" t="s">
        <v>61</v>
      </c>
      <c r="F71" s="22" t="s">
        <v>152</v>
      </c>
      <c r="G71" s="22" t="s">
        <v>60</v>
      </c>
      <c r="H71" s="22" t="s">
        <v>326</v>
      </c>
      <c r="I71" s="22" t="s">
        <v>35</v>
      </c>
      <c r="J71" s="22" t="s">
        <v>211</v>
      </c>
      <c r="M71" s="22" t="s">
        <v>1</v>
      </c>
      <c r="N71" s="22" t="s">
        <v>228</v>
      </c>
      <c r="O71" s="22" t="s">
        <v>158</v>
      </c>
      <c r="P71" s="21">
        <v>10400</v>
      </c>
      <c r="Q71" s="21">
        <v>10</v>
      </c>
      <c r="R71" s="21">
        <v>8</v>
      </c>
      <c r="S71" s="21">
        <v>8</v>
      </c>
      <c r="T71" s="21" t="s">
        <v>281</v>
      </c>
      <c r="U71" s="21">
        <v>1</v>
      </c>
      <c r="V71" s="21">
        <v>1</v>
      </c>
      <c r="W71" s="24">
        <f>(4*3.14*(((Q71^1.6*R71^1.6+Q71^1.6*S71^1.6+R71^1.6+S71^1.6)/3)^(1/1.6)))*(1/V71)</f>
        <v>792.05708010260832</v>
      </c>
      <c r="X71" s="24">
        <f>3.14/6*Q71*R71*S71*U71</f>
        <v>334.93333333333334</v>
      </c>
      <c r="Y71" s="21">
        <v>16</v>
      </c>
      <c r="Z71" s="24">
        <f t="shared" si="13"/>
        <v>12672.913281641733</v>
      </c>
      <c r="AA71" s="24">
        <f t="shared" si="14"/>
        <v>5358.9333333333334</v>
      </c>
      <c r="AB71" s="21">
        <v>100</v>
      </c>
      <c r="AC71" s="21">
        <v>32</v>
      </c>
      <c r="AD71" s="21">
        <v>32</v>
      </c>
      <c r="AE71" s="22" t="s">
        <v>330</v>
      </c>
      <c r="AF71" s="21">
        <v>0.1</v>
      </c>
      <c r="AG71" s="22">
        <v>1</v>
      </c>
      <c r="AH71" s="25">
        <f>(AB71*AC71*2+AB71*AD71*2+AC71*AD71*2)/AG71</f>
        <v>14848</v>
      </c>
      <c r="AI71" s="25">
        <f>AB71*AC71*AD71*AF71</f>
        <v>10240</v>
      </c>
      <c r="AJ71" s="21">
        <v>5361.7</v>
      </c>
      <c r="AK71" s="21">
        <v>60</v>
      </c>
      <c r="AL71" s="22" t="s">
        <v>161</v>
      </c>
      <c r="AM71" s="22">
        <v>0.22</v>
      </c>
      <c r="AO71" s="22" t="s">
        <v>331</v>
      </c>
      <c r="AP71" s="22" t="s">
        <v>230</v>
      </c>
      <c r="AQ71" s="22" t="str">
        <f t="shared" si="15"/>
        <v>Microphytoplankton</v>
      </c>
      <c r="AR71" s="22">
        <v>0</v>
      </c>
      <c r="AS71" s="22">
        <v>0</v>
      </c>
      <c r="AT71" s="22">
        <v>0</v>
      </c>
      <c r="AU71" s="22">
        <v>1</v>
      </c>
      <c r="AV71" s="22">
        <v>0</v>
      </c>
      <c r="AW71" s="22">
        <v>0</v>
      </c>
      <c r="AX71" s="22">
        <v>0</v>
      </c>
      <c r="AY71" s="22">
        <v>1</v>
      </c>
      <c r="BH71" s="22">
        <f t="shared" si="16"/>
        <v>0.4228651466507235</v>
      </c>
    </row>
    <row r="72" spans="1:60" s="22" customFormat="1" ht="13">
      <c r="A72" s="21"/>
      <c r="D72" s="23"/>
      <c r="P72" s="21"/>
      <c r="Q72" s="21"/>
      <c r="R72" s="21"/>
      <c r="S72" s="21"/>
      <c r="T72" s="21"/>
      <c r="U72" s="21"/>
      <c r="V72" s="21"/>
      <c r="W72" s="24"/>
      <c r="X72" s="24"/>
      <c r="Y72" s="21"/>
      <c r="Z72" s="24"/>
      <c r="AA72" s="24"/>
      <c r="AB72" s="21"/>
      <c r="AC72" s="21"/>
      <c r="AD72" s="21"/>
      <c r="AF72" s="21"/>
      <c r="AH72" s="25"/>
      <c r="AI72" s="25"/>
      <c r="AJ72" s="21"/>
      <c r="AK72" s="21"/>
    </row>
    <row r="73" spans="1:60">
      <c r="BH73" s="22"/>
    </row>
    <row r="74" spans="1:60" s="22" customFormat="1" ht="13">
      <c r="A74" s="21" t="s">
        <v>2097</v>
      </c>
      <c r="B74" s="22" t="s">
        <v>663</v>
      </c>
      <c r="C74" s="23" t="s">
        <v>822</v>
      </c>
      <c r="D74" s="23" t="s">
        <v>965</v>
      </c>
      <c r="E74" s="22" t="s">
        <v>62</v>
      </c>
      <c r="F74" s="23" t="s">
        <v>1434</v>
      </c>
      <c r="G74" s="23" t="s">
        <v>1473</v>
      </c>
      <c r="H74" s="23" t="s">
        <v>2084</v>
      </c>
      <c r="I74" s="22" t="s">
        <v>2089</v>
      </c>
      <c r="J74" s="22" t="s">
        <v>211</v>
      </c>
      <c r="M74" s="22" t="s">
        <v>1</v>
      </c>
      <c r="N74" s="22" t="s">
        <v>694</v>
      </c>
      <c r="O74" s="22" t="s">
        <v>1430</v>
      </c>
      <c r="P74" s="21">
        <v>71500</v>
      </c>
      <c r="Q74" s="21">
        <v>89</v>
      </c>
      <c r="R74" s="21">
        <v>13</v>
      </c>
      <c r="S74" s="21">
        <v>17</v>
      </c>
      <c r="T74" s="22" t="s">
        <v>330</v>
      </c>
      <c r="U74" s="21">
        <v>0.8</v>
      </c>
      <c r="V74" s="21">
        <v>0.8</v>
      </c>
      <c r="W74" s="25">
        <f>(Q74*R74*2+Q74*S74*2+R74*S74*2)/V74</f>
        <v>7227.5</v>
      </c>
      <c r="X74" s="25">
        <f>Q74*R74*S74*U74</f>
        <v>15735.2</v>
      </c>
      <c r="Y74" s="21">
        <v>1</v>
      </c>
      <c r="Z74" s="24">
        <f>Y74*W74</f>
        <v>7227.5</v>
      </c>
      <c r="AA74" s="24">
        <f>Y74*X74</f>
        <v>15735.2</v>
      </c>
      <c r="AB74" s="21"/>
      <c r="AC74" s="21"/>
      <c r="AD74" s="21"/>
      <c r="AE74" s="21"/>
      <c r="AF74" s="21" t="s">
        <v>247</v>
      </c>
      <c r="AG74" s="21"/>
      <c r="AH74" s="24"/>
      <c r="AI74" s="24"/>
      <c r="AJ74" s="21">
        <v>15735.2</v>
      </c>
      <c r="AK74" s="21">
        <v>89</v>
      </c>
      <c r="AL74" s="22" t="s">
        <v>161</v>
      </c>
      <c r="AM74" s="22">
        <v>0.11</v>
      </c>
      <c r="AO74" s="22" t="s">
        <v>1447</v>
      </c>
      <c r="AP74" s="22" t="s">
        <v>1432</v>
      </c>
      <c r="AQ74" s="22" t="str">
        <f>IF(AND($AK74&lt;20,AJ74&lt;10000),"Nanophytoplankton","Microphytoplankton")</f>
        <v>Microphytoplankton</v>
      </c>
      <c r="AR74" s="22">
        <v>1</v>
      </c>
      <c r="AS74" s="22">
        <v>0</v>
      </c>
      <c r="AT74" s="22">
        <v>1</v>
      </c>
      <c r="AU74" s="22">
        <v>0</v>
      </c>
      <c r="AV74" s="22">
        <v>0</v>
      </c>
      <c r="AW74" s="22">
        <v>0</v>
      </c>
      <c r="AX74" s="22">
        <v>1</v>
      </c>
      <c r="AY74" s="22">
        <v>0</v>
      </c>
      <c r="BH74" s="22">
        <f t="shared" si="16"/>
        <v>2.1771290210999656</v>
      </c>
    </row>
    <row r="75" spans="1:60" s="22" customFormat="1" ht="13">
      <c r="A75" s="21" t="s">
        <v>2832</v>
      </c>
      <c r="B75" s="22" t="s">
        <v>663</v>
      </c>
      <c r="C75" s="22" t="s">
        <v>2223</v>
      </c>
      <c r="D75" s="22" t="s">
        <v>2224</v>
      </c>
      <c r="E75" s="23" t="s">
        <v>63</v>
      </c>
      <c r="F75" s="23" t="s">
        <v>2225</v>
      </c>
      <c r="G75" s="23" t="s">
        <v>2226</v>
      </c>
      <c r="H75" s="22" t="s">
        <v>2311</v>
      </c>
      <c r="I75" s="22" t="s">
        <v>2833</v>
      </c>
      <c r="J75" s="22" t="s">
        <v>2527</v>
      </c>
      <c r="N75" s="22" t="s">
        <v>2834</v>
      </c>
      <c r="O75" s="22" t="s">
        <v>2229</v>
      </c>
      <c r="P75" s="21">
        <v>85420</v>
      </c>
      <c r="Q75" s="21">
        <v>10</v>
      </c>
      <c r="R75" s="21">
        <v>10</v>
      </c>
      <c r="S75" s="21">
        <v>10</v>
      </c>
      <c r="T75" s="21" t="s">
        <v>281</v>
      </c>
      <c r="U75" s="21">
        <v>1</v>
      </c>
      <c r="V75" s="21">
        <v>1</v>
      </c>
      <c r="W75" s="24">
        <f>(4*3.14*(((Q75^1.6*R75^1.6+Q75^1.6*S75^1.6+R75^1.6+S75^1.6)/3)^(1/1.6)))*(1/V75)</f>
        <v>990.0713501282612</v>
      </c>
      <c r="X75" s="24">
        <f>3.14/6*Q75*R75*S75*U75</f>
        <v>523.33333333333337</v>
      </c>
      <c r="Y75" s="21">
        <v>1</v>
      </c>
      <c r="Z75" s="24">
        <f>Y75*W75</f>
        <v>990.0713501282612</v>
      </c>
      <c r="AA75" s="24">
        <f>Y75*X75</f>
        <v>523.33333333333337</v>
      </c>
      <c r="AB75" s="21"/>
      <c r="AC75" s="21"/>
      <c r="AD75" s="21"/>
      <c r="AE75" s="21"/>
      <c r="AF75" s="21"/>
      <c r="AG75" s="21"/>
      <c r="AH75" s="24"/>
      <c r="AI75" s="24"/>
      <c r="AJ75" s="21">
        <v>523.6</v>
      </c>
      <c r="AK75" s="21">
        <v>20</v>
      </c>
      <c r="AL75" s="22" t="s">
        <v>161</v>
      </c>
      <c r="AM75" s="22">
        <v>0.16</v>
      </c>
      <c r="AO75" s="22" t="s">
        <v>2282</v>
      </c>
      <c r="AQ75" s="22" t="str">
        <f>IF(AND($AK75&lt;20,AJ75&lt;10000),"Nanophytoplankton","Microphytoplankton")</f>
        <v>Microphytoplankton</v>
      </c>
      <c r="AR75" s="22">
        <v>0</v>
      </c>
      <c r="AS75" s="22">
        <v>0</v>
      </c>
      <c r="AT75" s="22">
        <v>0</v>
      </c>
      <c r="AU75" s="22">
        <v>0</v>
      </c>
      <c r="AV75" s="22">
        <v>0</v>
      </c>
      <c r="AW75" s="22">
        <v>0</v>
      </c>
      <c r="AX75" s="22">
        <v>0</v>
      </c>
      <c r="AY75" s="22">
        <v>1</v>
      </c>
      <c r="BH75" s="22">
        <f t="shared" si="16"/>
        <v>0.52858143331340401</v>
      </c>
    </row>
    <row r="76" spans="1:60" s="22" customFormat="1" ht="13">
      <c r="A76" s="21" t="s">
        <v>2290</v>
      </c>
      <c r="B76" s="22" t="s">
        <v>663</v>
      </c>
      <c r="C76" s="22" t="s">
        <v>2223</v>
      </c>
      <c r="D76" s="22" t="s">
        <v>2224</v>
      </c>
      <c r="E76" s="23" t="s">
        <v>63</v>
      </c>
      <c r="F76" s="23" t="s">
        <v>2225</v>
      </c>
      <c r="G76" s="23" t="s">
        <v>2284</v>
      </c>
      <c r="H76" s="23" t="s">
        <v>2285</v>
      </c>
      <c r="I76" s="22" t="s">
        <v>2286</v>
      </c>
      <c r="J76" s="22" t="s">
        <v>211</v>
      </c>
      <c r="M76" s="22" t="s">
        <v>1</v>
      </c>
      <c r="N76" s="22" t="s">
        <v>2291</v>
      </c>
      <c r="O76" s="22" t="s">
        <v>2229</v>
      </c>
      <c r="P76" s="21">
        <v>80221</v>
      </c>
      <c r="Q76" s="22">
        <v>15</v>
      </c>
      <c r="R76" s="22">
        <v>11</v>
      </c>
      <c r="S76" s="22">
        <v>11</v>
      </c>
      <c r="T76" s="22" t="s">
        <v>281</v>
      </c>
      <c r="U76" s="21">
        <v>1</v>
      </c>
      <c r="V76" s="22">
        <v>1</v>
      </c>
      <c r="W76" s="24">
        <f>(4*3.14*(((Q76^1.6*R76^1.6+Q76^1.6*S76^1.6+R76^1.6+S76^1.6)/3)^(1/1.6)))*(1/V76)</f>
        <v>1621.6502539499531</v>
      </c>
      <c r="X76" s="24">
        <f>3.14/6*Q76*R76*S76*U76</f>
        <v>949.84999999999991</v>
      </c>
      <c r="Y76" s="22">
        <v>1</v>
      </c>
      <c r="Z76" s="24">
        <f>Y76*W76</f>
        <v>1621.6502539499531</v>
      </c>
      <c r="AA76" s="24">
        <f>Y76*X76</f>
        <v>949.84999999999991</v>
      </c>
      <c r="AF76" s="21" t="s">
        <v>247</v>
      </c>
      <c r="AH76" s="25"/>
      <c r="AI76" s="25"/>
      <c r="AJ76" s="21">
        <v>955.9000000000002</v>
      </c>
      <c r="AK76" s="21">
        <v>15</v>
      </c>
      <c r="AL76" s="22" t="s">
        <v>161</v>
      </c>
      <c r="AM76" s="22">
        <v>0.16</v>
      </c>
      <c r="AO76" s="22" t="s">
        <v>2289</v>
      </c>
      <c r="AP76" s="22" t="s">
        <v>673</v>
      </c>
      <c r="AQ76" s="22" t="str">
        <f>IF(AND($AK76&lt;20,AJ76&lt;10000),"Nanophytoplankton","Microphytoplankton")</f>
        <v>Nanophytoplankton</v>
      </c>
      <c r="AR76" s="22">
        <v>1</v>
      </c>
      <c r="AS76" s="22">
        <v>1</v>
      </c>
      <c r="AT76" s="22">
        <v>0</v>
      </c>
      <c r="AU76" s="22">
        <v>0</v>
      </c>
      <c r="AV76" s="22">
        <v>0</v>
      </c>
      <c r="AW76" s="22">
        <v>0</v>
      </c>
      <c r="AX76" s="22">
        <v>0</v>
      </c>
      <c r="AY76" s="22">
        <v>1</v>
      </c>
      <c r="BH76" s="22">
        <f t="shared" si="16"/>
        <v>0.58573049132289279</v>
      </c>
    </row>
    <row r="77" spans="1:60">
      <c r="BH77" s="22"/>
    </row>
    <row r="78" spans="1:60" s="22" customFormat="1" ht="13">
      <c r="A78" s="21" t="s">
        <v>1934</v>
      </c>
      <c r="B78" s="22" t="s">
        <v>663</v>
      </c>
      <c r="C78" s="23" t="s">
        <v>822</v>
      </c>
      <c r="D78" s="23" t="s">
        <v>965</v>
      </c>
      <c r="E78" s="22" t="s">
        <v>62</v>
      </c>
      <c r="F78" s="23" t="s">
        <v>1434</v>
      </c>
      <c r="G78" s="23" t="s">
        <v>1473</v>
      </c>
      <c r="H78" s="23" t="s">
        <v>1924</v>
      </c>
      <c r="I78" s="22" t="s">
        <v>1925</v>
      </c>
      <c r="J78" s="22" t="s">
        <v>211</v>
      </c>
      <c r="M78" s="22" t="s">
        <v>1</v>
      </c>
      <c r="N78" s="22" t="s">
        <v>1935</v>
      </c>
      <c r="O78" s="22" t="s">
        <v>1430</v>
      </c>
      <c r="P78" s="21">
        <v>71300</v>
      </c>
      <c r="Q78" s="21">
        <v>170</v>
      </c>
      <c r="R78" s="21">
        <v>25</v>
      </c>
      <c r="S78" s="21">
        <v>18</v>
      </c>
      <c r="T78" s="22" t="s">
        <v>330</v>
      </c>
      <c r="U78" s="21">
        <v>0.7</v>
      </c>
      <c r="V78" s="21">
        <v>0.7</v>
      </c>
      <c r="W78" s="25">
        <f>(Q78*R78*2+Q78*S78*2+R78*S78*2)/V78</f>
        <v>22171.428571428572</v>
      </c>
      <c r="X78" s="25">
        <f>Q78*R78*S78*U78</f>
        <v>53550</v>
      </c>
      <c r="Y78" s="21">
        <v>1</v>
      </c>
      <c r="Z78" s="24">
        <f>Y78*W78</f>
        <v>22171.428571428572</v>
      </c>
      <c r="AA78" s="24">
        <f>Y78*X78</f>
        <v>53550</v>
      </c>
      <c r="AB78" s="21"/>
      <c r="AC78" s="21"/>
      <c r="AD78" s="21"/>
      <c r="AE78" s="21"/>
      <c r="AF78" s="21" t="s">
        <v>247</v>
      </c>
      <c r="AG78" s="21"/>
      <c r="AH78" s="24"/>
      <c r="AI78" s="24"/>
      <c r="AJ78" s="21">
        <v>53550</v>
      </c>
      <c r="AK78" s="21">
        <v>170</v>
      </c>
      <c r="AL78" s="22" t="s">
        <v>161</v>
      </c>
      <c r="AM78" s="22">
        <v>0.11</v>
      </c>
      <c r="AO78" s="22" t="s">
        <v>1447</v>
      </c>
      <c r="AP78" s="22" t="s">
        <v>1432</v>
      </c>
      <c r="AQ78" s="22" t="str">
        <f>IF(AND($AK78&lt;20,AJ78&lt;10000),"Nanophytoplankton","Microphytoplankton")</f>
        <v>Microphytoplankton</v>
      </c>
      <c r="AR78" s="22">
        <v>1</v>
      </c>
      <c r="AS78" s="22">
        <v>0</v>
      </c>
      <c r="AT78" s="22">
        <v>1</v>
      </c>
      <c r="AU78" s="22">
        <v>0</v>
      </c>
      <c r="AV78" s="22">
        <v>0</v>
      </c>
      <c r="AW78" s="22">
        <v>0</v>
      </c>
      <c r="AX78" s="22">
        <v>1</v>
      </c>
      <c r="AY78" s="22">
        <v>0</v>
      </c>
      <c r="BH78" s="22">
        <f t="shared" si="16"/>
        <v>2.415270618556701</v>
      </c>
    </row>
    <row r="79" spans="1:60">
      <c r="BH79" s="22"/>
    </row>
    <row r="80" spans="1:60" s="22" customFormat="1" ht="13">
      <c r="A80" s="22" t="s">
        <v>311</v>
      </c>
      <c r="B80" s="22" t="s">
        <v>149</v>
      </c>
      <c r="C80" s="22" t="s">
        <v>150</v>
      </c>
      <c r="D80" s="23" t="s">
        <v>151</v>
      </c>
      <c r="E80" s="22" t="s">
        <v>61</v>
      </c>
      <c r="F80" s="22" t="s">
        <v>152</v>
      </c>
      <c r="G80" s="22" t="s">
        <v>60</v>
      </c>
      <c r="H80" s="22" t="s">
        <v>293</v>
      </c>
      <c r="I80" s="22" t="s">
        <v>294</v>
      </c>
      <c r="J80" s="22" t="s">
        <v>211</v>
      </c>
      <c r="K80" s="22" t="s">
        <v>184</v>
      </c>
      <c r="L80" s="22" t="s">
        <v>245</v>
      </c>
      <c r="M80" s="22" t="s">
        <v>1</v>
      </c>
      <c r="N80" s="22" t="s">
        <v>228</v>
      </c>
      <c r="O80" s="22" t="s">
        <v>158</v>
      </c>
      <c r="P80" s="21">
        <v>10302</v>
      </c>
      <c r="Q80" s="22">
        <v>1.5</v>
      </c>
      <c r="R80" s="22">
        <v>1</v>
      </c>
      <c r="S80" s="22">
        <v>1</v>
      </c>
      <c r="T80" s="21" t="s">
        <v>160</v>
      </c>
      <c r="U80" s="21">
        <v>1</v>
      </c>
      <c r="V80" s="21">
        <v>1</v>
      </c>
      <c r="W80" s="24">
        <f>3.14*R80*Q80+2*3.14*(S80/2)^2/V80</f>
        <v>6.28</v>
      </c>
      <c r="X80" s="25">
        <f>(3.14/4*R80^2*Q80)*U80</f>
        <v>1.1775</v>
      </c>
      <c r="Y80" s="22">
        <v>1</v>
      </c>
      <c r="Z80" s="24">
        <f>Y80*W80</f>
        <v>6.28</v>
      </c>
      <c r="AA80" s="24">
        <f>Y80*X80</f>
        <v>1.1775</v>
      </c>
      <c r="AB80" s="21"/>
      <c r="AF80" s="21" t="s">
        <v>247</v>
      </c>
      <c r="AH80" s="25"/>
      <c r="AI80" s="25"/>
      <c r="AJ80" s="21">
        <v>1.1775</v>
      </c>
      <c r="AK80" s="21">
        <v>1.5</v>
      </c>
      <c r="AL80" s="22" t="s">
        <v>161</v>
      </c>
      <c r="AM80" s="22">
        <v>0.22</v>
      </c>
      <c r="AN80" s="22" t="s">
        <v>229</v>
      </c>
      <c r="AO80" s="22" t="s">
        <v>229</v>
      </c>
      <c r="AP80" s="22" t="s">
        <v>230</v>
      </c>
      <c r="AQ80" s="22" t="str">
        <f>IF(AND($AK80&lt;20,AJ80&lt;10000),"Nanophytoplankton","Microphytoplankton")</f>
        <v>Nanophytoplankton</v>
      </c>
      <c r="AR80" s="22">
        <v>0</v>
      </c>
      <c r="AS80" s="22">
        <v>0</v>
      </c>
      <c r="AT80" s="22">
        <v>0</v>
      </c>
      <c r="AU80" s="22">
        <v>1</v>
      </c>
      <c r="AV80" s="22">
        <v>0</v>
      </c>
      <c r="AW80" s="22">
        <v>0</v>
      </c>
      <c r="AX80" s="22">
        <v>0</v>
      </c>
      <c r="AY80" s="22">
        <v>1</v>
      </c>
      <c r="BH80" s="22">
        <f t="shared" si="16"/>
        <v>0.1875</v>
      </c>
    </row>
    <row r="81" spans="1:60" s="22" customFormat="1" ht="13">
      <c r="A81" s="21" t="s">
        <v>312</v>
      </c>
      <c r="B81" s="22" t="s">
        <v>149</v>
      </c>
      <c r="C81" s="22" t="s">
        <v>150</v>
      </c>
      <c r="D81" s="23" t="s">
        <v>151</v>
      </c>
      <c r="E81" s="22" t="s">
        <v>61</v>
      </c>
      <c r="F81" s="22" t="s">
        <v>152</v>
      </c>
      <c r="G81" s="22" t="s">
        <v>60</v>
      </c>
      <c r="H81" s="22" t="s">
        <v>293</v>
      </c>
      <c r="I81" s="22" t="s">
        <v>294</v>
      </c>
      <c r="J81" s="22" t="s">
        <v>211</v>
      </c>
      <c r="M81" s="22" t="s">
        <v>1</v>
      </c>
      <c r="N81" s="22" t="s">
        <v>228</v>
      </c>
      <c r="O81" s="22" t="s">
        <v>158</v>
      </c>
      <c r="P81" s="21">
        <v>10300</v>
      </c>
      <c r="Q81" s="21">
        <v>2.5</v>
      </c>
      <c r="R81" s="21">
        <v>1</v>
      </c>
      <c r="S81" s="21">
        <v>1</v>
      </c>
      <c r="T81" s="21" t="s">
        <v>159</v>
      </c>
      <c r="U81" s="21">
        <v>1</v>
      </c>
      <c r="V81" s="21">
        <v>1</v>
      </c>
      <c r="W81" s="24">
        <f>(4*3.14*(((Q81^1.6*R81^1.6+Q81^1.6*S81^1.6+R81^1.6+S81^1.6)/3)^(1/1.6)))*(1/V81)</f>
        <v>27.748968542876781</v>
      </c>
      <c r="X81" s="24">
        <f>3.14/6*Q81*R81*S81*U81</f>
        <v>1.3083333333333333</v>
      </c>
      <c r="Y81" s="21">
        <v>4000</v>
      </c>
      <c r="Z81" s="24">
        <f>Y81*W81</f>
        <v>110995.87417150712</v>
      </c>
      <c r="AA81" s="24">
        <f>Y81*X81</f>
        <v>5233.333333333333</v>
      </c>
      <c r="AB81" s="21">
        <v>100</v>
      </c>
      <c r="AC81" s="21">
        <v>100</v>
      </c>
      <c r="AD81" s="21">
        <v>100</v>
      </c>
      <c r="AE81" s="21" t="s">
        <v>159</v>
      </c>
      <c r="AF81" s="21">
        <v>0.01</v>
      </c>
      <c r="AG81" s="22">
        <v>1</v>
      </c>
      <c r="AH81" s="24">
        <f>(4*3.14*(((AB81^1.6*AC81^1.6+AB81^1.6*AD81^1.6+AC81^1.6+AD81^1.6)/3)^(1/1.6)))*(1/AG81)</f>
        <v>97522.272269543319</v>
      </c>
      <c r="AI81" s="24">
        <f>3.14/6*AB81*AC81*AD81*AF81</f>
        <v>5233.333333333333</v>
      </c>
      <c r="AJ81" s="21">
        <v>5236</v>
      </c>
      <c r="AK81" s="21">
        <v>100</v>
      </c>
      <c r="AL81" s="22" t="s">
        <v>161</v>
      </c>
      <c r="AM81" s="22">
        <v>0.22</v>
      </c>
      <c r="AN81" s="22" t="s">
        <v>229</v>
      </c>
      <c r="AO81" s="22" t="s">
        <v>229</v>
      </c>
      <c r="AP81" s="22" t="s">
        <v>230</v>
      </c>
      <c r="AQ81" s="22" t="str">
        <f>IF(AND($AK81&lt;20,AJ81&lt;10000),"Nanophytoplankton","Microphytoplankton")</f>
        <v>Microphytoplankton</v>
      </c>
      <c r="AR81" s="22">
        <v>0</v>
      </c>
      <c r="AS81" s="22">
        <v>0</v>
      </c>
      <c r="AT81" s="22">
        <v>0</v>
      </c>
      <c r="AU81" s="22">
        <v>1</v>
      </c>
      <c r="AV81" s="22">
        <v>0</v>
      </c>
      <c r="AW81" s="22">
        <v>0</v>
      </c>
      <c r="AX81" s="22">
        <v>0</v>
      </c>
      <c r="AY81" s="22">
        <v>1</v>
      </c>
      <c r="BH81" s="22">
        <f t="shared" si="16"/>
        <v>4.7148899654116526E-2</v>
      </c>
    </row>
    <row r="82" spans="1:60" s="22" customFormat="1" ht="13">
      <c r="A82" s="21" t="s">
        <v>313</v>
      </c>
      <c r="B82" s="22" t="s">
        <v>149</v>
      </c>
      <c r="C82" s="22" t="s">
        <v>150</v>
      </c>
      <c r="D82" s="23" t="s">
        <v>151</v>
      </c>
      <c r="E82" s="22" t="s">
        <v>61</v>
      </c>
      <c r="F82" s="22" t="s">
        <v>152</v>
      </c>
      <c r="G82" s="22" t="s">
        <v>60</v>
      </c>
      <c r="H82" s="22" t="s">
        <v>293</v>
      </c>
      <c r="I82" s="22" t="s">
        <v>294</v>
      </c>
      <c r="J82" s="22" t="s">
        <v>314</v>
      </c>
      <c r="M82" s="22" t="s">
        <v>1</v>
      </c>
      <c r="N82" s="22" t="s">
        <v>228</v>
      </c>
      <c r="O82" s="22" t="s">
        <v>158</v>
      </c>
      <c r="P82" s="21">
        <v>10301</v>
      </c>
      <c r="Q82" s="21">
        <v>5</v>
      </c>
      <c r="R82" s="21">
        <v>1.5</v>
      </c>
      <c r="S82" s="21">
        <v>1.5</v>
      </c>
      <c r="T82" s="21" t="s">
        <v>159</v>
      </c>
      <c r="U82" s="21">
        <v>1</v>
      </c>
      <c r="V82" s="21">
        <v>1</v>
      </c>
      <c r="W82" s="24">
        <f>(4*3.14*(((Q82^1.6*R82^1.6+Q82^1.6*S82^1.6+R82^1.6+S82^1.6)/3)^(1/1.6)))*(1/V82)</f>
        <v>76.544396444913318</v>
      </c>
      <c r="X82" s="24">
        <f>3.14/6*Q82*R82*S82*U82</f>
        <v>5.8874999999999993</v>
      </c>
      <c r="Y82" s="21">
        <v>10</v>
      </c>
      <c r="Z82" s="24">
        <f>Y82*W82</f>
        <v>765.4439644491332</v>
      </c>
      <c r="AA82" s="24">
        <f>Y82*X82</f>
        <v>58.874999999999993</v>
      </c>
      <c r="AB82" s="21">
        <v>10</v>
      </c>
      <c r="AC82" s="21">
        <v>10</v>
      </c>
      <c r="AD82" s="21">
        <v>10</v>
      </c>
      <c r="AE82" s="21" t="s">
        <v>159</v>
      </c>
      <c r="AF82" s="21">
        <v>0.1</v>
      </c>
      <c r="AG82" s="22">
        <v>1</v>
      </c>
      <c r="AH82" s="24">
        <f>(4*3.14*(((AB82^1.6*AC82^1.6+AB82^1.6*AD82^1.6+AC82^1.6+AD82^1.6)/3)^(1/1.6)))*(1/AG82)</f>
        <v>990.0713501282612</v>
      </c>
      <c r="AI82" s="24">
        <f>3.14/6*AB82*AC82*AD82*AF82</f>
        <v>52.333333333333343</v>
      </c>
      <c r="AJ82" s="21">
        <v>58.875</v>
      </c>
      <c r="AK82" s="21">
        <v>5</v>
      </c>
      <c r="AL82" s="22" t="s">
        <v>315</v>
      </c>
      <c r="AM82" s="22">
        <v>0.22</v>
      </c>
      <c r="AN82" s="22" t="s">
        <v>229</v>
      </c>
      <c r="AO82" s="22" t="s">
        <v>229</v>
      </c>
      <c r="AP82" s="22" t="s">
        <v>230</v>
      </c>
      <c r="AQ82" s="22" t="str">
        <f>IF(AND($AK82&lt;20,AJ82&lt;10000),"Nanophytoplankton","Microphytoplankton")</f>
        <v>Nanophytoplankton</v>
      </c>
      <c r="AR82" s="22">
        <v>0</v>
      </c>
      <c r="AS82" s="22">
        <v>0</v>
      </c>
      <c r="AT82" s="22">
        <v>0</v>
      </c>
      <c r="AU82" s="22">
        <v>1</v>
      </c>
      <c r="AV82" s="22">
        <v>0</v>
      </c>
      <c r="AW82" s="22">
        <v>0</v>
      </c>
      <c r="AX82" s="22">
        <v>0</v>
      </c>
      <c r="AY82" s="22">
        <v>1</v>
      </c>
      <c r="BH82" s="22">
        <f t="shared" si="16"/>
        <v>7.6916146360067716E-2</v>
      </c>
    </row>
    <row r="83" spans="1:60">
      <c r="BH83" s="22"/>
    </row>
    <row r="84" spans="1:60" s="22" customFormat="1" ht="13">
      <c r="A84" s="22" t="s">
        <v>1163</v>
      </c>
      <c r="B84" s="22" t="s">
        <v>663</v>
      </c>
      <c r="C84" s="23" t="s">
        <v>822</v>
      </c>
      <c r="D84" s="23" t="s">
        <v>965</v>
      </c>
      <c r="E84" s="22" t="s">
        <v>991</v>
      </c>
      <c r="F84" s="23" t="s">
        <v>992</v>
      </c>
      <c r="G84" s="23" t="s">
        <v>1005</v>
      </c>
      <c r="H84" s="22" t="s">
        <v>1022</v>
      </c>
      <c r="I84" s="22" t="s">
        <v>1160</v>
      </c>
      <c r="J84" s="22" t="s">
        <v>1164</v>
      </c>
      <c r="N84" s="22" t="s">
        <v>1165</v>
      </c>
      <c r="O84" s="22" t="s">
        <v>962</v>
      </c>
      <c r="P84" s="21">
        <v>54104</v>
      </c>
      <c r="Q84" s="22">
        <v>9</v>
      </c>
      <c r="R84" s="22">
        <v>6.5</v>
      </c>
      <c r="S84" s="22">
        <v>6.5</v>
      </c>
      <c r="T84" s="22" t="s">
        <v>281</v>
      </c>
      <c r="U84" s="21">
        <v>1</v>
      </c>
      <c r="V84" s="22">
        <v>1</v>
      </c>
      <c r="W84" s="24">
        <f>(4*3.14*(((Q84^1.6*R84^1.6+Q84^1.6*S84^1.6+R84^1.6+S84^1.6)/3)^(1/1.6)))*(1/V84)</f>
        <v>580.81908753567404</v>
      </c>
      <c r="X84" s="24">
        <f>3.14/6*Q84*R84*S84*U84</f>
        <v>198.9975</v>
      </c>
      <c r="Y84" s="21">
        <v>1</v>
      </c>
      <c r="Z84" s="24">
        <f>Y84*W84</f>
        <v>580.81908753567404</v>
      </c>
      <c r="AA84" s="24">
        <f>Y84*X84</f>
        <v>198.9975</v>
      </c>
      <c r="AE84" s="21"/>
      <c r="AF84" s="21"/>
      <c r="AG84" s="21"/>
      <c r="AH84" s="24"/>
      <c r="AI84" s="24"/>
      <c r="AJ84" s="21">
        <v>198.9975</v>
      </c>
      <c r="AK84" s="21">
        <v>9</v>
      </c>
      <c r="AL84" s="22" t="s">
        <v>161</v>
      </c>
      <c r="AM84" s="22">
        <v>0.11</v>
      </c>
      <c r="AO84" s="22" t="s">
        <v>830</v>
      </c>
      <c r="AP84" s="22" t="s">
        <v>963</v>
      </c>
      <c r="AQ84" s="22" t="str">
        <f>IF(AND($AK84&lt;20,AJ84&lt;10000),"Nanophytoplankton","Microphytoplankton")</f>
        <v>Nanophytoplankton</v>
      </c>
      <c r="AR84" s="22">
        <v>1</v>
      </c>
      <c r="AS84" s="22">
        <v>1</v>
      </c>
      <c r="AT84" s="22">
        <v>0</v>
      </c>
      <c r="AU84" s="22">
        <v>0</v>
      </c>
      <c r="AV84" s="22">
        <v>0</v>
      </c>
      <c r="AW84" s="22">
        <v>0</v>
      </c>
      <c r="AX84" s="22">
        <v>1</v>
      </c>
      <c r="AY84" s="22">
        <v>0</v>
      </c>
      <c r="BH84" s="22">
        <f t="shared" si="16"/>
        <v>0.34261528980446521</v>
      </c>
    </row>
    <row r="85" spans="1:60" s="22" customFormat="1" ht="13">
      <c r="A85" s="21" t="s">
        <v>2355</v>
      </c>
      <c r="B85" s="22" t="s">
        <v>663</v>
      </c>
      <c r="C85" s="22" t="s">
        <v>2223</v>
      </c>
      <c r="D85" s="22" t="s">
        <v>2224</v>
      </c>
      <c r="E85" s="23" t="s">
        <v>63</v>
      </c>
      <c r="F85" s="23" t="s">
        <v>2225</v>
      </c>
      <c r="G85" s="23" t="s">
        <v>2284</v>
      </c>
      <c r="H85" s="23" t="s">
        <v>2285</v>
      </c>
      <c r="I85" s="22" t="s">
        <v>45</v>
      </c>
      <c r="J85" s="38" t="s">
        <v>211</v>
      </c>
      <c r="K85" s="38"/>
      <c r="L85" s="38"/>
      <c r="M85" s="22" t="s">
        <v>1</v>
      </c>
      <c r="N85" s="22" t="s">
        <v>694</v>
      </c>
      <c r="O85" s="22" t="s">
        <v>2229</v>
      </c>
      <c r="P85" s="21">
        <v>80100</v>
      </c>
      <c r="Q85" s="22">
        <v>18</v>
      </c>
      <c r="R85" s="22">
        <v>18</v>
      </c>
      <c r="S85" s="22">
        <v>18</v>
      </c>
      <c r="T85" s="22" t="s">
        <v>281</v>
      </c>
      <c r="U85" s="21">
        <v>1</v>
      </c>
      <c r="V85" s="22">
        <v>1</v>
      </c>
      <c r="W85" s="24">
        <f>(4*3.14*(((Q85^1.6*R85^1.6+Q85^1.6*S85^1.6+R85^1.6+S85^1.6)/3)^(1/1.6)))*(1/V85)</f>
        <v>3177.8015103260286</v>
      </c>
      <c r="X85" s="24">
        <f>3.14/6*Q85*R85*S85*U85</f>
        <v>3052.08</v>
      </c>
      <c r="Y85" s="21">
        <v>1</v>
      </c>
      <c r="Z85" s="24">
        <f>Y85*W85</f>
        <v>3177.8015103260286</v>
      </c>
      <c r="AA85" s="24">
        <f>Y85*X85</f>
        <v>3052.08</v>
      </c>
      <c r="AE85" s="21"/>
      <c r="AF85" s="21" t="s">
        <v>247</v>
      </c>
      <c r="AG85" s="21"/>
      <c r="AH85" s="24"/>
      <c r="AI85" s="24"/>
      <c r="AJ85" s="21">
        <v>3053.6</v>
      </c>
      <c r="AK85" s="21">
        <v>18</v>
      </c>
      <c r="AL85" s="22" t="s">
        <v>161</v>
      </c>
      <c r="AM85" s="22">
        <v>0.16</v>
      </c>
      <c r="AN85" s="38"/>
      <c r="AO85" s="22" t="s">
        <v>830</v>
      </c>
      <c r="AP85" s="22" t="s">
        <v>673</v>
      </c>
      <c r="AQ85" s="22" t="str">
        <f>IF(AND($AK85&lt;20,AJ85&lt;10000),"Nanophytoplankton","Microphytoplankton")</f>
        <v>Nanophytoplankton</v>
      </c>
      <c r="AR85" s="22">
        <v>1</v>
      </c>
      <c r="AS85" s="22">
        <v>1</v>
      </c>
      <c r="AT85" s="22">
        <v>0</v>
      </c>
      <c r="AU85" s="22">
        <v>0</v>
      </c>
      <c r="AV85" s="22">
        <v>0</v>
      </c>
      <c r="AW85" s="22">
        <v>0</v>
      </c>
      <c r="AX85" s="22">
        <v>0</v>
      </c>
      <c r="AY85" s="22">
        <v>1</v>
      </c>
      <c r="BH85" s="22">
        <f t="shared" si="16"/>
        <v>0.96043758242372723</v>
      </c>
    </row>
    <row r="86" spans="1:60" s="22" customFormat="1" ht="13">
      <c r="A86" s="21" t="s">
        <v>2356</v>
      </c>
      <c r="B86" s="22" t="s">
        <v>663</v>
      </c>
      <c r="C86" s="22" t="s">
        <v>2223</v>
      </c>
      <c r="D86" s="22" t="s">
        <v>2224</v>
      </c>
      <c r="E86" s="23" t="s">
        <v>63</v>
      </c>
      <c r="F86" s="23" t="s">
        <v>2225</v>
      </c>
      <c r="G86" s="23" t="s">
        <v>2284</v>
      </c>
      <c r="H86" s="23" t="s">
        <v>2285</v>
      </c>
      <c r="I86" s="22" t="s">
        <v>45</v>
      </c>
      <c r="J86" s="38" t="s">
        <v>2357</v>
      </c>
      <c r="K86" s="38"/>
      <c r="L86" s="38"/>
      <c r="N86" s="22" t="s">
        <v>2358</v>
      </c>
      <c r="O86" s="22" t="s">
        <v>2229</v>
      </c>
      <c r="P86" s="21">
        <v>80101</v>
      </c>
      <c r="Q86" s="22">
        <v>8</v>
      </c>
      <c r="R86" s="22">
        <v>4</v>
      </c>
      <c r="S86" s="22">
        <v>4</v>
      </c>
      <c r="T86" s="22" t="s">
        <v>159</v>
      </c>
      <c r="U86" s="21">
        <v>1</v>
      </c>
      <c r="V86" s="22">
        <v>1</v>
      </c>
      <c r="W86" s="24">
        <f>(4*3.14*(((Q86^1.6*R86^1.6+Q86^1.6*S86^1.6+R86^1.6+S86^1.6)/3)^(1/1.6)))*(1/V86)</f>
        <v>318.9006424569489</v>
      </c>
      <c r="X86" s="24">
        <f>3.14/6*Q86*R86*S86*U86</f>
        <v>66.986666666666665</v>
      </c>
      <c r="Y86" s="22">
        <v>1</v>
      </c>
      <c r="Z86" s="24">
        <f>Y86*W86</f>
        <v>318.9006424569489</v>
      </c>
      <c r="AA86" s="24">
        <f>Y86*X86</f>
        <v>66.986666666666665</v>
      </c>
      <c r="AF86" s="21" t="s">
        <v>247</v>
      </c>
      <c r="AH86" s="25"/>
      <c r="AI86" s="25"/>
      <c r="AJ86" s="21">
        <v>66.986666666666665</v>
      </c>
      <c r="AK86" s="21">
        <v>8</v>
      </c>
      <c r="AL86" s="38" t="s">
        <v>2359</v>
      </c>
      <c r="AM86" s="22">
        <v>0.16</v>
      </c>
      <c r="AN86" s="38"/>
      <c r="AO86" s="22" t="s">
        <v>830</v>
      </c>
      <c r="AP86" s="22" t="s">
        <v>673</v>
      </c>
      <c r="AQ86" s="22" t="str">
        <f>IF(AND($AK86&lt;20,AJ86&lt;10000),"Nanophytoplankton","Microphytoplankton")</f>
        <v>Nanophytoplankton</v>
      </c>
      <c r="AR86" s="22">
        <v>1</v>
      </c>
      <c r="AS86" s="22">
        <v>1</v>
      </c>
      <c r="AT86" s="22">
        <v>0</v>
      </c>
      <c r="AU86" s="22">
        <v>0</v>
      </c>
      <c r="AV86" s="22">
        <v>0</v>
      </c>
      <c r="AW86" s="22">
        <v>0</v>
      </c>
      <c r="AX86" s="22">
        <v>0</v>
      </c>
      <c r="AY86" s="22">
        <v>1</v>
      </c>
      <c r="BH86" s="22">
        <f t="shared" si="16"/>
        <v>0.21005497558917513</v>
      </c>
    </row>
    <row r="87" spans="1:60">
      <c r="BH87" s="22"/>
    </row>
    <row r="88" spans="1:60" s="22" customFormat="1" ht="13">
      <c r="A88" s="21" t="s">
        <v>2427</v>
      </c>
      <c r="B88" s="22" t="s">
        <v>663</v>
      </c>
      <c r="C88" s="22" t="s">
        <v>2223</v>
      </c>
      <c r="D88" s="22" t="s">
        <v>2224</v>
      </c>
      <c r="E88" s="23" t="s">
        <v>63</v>
      </c>
      <c r="F88" s="23" t="s">
        <v>2225</v>
      </c>
      <c r="G88" s="23" t="s">
        <v>2226</v>
      </c>
      <c r="H88" s="38" t="s">
        <v>2231</v>
      </c>
      <c r="I88" s="22" t="s">
        <v>49</v>
      </c>
      <c r="J88" s="21" t="s">
        <v>2428</v>
      </c>
      <c r="K88" s="21"/>
      <c r="L88" s="21"/>
      <c r="N88" s="22" t="s">
        <v>2429</v>
      </c>
      <c r="O88" s="22" t="s">
        <v>2229</v>
      </c>
      <c r="P88" s="21">
        <v>82220</v>
      </c>
      <c r="Q88" s="21">
        <v>7</v>
      </c>
      <c r="R88" s="21">
        <v>7</v>
      </c>
      <c r="S88" s="21">
        <v>7</v>
      </c>
      <c r="T88" s="21" t="s">
        <v>281</v>
      </c>
      <c r="U88" s="21">
        <v>1</v>
      </c>
      <c r="V88" s="21">
        <v>1</v>
      </c>
      <c r="W88" s="24">
        <f>(4*3.14*(((Q88^1.6*R88^1.6+Q88^1.6*S88^1.6+R88^1.6+S88^1.6)/3)^(1/1.6)))*(1/V88)</f>
        <v>490.83181458055361</v>
      </c>
      <c r="X88" s="24">
        <f>3.14/6*Q88*R88*S88*U88</f>
        <v>179.50333333333333</v>
      </c>
      <c r="Y88" s="21">
        <v>16</v>
      </c>
      <c r="Z88" s="24">
        <f>Y88*W88</f>
        <v>7853.3090332888578</v>
      </c>
      <c r="AA88" s="24">
        <f>Y88*X88</f>
        <v>2872.0533333333333</v>
      </c>
      <c r="AB88" s="21">
        <v>21</v>
      </c>
      <c r="AC88" s="21">
        <v>21</v>
      </c>
      <c r="AD88" s="21">
        <v>21</v>
      </c>
      <c r="AE88" s="21" t="s">
        <v>246</v>
      </c>
      <c r="AF88" s="21">
        <v>0.8</v>
      </c>
      <c r="AG88" s="21">
        <v>1.5</v>
      </c>
      <c r="AH88" s="25">
        <f>4*3.14*(AC88/2)*(AB88/2)/AG88</f>
        <v>923.16</v>
      </c>
      <c r="AI88" s="25">
        <f>(3.14/6*(AD88*AB88*AC88))*AF88</f>
        <v>3877.2720000000004</v>
      </c>
      <c r="AJ88" s="21">
        <v>2973.5</v>
      </c>
      <c r="AK88" s="21">
        <v>40</v>
      </c>
      <c r="AL88" s="22" t="s">
        <v>161</v>
      </c>
      <c r="AM88" s="22">
        <v>0.16</v>
      </c>
      <c r="AN88" s="38" t="s">
        <v>1364</v>
      </c>
      <c r="AO88" s="38" t="s">
        <v>1364</v>
      </c>
      <c r="AP88" s="22" t="s">
        <v>162</v>
      </c>
      <c r="AQ88" s="22" t="str">
        <f>IF(AND($AK88&lt;20,AJ88&lt;10000),"Nanophytoplankton","Microphytoplankton")</f>
        <v>Microphytoplankton</v>
      </c>
      <c r="AR88" s="22">
        <v>0</v>
      </c>
      <c r="AS88" s="22">
        <v>0</v>
      </c>
      <c r="AT88" s="22">
        <v>0</v>
      </c>
      <c r="AU88" s="22">
        <v>1</v>
      </c>
      <c r="AV88" s="22">
        <v>0</v>
      </c>
      <c r="AW88" s="22">
        <v>0</v>
      </c>
      <c r="AX88" s="22">
        <v>0</v>
      </c>
      <c r="AY88" s="22">
        <v>1</v>
      </c>
      <c r="AZ88" s="22">
        <v>0</v>
      </c>
      <c r="BA88" s="22">
        <v>0</v>
      </c>
      <c r="BB88" s="22">
        <v>4</v>
      </c>
      <c r="BC88" s="22">
        <v>2</v>
      </c>
      <c r="BD88" s="22">
        <v>2</v>
      </c>
      <c r="BE88" s="22">
        <v>2</v>
      </c>
      <c r="BH88" s="22">
        <f t="shared" si="16"/>
        <v>0.36571250681199247</v>
      </c>
    </row>
    <row r="89" spans="1:60" s="22" customFormat="1" ht="13">
      <c r="A89" s="22" t="s">
        <v>2430</v>
      </c>
      <c r="B89" s="22" t="s">
        <v>663</v>
      </c>
      <c r="C89" s="22" t="s">
        <v>2223</v>
      </c>
      <c r="D89" s="22" t="s">
        <v>2224</v>
      </c>
      <c r="E89" s="23" t="s">
        <v>63</v>
      </c>
      <c r="F89" s="23" t="s">
        <v>2225</v>
      </c>
      <c r="G89" s="23" t="s">
        <v>2226</v>
      </c>
      <c r="H89" s="38" t="s">
        <v>2231</v>
      </c>
      <c r="I89" s="22" t="s">
        <v>49</v>
      </c>
      <c r="J89" s="22" t="s">
        <v>2428</v>
      </c>
      <c r="K89" s="22" t="s">
        <v>184</v>
      </c>
      <c r="L89" s="22" t="s">
        <v>2431</v>
      </c>
      <c r="N89" s="22" t="s">
        <v>2432</v>
      </c>
      <c r="O89" s="22" t="s">
        <v>2229</v>
      </c>
      <c r="P89" s="21">
        <v>82221</v>
      </c>
      <c r="Q89" s="22">
        <v>3</v>
      </c>
      <c r="R89" s="22">
        <v>3</v>
      </c>
      <c r="S89" s="22">
        <v>3</v>
      </c>
      <c r="T89" s="22" t="s">
        <v>246</v>
      </c>
      <c r="U89" s="21">
        <v>1</v>
      </c>
      <c r="V89" s="21">
        <v>1</v>
      </c>
      <c r="W89" s="25">
        <f>4*3.14*(R89/2)*(Q89/2)/V89</f>
        <v>28.259999999999998</v>
      </c>
      <c r="X89" s="25">
        <f>(3.14/6*(Q89*S89*R89))*U89</f>
        <v>14.129999999999999</v>
      </c>
      <c r="Y89" s="21">
        <v>3</v>
      </c>
      <c r="Z89" s="24">
        <f>Y89*W89</f>
        <v>84.78</v>
      </c>
      <c r="AA89" s="24">
        <f>Y89*X89</f>
        <v>42.39</v>
      </c>
      <c r="AB89" s="22">
        <v>6</v>
      </c>
      <c r="AC89" s="22">
        <v>6</v>
      </c>
      <c r="AD89" s="22">
        <v>6</v>
      </c>
      <c r="AE89" s="21" t="s">
        <v>246</v>
      </c>
      <c r="AF89" s="21">
        <v>0.8</v>
      </c>
      <c r="AG89" s="21">
        <v>2</v>
      </c>
      <c r="AH89" s="25">
        <f>4*3.14*(AC89/2)*(AB89/2)/AG89</f>
        <v>56.519999999999996</v>
      </c>
      <c r="AI89" s="25">
        <f>(3.14/6*(AD89*AB89*AC89))*AF89</f>
        <v>90.432000000000002</v>
      </c>
      <c r="AJ89" s="21">
        <v>42.39</v>
      </c>
      <c r="AK89" s="21">
        <v>6</v>
      </c>
      <c r="AL89" s="22" t="s">
        <v>2433</v>
      </c>
      <c r="AM89" s="22">
        <v>0.16</v>
      </c>
      <c r="AN89" s="22" t="s">
        <v>1364</v>
      </c>
      <c r="AO89" s="22" t="s">
        <v>1364</v>
      </c>
      <c r="AP89" s="22" t="s">
        <v>162</v>
      </c>
      <c r="AQ89" s="22" t="str">
        <f>IF(AND($AK89&lt;20,AJ89&lt;10000),"Nanophytoplankton","Microphytoplankton")</f>
        <v>Nanophytoplankton</v>
      </c>
      <c r="AR89" s="22">
        <v>0</v>
      </c>
      <c r="AS89" s="22">
        <v>0</v>
      </c>
      <c r="AT89" s="22">
        <v>0</v>
      </c>
      <c r="AU89" s="22">
        <v>1</v>
      </c>
      <c r="AV89" s="22">
        <v>0</v>
      </c>
      <c r="AW89" s="22">
        <v>0</v>
      </c>
      <c r="AX89" s="22">
        <v>0</v>
      </c>
      <c r="AY89" s="22">
        <v>1</v>
      </c>
      <c r="BH89" s="22">
        <f t="shared" si="16"/>
        <v>0.5</v>
      </c>
    </row>
    <row r="90" spans="1:60" s="22" customFormat="1" ht="13">
      <c r="A90" s="21" t="s">
        <v>1514</v>
      </c>
      <c r="B90" s="22" t="s">
        <v>663</v>
      </c>
      <c r="C90" s="23" t="s">
        <v>822</v>
      </c>
      <c r="D90" s="23" t="s">
        <v>965</v>
      </c>
      <c r="E90" s="22" t="s">
        <v>62</v>
      </c>
      <c r="F90" s="22" t="s">
        <v>1424</v>
      </c>
      <c r="G90" s="23" t="s">
        <v>1507</v>
      </c>
      <c r="H90" s="23" t="s">
        <v>1508</v>
      </c>
      <c r="I90" s="22" t="s">
        <v>40</v>
      </c>
      <c r="J90" s="22" t="s">
        <v>1515</v>
      </c>
      <c r="N90" s="22" t="s">
        <v>1516</v>
      </c>
      <c r="O90" s="22" t="s">
        <v>1430</v>
      </c>
      <c r="P90" s="21">
        <v>70115</v>
      </c>
      <c r="Q90" s="21">
        <v>30</v>
      </c>
      <c r="R90" s="21">
        <v>8</v>
      </c>
      <c r="S90" s="21">
        <v>8</v>
      </c>
      <c r="T90" s="21" t="s">
        <v>160</v>
      </c>
      <c r="U90" s="21">
        <v>1</v>
      </c>
      <c r="V90" s="22">
        <v>1</v>
      </c>
      <c r="W90" s="24">
        <f>3.14*R90*Q90+2*3.14*(S90/2)^2/V90</f>
        <v>854.08</v>
      </c>
      <c r="X90" s="25">
        <f>(3.14/4*R90^2*Q90)*U90</f>
        <v>1507.2</v>
      </c>
      <c r="Y90" s="22">
        <v>1</v>
      </c>
      <c r="Z90" s="24">
        <f>Y90*W90</f>
        <v>854.08</v>
      </c>
      <c r="AA90" s="24">
        <f>Y90*X90</f>
        <v>1507.2</v>
      </c>
      <c r="AB90" s="21"/>
      <c r="AC90" s="21"/>
      <c r="AD90" s="21"/>
      <c r="AF90" s="21" t="s">
        <v>247</v>
      </c>
      <c r="AH90" s="25"/>
      <c r="AI90" s="25"/>
      <c r="AJ90" s="21">
        <v>1920</v>
      </c>
      <c r="AK90" s="21">
        <v>100</v>
      </c>
      <c r="AL90" s="22" t="s">
        <v>161</v>
      </c>
      <c r="AM90" s="22">
        <v>0.11</v>
      </c>
      <c r="AN90" s="22" t="s">
        <v>1517</v>
      </c>
      <c r="AO90" s="22" t="s">
        <v>1517</v>
      </c>
      <c r="AP90" s="22" t="s">
        <v>1432</v>
      </c>
      <c r="AQ90" s="22" t="str">
        <f>IF(AND($AK90&lt;20,AJ90&lt;10000),"Nanophytoplankton","Microphytoplankton")</f>
        <v>Microphytoplankton</v>
      </c>
      <c r="AR90" s="22">
        <v>0</v>
      </c>
      <c r="AS90" s="22">
        <v>0</v>
      </c>
      <c r="AT90" s="22">
        <v>0</v>
      </c>
      <c r="AU90" s="22">
        <v>1</v>
      </c>
      <c r="AV90" s="22">
        <v>1</v>
      </c>
      <c r="AW90" s="22">
        <v>0</v>
      </c>
      <c r="AX90" s="22">
        <v>1</v>
      </c>
      <c r="AY90" s="22">
        <v>0</v>
      </c>
      <c r="AZ90" s="22">
        <v>0</v>
      </c>
      <c r="BA90" s="22">
        <v>0</v>
      </c>
      <c r="BB90" s="22">
        <v>0</v>
      </c>
      <c r="BC90" s="22">
        <v>4</v>
      </c>
      <c r="BD90" s="22">
        <v>3</v>
      </c>
      <c r="BE90" s="22">
        <v>3</v>
      </c>
      <c r="BF90" s="22">
        <v>0</v>
      </c>
      <c r="BG90" s="22">
        <v>1</v>
      </c>
      <c r="BH90" s="22">
        <f t="shared" si="16"/>
        <v>1.7647058823529411</v>
      </c>
    </row>
    <row r="91" spans="1:60" s="22" customFormat="1" ht="13">
      <c r="A91" s="21" t="s">
        <v>1518</v>
      </c>
      <c r="B91" s="22" t="s">
        <v>663</v>
      </c>
      <c r="C91" s="23" t="s">
        <v>822</v>
      </c>
      <c r="D91" s="23" t="s">
        <v>965</v>
      </c>
      <c r="E91" s="22" t="s">
        <v>62</v>
      </c>
      <c r="F91" s="22" t="s">
        <v>1424</v>
      </c>
      <c r="G91" s="23" t="s">
        <v>1507</v>
      </c>
      <c r="H91" s="23" t="s">
        <v>1508</v>
      </c>
      <c r="I91" s="22" t="s">
        <v>40</v>
      </c>
      <c r="J91" s="22" t="s">
        <v>1515</v>
      </c>
      <c r="K91" s="22" t="s">
        <v>175</v>
      </c>
      <c r="L91" s="22" t="s">
        <v>1519</v>
      </c>
      <c r="N91" s="22" t="s">
        <v>1520</v>
      </c>
      <c r="O91" s="22" t="s">
        <v>1430</v>
      </c>
      <c r="P91" s="21">
        <v>70110</v>
      </c>
      <c r="Q91" s="21">
        <v>36</v>
      </c>
      <c r="R91" s="21">
        <v>4</v>
      </c>
      <c r="S91" s="21">
        <v>4</v>
      </c>
      <c r="T91" s="21" t="s">
        <v>160</v>
      </c>
      <c r="U91" s="21">
        <v>1</v>
      </c>
      <c r="V91" s="22">
        <v>1</v>
      </c>
      <c r="W91" s="24">
        <f>3.14*R91*Q91+2*3.14*(S91/2)^2/V91</f>
        <v>477.28000000000003</v>
      </c>
      <c r="X91" s="25">
        <f>(3.14/4*R91^2*Q91)*U91</f>
        <v>452.16</v>
      </c>
      <c r="Y91" s="22">
        <v>1</v>
      </c>
      <c r="Z91" s="24">
        <f>Y91*W91</f>
        <v>477.28000000000003</v>
      </c>
      <c r="AA91" s="24">
        <f>Y91*X91</f>
        <v>452.16</v>
      </c>
      <c r="AB91" s="21"/>
      <c r="AC91" s="21"/>
      <c r="AD91" s="21"/>
      <c r="AF91" s="21" t="s">
        <v>247</v>
      </c>
      <c r="AH91" s="25"/>
      <c r="AI91" s="25"/>
      <c r="AJ91" s="21">
        <v>452.4</v>
      </c>
      <c r="AK91" s="21">
        <v>100</v>
      </c>
      <c r="AL91" s="22" t="s">
        <v>161</v>
      </c>
      <c r="AM91" s="22">
        <v>0.11</v>
      </c>
      <c r="AN91" s="22" t="s">
        <v>1517</v>
      </c>
      <c r="AO91" s="22" t="s">
        <v>1517</v>
      </c>
      <c r="AP91" s="22" t="s">
        <v>1432</v>
      </c>
      <c r="AQ91" s="22" t="str">
        <f>IF(AND($AK91&lt;20,AJ91&lt;10000),"Nanophytoplankton","Microphytoplankton")</f>
        <v>Microphytoplankton</v>
      </c>
      <c r="AR91" s="22">
        <v>0</v>
      </c>
      <c r="AS91" s="22">
        <v>0</v>
      </c>
      <c r="AT91" s="22">
        <v>0</v>
      </c>
      <c r="AU91" s="22">
        <v>1</v>
      </c>
      <c r="AV91" s="22">
        <v>1</v>
      </c>
      <c r="AW91" s="22">
        <v>0</v>
      </c>
      <c r="AX91" s="22">
        <v>1</v>
      </c>
      <c r="AY91" s="22">
        <v>0</v>
      </c>
      <c r="AZ91" s="22">
        <v>0</v>
      </c>
      <c r="BA91" s="22">
        <v>0</v>
      </c>
      <c r="BB91" s="22">
        <v>0</v>
      </c>
      <c r="BC91" s="22">
        <v>2</v>
      </c>
      <c r="BD91" s="22">
        <v>4</v>
      </c>
      <c r="BE91" s="22">
        <v>4</v>
      </c>
      <c r="BF91" s="22">
        <v>0</v>
      </c>
      <c r="BG91" s="22">
        <v>1</v>
      </c>
      <c r="BH91" s="22">
        <f t="shared" si="16"/>
        <v>0.94736842105263153</v>
      </c>
    </row>
    <row r="92" spans="1:60" s="22" customFormat="1" ht="13">
      <c r="A92" s="22" t="s">
        <v>1521</v>
      </c>
      <c r="B92" s="22" t="s">
        <v>663</v>
      </c>
      <c r="C92" s="23" t="s">
        <v>822</v>
      </c>
      <c r="D92" s="23" t="s">
        <v>965</v>
      </c>
      <c r="E92" s="22" t="s">
        <v>62</v>
      </c>
      <c r="F92" s="22" t="s">
        <v>1424</v>
      </c>
      <c r="G92" s="23" t="s">
        <v>1507</v>
      </c>
      <c r="H92" s="23" t="s">
        <v>1508</v>
      </c>
      <c r="I92" s="22" t="s">
        <v>40</v>
      </c>
      <c r="J92" s="22" t="s">
        <v>1515</v>
      </c>
      <c r="K92" s="22" t="s">
        <v>175</v>
      </c>
      <c r="L92" s="22" t="s">
        <v>1522</v>
      </c>
      <c r="N92" s="22" t="s">
        <v>1523</v>
      </c>
      <c r="O92" s="22" t="s">
        <v>1430</v>
      </c>
      <c r="P92" s="21">
        <v>70113</v>
      </c>
      <c r="Q92" s="22">
        <v>17</v>
      </c>
      <c r="R92" s="22">
        <v>4</v>
      </c>
      <c r="S92" s="22">
        <v>4</v>
      </c>
      <c r="T92" s="21" t="s">
        <v>160</v>
      </c>
      <c r="U92" s="21">
        <v>1</v>
      </c>
      <c r="V92" s="22">
        <v>1</v>
      </c>
      <c r="W92" s="24">
        <f>3.14*R92*Q92+2*3.14*(S92/2)^2/V92</f>
        <v>238.64000000000001</v>
      </c>
      <c r="X92" s="25">
        <f>(3.14/4*R92^2*Q92)*U92</f>
        <v>213.52</v>
      </c>
      <c r="Y92" s="22">
        <v>1</v>
      </c>
      <c r="Z92" s="24">
        <f>Y92*W92</f>
        <v>238.64000000000001</v>
      </c>
      <c r="AA92" s="24">
        <f>Y92*X92</f>
        <v>213.52</v>
      </c>
      <c r="AF92" s="21" t="s">
        <v>247</v>
      </c>
      <c r="AH92" s="25"/>
      <c r="AI92" s="25"/>
      <c r="AJ92" s="21">
        <v>908</v>
      </c>
      <c r="AK92" s="21">
        <v>100</v>
      </c>
      <c r="AL92" s="22" t="s">
        <v>161</v>
      </c>
      <c r="AM92" s="22">
        <v>0.11</v>
      </c>
      <c r="AN92" s="22" t="s">
        <v>1517</v>
      </c>
      <c r="AO92" s="22" t="s">
        <v>1517</v>
      </c>
      <c r="AP92" s="22" t="s">
        <v>1432</v>
      </c>
      <c r="AQ92" s="22" t="str">
        <f>IF(AND($AK92&lt;20,AJ92&lt;10000),"Nanophytoplankton","Microphytoplankton")</f>
        <v>Microphytoplankton</v>
      </c>
      <c r="AR92" s="22">
        <v>0</v>
      </c>
      <c r="AS92" s="22">
        <v>0</v>
      </c>
      <c r="AT92" s="22">
        <v>0</v>
      </c>
      <c r="AU92" s="22">
        <v>1</v>
      </c>
      <c r="AV92" s="22">
        <v>1</v>
      </c>
      <c r="AW92" s="22">
        <v>0</v>
      </c>
      <c r="AX92" s="22">
        <v>1</v>
      </c>
      <c r="AY92" s="22">
        <v>0</v>
      </c>
      <c r="BF92" s="22">
        <v>0</v>
      </c>
      <c r="BG92" s="22">
        <v>1</v>
      </c>
      <c r="BH92" s="22">
        <f t="shared" si="16"/>
        <v>0.89473684210526316</v>
      </c>
    </row>
    <row r="93" spans="1:60">
      <c r="BH93" s="22"/>
    </row>
    <row r="94" spans="1:60" s="22" customFormat="1" ht="13">
      <c r="A94" s="21" t="s">
        <v>2717</v>
      </c>
      <c r="B94" s="22" t="s">
        <v>663</v>
      </c>
      <c r="C94" s="22" t="s">
        <v>2223</v>
      </c>
      <c r="D94" s="22" t="s">
        <v>2224</v>
      </c>
      <c r="E94" s="23" t="s">
        <v>63</v>
      </c>
      <c r="F94" s="23" t="s">
        <v>2225</v>
      </c>
      <c r="G94" s="23" t="s">
        <v>2226</v>
      </c>
      <c r="H94" s="22" t="s">
        <v>2253</v>
      </c>
      <c r="I94" s="22" t="s">
        <v>2692</v>
      </c>
      <c r="J94" s="38" t="s">
        <v>428</v>
      </c>
      <c r="K94" s="38"/>
      <c r="L94" s="38"/>
      <c r="N94" s="22" t="s">
        <v>2718</v>
      </c>
      <c r="O94" s="22" t="s">
        <v>2229</v>
      </c>
      <c r="P94" s="21">
        <v>81720</v>
      </c>
      <c r="Q94" s="21">
        <v>15</v>
      </c>
      <c r="R94" s="21">
        <v>4</v>
      </c>
      <c r="S94" s="21">
        <v>4</v>
      </c>
      <c r="T94" s="21" t="s">
        <v>281</v>
      </c>
      <c r="U94" s="21">
        <v>0.7</v>
      </c>
      <c r="V94" s="21">
        <v>0.7</v>
      </c>
      <c r="W94" s="24">
        <f>(4*3.14*(((Q94^1.6*R94^1.6+Q94^1.6*S94^1.6+R94^1.6+S94^1.6)/3)^(1/1.6)))*(1/V94)</f>
        <v>842.41571633763772</v>
      </c>
      <c r="X94" s="24">
        <f>3.14/6*Q94*R94*S94*U94</f>
        <v>87.919999999999987</v>
      </c>
      <c r="Y94" s="22">
        <v>1</v>
      </c>
      <c r="Z94" s="24">
        <f>Y94*W94</f>
        <v>842.41571633763772</v>
      </c>
      <c r="AA94" s="24">
        <f>Y94*X94</f>
        <v>87.919999999999987</v>
      </c>
      <c r="AB94" s="21"/>
      <c r="AC94" s="21"/>
      <c r="AD94" s="21"/>
      <c r="AE94" s="21"/>
      <c r="AF94" s="21"/>
      <c r="AG94" s="21"/>
      <c r="AH94" s="24"/>
      <c r="AI94" s="24"/>
      <c r="AJ94" s="21">
        <v>131.9</v>
      </c>
      <c r="AK94" s="21">
        <v>15</v>
      </c>
      <c r="AL94" s="22" t="s">
        <v>161</v>
      </c>
      <c r="AM94" s="22">
        <v>0.16</v>
      </c>
      <c r="AN94" s="38" t="s">
        <v>2257</v>
      </c>
      <c r="AO94" s="22" t="s">
        <v>2257</v>
      </c>
      <c r="AP94" s="22" t="s">
        <v>162</v>
      </c>
      <c r="AQ94" s="22" t="str">
        <f>IF(AND($AK94&lt;20,AJ94&lt;10000),"Nanophytoplankton","Microphytoplankton")</f>
        <v>Nanophytoplankton</v>
      </c>
      <c r="AR94" s="22">
        <v>0</v>
      </c>
      <c r="AS94" s="22">
        <v>0</v>
      </c>
      <c r="AT94" s="22">
        <v>0</v>
      </c>
      <c r="AU94" s="22">
        <v>0</v>
      </c>
      <c r="AV94" s="22">
        <v>0</v>
      </c>
      <c r="AW94" s="22">
        <v>0</v>
      </c>
      <c r="AX94" s="22">
        <v>0</v>
      </c>
      <c r="AY94" s="22">
        <v>1</v>
      </c>
      <c r="AZ94" s="22">
        <v>0</v>
      </c>
      <c r="BA94" s="22">
        <v>1</v>
      </c>
      <c r="BB94" s="22">
        <v>0</v>
      </c>
      <c r="BC94" s="22">
        <v>1</v>
      </c>
      <c r="BD94" s="22">
        <v>7</v>
      </c>
      <c r="BE94" s="22">
        <v>1</v>
      </c>
      <c r="BH94" s="22">
        <f t="shared" si="16"/>
        <v>0.10436652390844274</v>
      </c>
    </row>
    <row r="95" spans="1:60" s="22" customFormat="1" ht="13">
      <c r="A95" s="21" t="s">
        <v>1206</v>
      </c>
      <c r="B95" s="22" t="s">
        <v>663</v>
      </c>
      <c r="C95" s="23" t="s">
        <v>822</v>
      </c>
      <c r="D95" s="23" t="s">
        <v>965</v>
      </c>
      <c r="E95" s="22" t="s">
        <v>991</v>
      </c>
      <c r="F95" s="23" t="s">
        <v>1200</v>
      </c>
      <c r="G95" s="23" t="s">
        <v>1201</v>
      </c>
      <c r="H95" s="22" t="s">
        <v>1202</v>
      </c>
      <c r="I95" s="22" t="s">
        <v>1203</v>
      </c>
      <c r="J95" s="22" t="s">
        <v>1207</v>
      </c>
      <c r="N95" s="22" t="s">
        <v>1208</v>
      </c>
      <c r="O95" s="22" t="s">
        <v>962</v>
      </c>
      <c r="P95" s="21">
        <v>50520</v>
      </c>
      <c r="Q95" s="21">
        <v>40</v>
      </c>
      <c r="R95" s="21">
        <v>5</v>
      </c>
      <c r="S95" s="21">
        <v>5</v>
      </c>
      <c r="T95" s="22" t="s">
        <v>281</v>
      </c>
      <c r="U95" s="21">
        <v>0.6</v>
      </c>
      <c r="V95" s="21">
        <v>0.6</v>
      </c>
      <c r="W95" s="24">
        <f>(4*3.14*(((Q95^1.6*R95^1.6+Q95^1.6*S95^1.6+R95^1.6+S95^1.6)/3)^(1/1.6)))*(1/V95)</f>
        <v>3255.0096080756221</v>
      </c>
      <c r="X95" s="24">
        <f>3.14/6*Q95*R95*S95*U95</f>
        <v>314</v>
      </c>
      <c r="Y95" s="21">
        <v>1</v>
      </c>
      <c r="Z95" s="24">
        <f>Y95*W95</f>
        <v>3255.0096080756221</v>
      </c>
      <c r="AA95" s="24">
        <f>Y95*X95</f>
        <v>314</v>
      </c>
      <c r="AB95" s="21"/>
      <c r="AC95" s="21"/>
      <c r="AD95" s="21"/>
      <c r="AE95" s="21"/>
      <c r="AF95" s="21" t="s">
        <v>247</v>
      </c>
      <c r="AG95" s="21"/>
      <c r="AH95" s="24"/>
      <c r="AI95" s="24"/>
      <c r="AJ95" s="21">
        <v>314.2</v>
      </c>
      <c r="AK95" s="21">
        <v>40</v>
      </c>
      <c r="AL95" s="22" t="s">
        <v>161</v>
      </c>
      <c r="AM95" s="22">
        <v>0.11</v>
      </c>
      <c r="AN95" s="22" t="s">
        <v>1057</v>
      </c>
      <c r="AO95" s="22" t="s">
        <v>1057</v>
      </c>
      <c r="AP95" s="22" t="s">
        <v>963</v>
      </c>
      <c r="AQ95" s="22" t="str">
        <f>IF(AND($AK95&lt;20,AJ95&lt;10000),"Nanophytoplankton","Microphytoplankton")</f>
        <v>Microphytoplankton</v>
      </c>
      <c r="AR95" s="22">
        <v>1</v>
      </c>
      <c r="AS95" s="22">
        <v>1</v>
      </c>
      <c r="AT95" s="22">
        <v>0</v>
      </c>
      <c r="AU95" s="22">
        <v>0</v>
      </c>
      <c r="AV95" s="22">
        <v>0</v>
      </c>
      <c r="AW95" s="22">
        <v>0</v>
      </c>
      <c r="AX95" s="22">
        <v>1</v>
      </c>
      <c r="AY95" s="22">
        <v>0</v>
      </c>
      <c r="AZ95" s="22">
        <v>0</v>
      </c>
      <c r="BA95" s="22">
        <v>0</v>
      </c>
      <c r="BB95" s="22">
        <v>2</v>
      </c>
      <c r="BC95" s="22">
        <v>3</v>
      </c>
      <c r="BD95" s="22">
        <v>3</v>
      </c>
      <c r="BE95" s="22">
        <v>2</v>
      </c>
      <c r="BH95" s="22">
        <f t="shared" si="16"/>
        <v>9.6466689136944936E-2</v>
      </c>
    </row>
    <row r="96" spans="1:60" s="22" customFormat="1" ht="13">
      <c r="A96" s="21" t="s">
        <v>1945</v>
      </c>
      <c r="B96" s="22" t="s">
        <v>663</v>
      </c>
      <c r="C96" s="23" t="s">
        <v>822</v>
      </c>
      <c r="D96" s="23" t="s">
        <v>965</v>
      </c>
      <c r="E96" s="22" t="s">
        <v>62</v>
      </c>
      <c r="F96" s="22" t="s">
        <v>1424</v>
      </c>
      <c r="G96" s="23" t="s">
        <v>1946</v>
      </c>
      <c r="H96" s="23" t="s">
        <v>1947</v>
      </c>
      <c r="I96" s="22" t="s">
        <v>1948</v>
      </c>
      <c r="J96" s="22" t="s">
        <v>1233</v>
      </c>
      <c r="N96" s="22" t="s">
        <v>475</v>
      </c>
      <c r="O96" s="22" t="s">
        <v>1430</v>
      </c>
      <c r="P96" s="21">
        <v>70140</v>
      </c>
      <c r="Q96" s="21">
        <v>24</v>
      </c>
      <c r="R96" s="21">
        <v>14</v>
      </c>
      <c r="S96" s="21">
        <v>14</v>
      </c>
      <c r="T96" s="22" t="s">
        <v>330</v>
      </c>
      <c r="U96" s="21">
        <v>1</v>
      </c>
      <c r="V96" s="22">
        <v>1</v>
      </c>
      <c r="W96" s="25">
        <f>(Q96*R96*2+Q96*S96*2+R96*S96*2)/V96</f>
        <v>1736</v>
      </c>
      <c r="X96" s="25">
        <f>Q96*R96*S96*U96</f>
        <v>4704</v>
      </c>
      <c r="Y96" s="21">
        <v>1</v>
      </c>
      <c r="Z96" s="24">
        <f>Y96*W96</f>
        <v>1736</v>
      </c>
      <c r="AA96" s="24">
        <f>Y96*X96</f>
        <v>4704</v>
      </c>
      <c r="AB96" s="21"/>
      <c r="AC96" s="21"/>
      <c r="AD96" s="21"/>
      <c r="AE96" s="21"/>
      <c r="AF96" s="21" t="s">
        <v>247</v>
      </c>
      <c r="AG96" s="21"/>
      <c r="AH96" s="24"/>
      <c r="AI96" s="24"/>
      <c r="AJ96" s="21">
        <v>3694.5</v>
      </c>
      <c r="AK96" s="21">
        <v>100</v>
      </c>
      <c r="AL96" s="22" t="s">
        <v>161</v>
      </c>
      <c r="AM96" s="22">
        <v>0.11</v>
      </c>
      <c r="AO96" s="22" t="s">
        <v>1447</v>
      </c>
      <c r="AP96" s="22" t="s">
        <v>1432</v>
      </c>
      <c r="AQ96" s="22" t="str">
        <f>IF(AND($AK96&lt;20,AJ96&lt;10000),"Nanophytoplankton","Microphytoplankton")</f>
        <v>Microphytoplankton</v>
      </c>
      <c r="AR96" s="22">
        <v>0</v>
      </c>
      <c r="AS96" s="22">
        <v>0</v>
      </c>
      <c r="AT96" s="22">
        <v>0</v>
      </c>
      <c r="AU96" s="22">
        <v>1</v>
      </c>
      <c r="AV96" s="22">
        <v>1</v>
      </c>
      <c r="AW96" s="22">
        <v>0</v>
      </c>
      <c r="AX96" s="22">
        <v>1</v>
      </c>
      <c r="AY96" s="22">
        <v>0</v>
      </c>
      <c r="AZ96" s="22">
        <v>0</v>
      </c>
      <c r="BA96" s="22">
        <v>0</v>
      </c>
      <c r="BB96" s="22">
        <v>0</v>
      </c>
      <c r="BC96" s="22">
        <v>1</v>
      </c>
      <c r="BD96" s="22">
        <v>7</v>
      </c>
      <c r="BE96" s="22">
        <v>2</v>
      </c>
      <c r="BH96" s="22">
        <f t="shared" si="16"/>
        <v>2.7096774193548385</v>
      </c>
    </row>
    <row r="97" spans="1:60" s="22" customFormat="1" ht="13">
      <c r="A97" s="21"/>
      <c r="C97" s="23"/>
      <c r="D97" s="23"/>
      <c r="G97" s="23"/>
      <c r="H97" s="23"/>
      <c r="P97" s="21"/>
      <c r="Q97" s="21"/>
      <c r="R97" s="21"/>
      <c r="S97" s="21"/>
      <c r="U97" s="21"/>
      <c r="W97" s="25"/>
      <c r="X97" s="25"/>
      <c r="Y97" s="21"/>
      <c r="Z97" s="24"/>
      <c r="AA97" s="24"/>
      <c r="AB97" s="21"/>
      <c r="AC97" s="21"/>
      <c r="AD97" s="21"/>
      <c r="AE97" s="21"/>
      <c r="AF97" s="21"/>
      <c r="AG97" s="21"/>
      <c r="AH97" s="24"/>
      <c r="AI97" s="24"/>
      <c r="AJ97" s="21"/>
      <c r="AK97" s="21"/>
    </row>
    <row r="98" spans="1:60">
      <c r="BH98" s="22"/>
    </row>
    <row r="99" spans="1:60" s="22" customFormat="1" ht="13">
      <c r="A99" s="21" t="s">
        <v>502</v>
      </c>
      <c r="B99" s="22" t="s">
        <v>149</v>
      </c>
      <c r="C99" s="22" t="s">
        <v>150</v>
      </c>
      <c r="D99" s="23" t="s">
        <v>151</v>
      </c>
      <c r="E99" s="22" t="s">
        <v>61</v>
      </c>
      <c r="F99" s="22" t="s">
        <v>152</v>
      </c>
      <c r="G99" s="22" t="s">
        <v>60</v>
      </c>
      <c r="H99" s="22" t="s">
        <v>226</v>
      </c>
      <c r="I99" s="22" t="s">
        <v>484</v>
      </c>
      <c r="J99" s="22" t="s">
        <v>211</v>
      </c>
      <c r="M99" s="22" t="s">
        <v>1</v>
      </c>
      <c r="N99" s="22" t="s">
        <v>501</v>
      </c>
      <c r="O99" s="22" t="s">
        <v>158</v>
      </c>
      <c r="P99" s="21">
        <v>10100</v>
      </c>
      <c r="Q99" s="22">
        <v>2</v>
      </c>
      <c r="R99" s="22">
        <v>2</v>
      </c>
      <c r="S99" s="22">
        <v>2</v>
      </c>
      <c r="T99" s="21" t="s">
        <v>281</v>
      </c>
      <c r="U99" s="21">
        <v>1</v>
      </c>
      <c r="V99" s="21">
        <v>1</v>
      </c>
      <c r="W99" s="24">
        <f>(4*3.14*(((Q99^1.6*R99^1.6+Q99^1.6*S99^1.6+R99^1.6+S99^1.6)/3)^(1/1.6)))*(1/V99)</f>
        <v>46.59880302207403</v>
      </c>
      <c r="X99" s="24">
        <f>3.14/6*Q99*R99*S99*U99</f>
        <v>4.1866666666666665</v>
      </c>
      <c r="Y99" s="22">
        <v>32</v>
      </c>
      <c r="Z99" s="24">
        <f t="shared" ref="Z99:Z113" si="17">Y99*W99</f>
        <v>1491.161696706369</v>
      </c>
      <c r="AA99" s="24">
        <f t="shared" ref="AA99:AA113" si="18">Y99*X99</f>
        <v>133.97333333333333</v>
      </c>
      <c r="AB99" s="22">
        <v>30</v>
      </c>
      <c r="AC99" s="22">
        <v>30</v>
      </c>
      <c r="AD99" s="22">
        <v>2</v>
      </c>
      <c r="AE99" s="21" t="s">
        <v>330</v>
      </c>
      <c r="AF99" s="21">
        <v>0.4</v>
      </c>
      <c r="AG99" s="21">
        <v>1</v>
      </c>
      <c r="AH99" s="25">
        <f>(AB99*AC99*2+AB99*AD99*2+AC99*AD99*2)/AG99</f>
        <v>2040</v>
      </c>
      <c r="AI99" s="25">
        <f>AB99*AC99*AD99*AF99</f>
        <v>720</v>
      </c>
      <c r="AJ99" s="21">
        <v>134</v>
      </c>
      <c r="AK99" s="21">
        <v>50</v>
      </c>
      <c r="AL99" s="22" t="s">
        <v>161</v>
      </c>
      <c r="AM99" s="22">
        <v>0.22</v>
      </c>
      <c r="AN99" s="22" t="s">
        <v>331</v>
      </c>
      <c r="AO99" s="22" t="s">
        <v>331</v>
      </c>
      <c r="AP99" s="22" t="s">
        <v>230</v>
      </c>
      <c r="AQ99" s="22" t="str">
        <f t="shared" ref="AQ99:AQ119" si="19">IF(AND($AK99&lt;20,AJ99&lt;10000),"Nanophytoplankton","Microphytoplankton")</f>
        <v>Microphytoplankton</v>
      </c>
      <c r="AR99" s="22">
        <v>0</v>
      </c>
      <c r="AS99" s="22">
        <v>0</v>
      </c>
      <c r="AT99" s="22">
        <v>0</v>
      </c>
      <c r="AU99" s="22">
        <v>1</v>
      </c>
      <c r="AV99" s="22">
        <v>0</v>
      </c>
      <c r="AW99" s="22">
        <v>0</v>
      </c>
      <c r="AX99" s="22">
        <v>0</v>
      </c>
      <c r="AY99" s="22">
        <v>1</v>
      </c>
      <c r="BH99" s="22">
        <f t="shared" si="16"/>
        <v>8.9844940108942853E-2</v>
      </c>
    </row>
    <row r="100" spans="1:60" s="22" customFormat="1" ht="12" customHeight="1">
      <c r="A100" s="22" t="s">
        <v>3205</v>
      </c>
      <c r="B100" s="22" t="s">
        <v>663</v>
      </c>
      <c r="C100" s="23" t="s">
        <v>2223</v>
      </c>
      <c r="D100" s="22" t="s">
        <v>3188</v>
      </c>
      <c r="E100" s="23" t="s">
        <v>3189</v>
      </c>
      <c r="F100" s="23" t="s">
        <v>3190</v>
      </c>
      <c r="G100" s="23" t="s">
        <v>3191</v>
      </c>
      <c r="H100" s="23" t="s">
        <v>3200</v>
      </c>
      <c r="I100" s="22" t="s">
        <v>48</v>
      </c>
      <c r="J100" s="22" t="s">
        <v>3206</v>
      </c>
      <c r="N100" s="22" t="s">
        <v>3207</v>
      </c>
      <c r="O100" s="22" t="s">
        <v>3196</v>
      </c>
      <c r="P100" s="21">
        <v>90314</v>
      </c>
      <c r="Q100" s="22">
        <v>115</v>
      </c>
      <c r="R100" s="22">
        <v>5</v>
      </c>
      <c r="S100" s="22">
        <v>5</v>
      </c>
      <c r="T100" s="22" t="s">
        <v>874</v>
      </c>
      <c r="U100" s="22">
        <v>1</v>
      </c>
      <c r="V100" s="22">
        <v>1</v>
      </c>
      <c r="W100" s="24">
        <f>(4*3.14*(((Q100^1.6*R100^1.6+Q100^1.6*S100^1.6+R100^1.6+S100^1.6)/3)^(1/1.6)))*(1/V100)</f>
        <v>5607.0878192437012</v>
      </c>
      <c r="X100" s="24">
        <f>3.14/12*R100*S100*Q100*U100</f>
        <v>752.29166666666674</v>
      </c>
      <c r="Y100" s="21">
        <v>1</v>
      </c>
      <c r="Z100" s="24">
        <f t="shared" si="17"/>
        <v>5607.0878192437012</v>
      </c>
      <c r="AA100" s="24">
        <f t="shared" si="18"/>
        <v>752.29166666666674</v>
      </c>
      <c r="AH100" s="25"/>
      <c r="AI100" s="25"/>
      <c r="AJ100" s="21">
        <v>752.29166666666663</v>
      </c>
      <c r="AK100" s="21">
        <v>115</v>
      </c>
      <c r="AL100" s="22" t="s">
        <v>161</v>
      </c>
      <c r="AM100" s="22">
        <v>0.11</v>
      </c>
      <c r="AN100" s="22" t="s">
        <v>1517</v>
      </c>
      <c r="AO100" s="22" t="s">
        <v>1517</v>
      </c>
      <c r="AP100" s="22" t="s">
        <v>162</v>
      </c>
      <c r="AQ100" s="22" t="str">
        <f t="shared" si="19"/>
        <v>Microphytoplankton</v>
      </c>
      <c r="AR100" s="22">
        <v>0</v>
      </c>
      <c r="AS100" s="22">
        <v>0</v>
      </c>
      <c r="AT100" s="22">
        <v>0</v>
      </c>
      <c r="AU100" s="22">
        <v>0</v>
      </c>
      <c r="AV100" s="22">
        <v>0</v>
      </c>
      <c r="AW100" s="22">
        <v>0</v>
      </c>
      <c r="AX100" s="22">
        <v>0</v>
      </c>
      <c r="AY100" s="22">
        <v>1</v>
      </c>
      <c r="BH100" s="22">
        <f t="shared" si="16"/>
        <v>0.13416798361616133</v>
      </c>
    </row>
    <row r="101" spans="1:60" s="22" customFormat="1" ht="13">
      <c r="A101" s="21" t="s">
        <v>3208</v>
      </c>
      <c r="B101" s="22" t="s">
        <v>663</v>
      </c>
      <c r="C101" s="23" t="s">
        <v>2223</v>
      </c>
      <c r="D101" s="22" t="s">
        <v>3188</v>
      </c>
      <c r="E101" s="23" t="s">
        <v>3189</v>
      </c>
      <c r="F101" s="23" t="s">
        <v>3190</v>
      </c>
      <c r="G101" s="23" t="s">
        <v>3191</v>
      </c>
      <c r="H101" s="23" t="s">
        <v>3200</v>
      </c>
      <c r="I101" s="22" t="s">
        <v>48</v>
      </c>
      <c r="J101" s="21" t="s">
        <v>3206</v>
      </c>
      <c r="K101" s="21" t="s">
        <v>175</v>
      </c>
      <c r="L101" s="21" t="s">
        <v>3209</v>
      </c>
      <c r="N101" s="22" t="s">
        <v>3210</v>
      </c>
      <c r="O101" s="22" t="s">
        <v>3196</v>
      </c>
      <c r="P101" s="21">
        <v>90370</v>
      </c>
      <c r="Q101" s="21">
        <v>140</v>
      </c>
      <c r="R101" s="21">
        <v>9</v>
      </c>
      <c r="S101" s="21">
        <v>9</v>
      </c>
      <c r="T101" s="21" t="s">
        <v>160</v>
      </c>
      <c r="U101" s="21">
        <v>0.7</v>
      </c>
      <c r="V101" s="21">
        <v>0.7</v>
      </c>
      <c r="W101" s="24">
        <f>3.14*R101*Q101+2*3.14*(S101/2)^2/V101</f>
        <v>4138.0714285714284</v>
      </c>
      <c r="X101" s="25">
        <f>(3.14/4*R101^2*Q101)*U101</f>
        <v>6231.329999999999</v>
      </c>
      <c r="Y101" s="21">
        <v>1</v>
      </c>
      <c r="Z101" s="24">
        <f t="shared" si="17"/>
        <v>4138.0714285714284</v>
      </c>
      <c r="AA101" s="24">
        <f t="shared" si="18"/>
        <v>6231.329999999999</v>
      </c>
      <c r="AB101" s="21"/>
      <c r="AC101" s="21"/>
      <c r="AD101" s="21"/>
      <c r="AE101" s="21"/>
      <c r="AF101" s="21"/>
      <c r="AG101" s="21"/>
      <c r="AH101" s="24"/>
      <c r="AI101" s="24"/>
      <c r="AJ101" s="21">
        <v>6234.5</v>
      </c>
      <c r="AK101" s="21">
        <v>140</v>
      </c>
      <c r="AL101" s="22" t="s">
        <v>161</v>
      </c>
      <c r="AM101" s="22">
        <v>0.11</v>
      </c>
      <c r="AN101" s="22" t="s">
        <v>1517</v>
      </c>
      <c r="AO101" s="22" t="s">
        <v>1517</v>
      </c>
      <c r="AP101" s="22" t="s">
        <v>162</v>
      </c>
      <c r="AQ101" s="22" t="str">
        <f t="shared" si="19"/>
        <v>Microphytoplankton</v>
      </c>
      <c r="AR101" s="22">
        <v>0</v>
      </c>
      <c r="AS101" s="22">
        <v>0</v>
      </c>
      <c r="AT101" s="22">
        <v>0</v>
      </c>
      <c r="AU101" s="22">
        <v>0</v>
      </c>
      <c r="AV101" s="22">
        <v>0</v>
      </c>
      <c r="AW101" s="22">
        <v>0</v>
      </c>
      <c r="AX101" s="22">
        <v>0</v>
      </c>
      <c r="AY101" s="22">
        <v>1</v>
      </c>
      <c r="AZ101" s="22">
        <v>0</v>
      </c>
      <c r="BA101" s="22">
        <v>0</v>
      </c>
      <c r="BB101" s="22">
        <v>1</v>
      </c>
      <c r="BC101" s="22">
        <v>1</v>
      </c>
      <c r="BD101" s="22">
        <v>3</v>
      </c>
      <c r="BE101" s="22">
        <v>5</v>
      </c>
      <c r="BH101" s="22">
        <f t="shared" si="16"/>
        <v>1.5058536585365851</v>
      </c>
    </row>
    <row r="102" spans="1:60" s="22" customFormat="1" ht="13">
      <c r="A102" s="21" t="s">
        <v>3211</v>
      </c>
      <c r="B102" s="22" t="s">
        <v>663</v>
      </c>
      <c r="C102" s="23" t="s">
        <v>2223</v>
      </c>
      <c r="D102" s="22" t="s">
        <v>3188</v>
      </c>
      <c r="E102" s="23" t="s">
        <v>3189</v>
      </c>
      <c r="F102" s="23" t="s">
        <v>3190</v>
      </c>
      <c r="G102" s="23" t="s">
        <v>3191</v>
      </c>
      <c r="H102" s="23" t="s">
        <v>3200</v>
      </c>
      <c r="I102" s="22" t="s">
        <v>48</v>
      </c>
      <c r="J102" s="21" t="s">
        <v>3206</v>
      </c>
      <c r="K102" s="21" t="s">
        <v>175</v>
      </c>
      <c r="L102" s="21" t="s">
        <v>3212</v>
      </c>
      <c r="N102" s="22" t="s">
        <v>3213</v>
      </c>
      <c r="O102" s="22" t="s">
        <v>3196</v>
      </c>
      <c r="P102" s="21">
        <v>90321</v>
      </c>
      <c r="Q102" s="22">
        <v>100</v>
      </c>
      <c r="R102" s="22">
        <v>3.5</v>
      </c>
      <c r="S102" s="22">
        <v>3.5</v>
      </c>
      <c r="T102" s="21" t="s">
        <v>160</v>
      </c>
      <c r="U102" s="22">
        <v>0.75</v>
      </c>
      <c r="V102" s="22">
        <v>0.75</v>
      </c>
      <c r="W102" s="24">
        <f>3.14*R102*Q102+2*3.14*(S102/2)^2/V102</f>
        <v>1124.6433333333334</v>
      </c>
      <c r="X102" s="25">
        <f>(3.14/4*R102^2*Q102)*U102</f>
        <v>721.21875000000011</v>
      </c>
      <c r="Y102" s="21">
        <v>1</v>
      </c>
      <c r="Z102" s="24">
        <f t="shared" si="17"/>
        <v>1124.6433333333334</v>
      </c>
      <c r="AA102" s="24">
        <f t="shared" si="18"/>
        <v>721.21875000000011</v>
      </c>
      <c r="AH102" s="25"/>
      <c r="AI102" s="25"/>
      <c r="AJ102" s="21">
        <v>721.6</v>
      </c>
      <c r="AK102" s="21">
        <v>100</v>
      </c>
      <c r="AL102" s="22" t="s">
        <v>161</v>
      </c>
      <c r="AM102" s="22">
        <v>0.11</v>
      </c>
      <c r="AN102" s="22" t="s">
        <v>1517</v>
      </c>
      <c r="AO102" s="22" t="s">
        <v>1517</v>
      </c>
      <c r="AP102" s="22" t="s">
        <v>162</v>
      </c>
      <c r="AQ102" s="22" t="str">
        <f t="shared" si="19"/>
        <v>Microphytoplankton</v>
      </c>
      <c r="AR102" s="22">
        <v>0</v>
      </c>
      <c r="AS102" s="22">
        <v>0</v>
      </c>
      <c r="AT102" s="22">
        <v>0</v>
      </c>
      <c r="AU102" s="22">
        <v>0</v>
      </c>
      <c r="AV102" s="22">
        <v>0</v>
      </c>
      <c r="AW102" s="22">
        <v>0</v>
      </c>
      <c r="AX102" s="22">
        <v>0</v>
      </c>
      <c r="AY102" s="22">
        <v>1</v>
      </c>
      <c r="BH102" s="22">
        <f t="shared" si="16"/>
        <v>0.64128664495114007</v>
      </c>
    </row>
    <row r="103" spans="1:60" s="22" customFormat="1" ht="13">
      <c r="A103" s="21" t="s">
        <v>3214</v>
      </c>
      <c r="B103" s="22" t="s">
        <v>663</v>
      </c>
      <c r="C103" s="23" t="s">
        <v>2223</v>
      </c>
      <c r="D103" s="22" t="s">
        <v>3188</v>
      </c>
      <c r="E103" s="23" t="s">
        <v>3189</v>
      </c>
      <c r="F103" s="23" t="s">
        <v>3190</v>
      </c>
      <c r="G103" s="23" t="s">
        <v>3191</v>
      </c>
      <c r="H103" s="23" t="s">
        <v>3200</v>
      </c>
      <c r="I103" s="22" t="s">
        <v>48</v>
      </c>
      <c r="J103" s="21" t="s">
        <v>3206</v>
      </c>
      <c r="K103" s="21" t="s">
        <v>175</v>
      </c>
      <c r="L103" s="21" t="s">
        <v>3215</v>
      </c>
      <c r="N103" s="22" t="s">
        <v>3216</v>
      </c>
      <c r="O103" s="22" t="s">
        <v>3196</v>
      </c>
      <c r="P103" s="21">
        <v>90320</v>
      </c>
      <c r="Q103" s="21">
        <v>130</v>
      </c>
      <c r="R103" s="21">
        <v>3.5</v>
      </c>
      <c r="S103" s="21">
        <v>3.5</v>
      </c>
      <c r="T103" s="21" t="s">
        <v>160</v>
      </c>
      <c r="U103" s="21">
        <v>0.75</v>
      </c>
      <c r="V103" s="21">
        <v>0.75</v>
      </c>
      <c r="W103" s="24">
        <f>3.14*R103*Q103+2*3.14*(S103/2)^2/V103</f>
        <v>1454.3433333333335</v>
      </c>
      <c r="X103" s="25">
        <f>(3.14/4*R103^2*Q103)*U103</f>
        <v>937.58437500000014</v>
      </c>
      <c r="Y103" s="21">
        <v>1</v>
      </c>
      <c r="Z103" s="24">
        <f t="shared" si="17"/>
        <v>1454.3433333333335</v>
      </c>
      <c r="AA103" s="24">
        <f t="shared" si="18"/>
        <v>937.58437500000014</v>
      </c>
      <c r="AB103" s="21"/>
      <c r="AC103" s="21"/>
      <c r="AD103" s="21"/>
      <c r="AE103" s="21"/>
      <c r="AF103" s="21"/>
      <c r="AG103" s="21"/>
      <c r="AH103" s="24"/>
      <c r="AI103" s="24"/>
      <c r="AJ103" s="21">
        <v>938.1</v>
      </c>
      <c r="AK103" s="21">
        <v>130</v>
      </c>
      <c r="AL103" s="22" t="s">
        <v>161</v>
      </c>
      <c r="AM103" s="22">
        <v>0.11</v>
      </c>
      <c r="AN103" s="22" t="s">
        <v>1517</v>
      </c>
      <c r="AO103" s="22" t="s">
        <v>1517</v>
      </c>
      <c r="AP103" s="22" t="s">
        <v>162</v>
      </c>
      <c r="AQ103" s="22" t="str">
        <f t="shared" si="19"/>
        <v>Microphytoplankton</v>
      </c>
      <c r="AR103" s="22">
        <v>0</v>
      </c>
      <c r="AS103" s="22">
        <v>0</v>
      </c>
      <c r="AT103" s="22">
        <v>0</v>
      </c>
      <c r="AU103" s="22">
        <v>0</v>
      </c>
      <c r="AV103" s="22">
        <v>0</v>
      </c>
      <c r="AW103" s="22">
        <v>0</v>
      </c>
      <c r="AX103" s="22">
        <v>0</v>
      </c>
      <c r="AY103" s="22">
        <v>1</v>
      </c>
      <c r="AZ103" s="22">
        <v>0</v>
      </c>
      <c r="BA103" s="22">
        <v>0</v>
      </c>
      <c r="BB103" s="22">
        <v>0</v>
      </c>
      <c r="BC103" s="22">
        <v>1</v>
      </c>
      <c r="BD103" s="22">
        <v>7</v>
      </c>
      <c r="BE103" s="22">
        <v>2</v>
      </c>
      <c r="BH103" s="22">
        <f t="shared" si="16"/>
        <v>0.64467884130982367</v>
      </c>
    </row>
    <row r="104" spans="1:60" s="22" customFormat="1" ht="13">
      <c r="A104" s="22" t="s">
        <v>237</v>
      </c>
      <c r="B104" s="22" t="s">
        <v>149</v>
      </c>
      <c r="C104" s="22" t="s">
        <v>150</v>
      </c>
      <c r="D104" s="23" t="s">
        <v>151</v>
      </c>
      <c r="E104" s="22" t="s">
        <v>61</v>
      </c>
      <c r="F104" s="22" t="s">
        <v>152</v>
      </c>
      <c r="G104" s="22" t="s">
        <v>60</v>
      </c>
      <c r="H104" s="22" t="s">
        <v>226</v>
      </c>
      <c r="I104" s="22" t="s">
        <v>34</v>
      </c>
      <c r="J104" s="22" t="s">
        <v>238</v>
      </c>
      <c r="N104" s="22" t="s">
        <v>239</v>
      </c>
      <c r="O104" s="22" t="s">
        <v>158</v>
      </c>
      <c r="P104" s="22">
        <v>10670</v>
      </c>
      <c r="Q104" s="21">
        <v>0.75</v>
      </c>
      <c r="R104" s="21">
        <v>0.75</v>
      </c>
      <c r="S104" s="21">
        <v>0.75</v>
      </c>
      <c r="T104" s="21" t="s">
        <v>159</v>
      </c>
      <c r="U104" s="21">
        <v>1</v>
      </c>
      <c r="V104" s="21">
        <v>1</v>
      </c>
      <c r="W104" s="24">
        <f>(4*3.14*(((Q104^1.6*R104^1.6+Q104^1.6*S104^1.6+R104^1.6+S104^1.6)/3)^(1/1.6)))*(1/V104)</f>
        <v>9.9264553816794727</v>
      </c>
      <c r="X104" s="24">
        <f>3.14/6*Q104*R104*S104*U104</f>
        <v>0.22078124999999996</v>
      </c>
      <c r="Y104" s="21">
        <v>4000</v>
      </c>
      <c r="Z104" s="24">
        <f t="shared" si="17"/>
        <v>39705.821526717889</v>
      </c>
      <c r="AA104" s="24">
        <f t="shared" si="18"/>
        <v>883.12499999999977</v>
      </c>
      <c r="AB104" s="21">
        <v>70</v>
      </c>
      <c r="AC104" s="21">
        <v>70</v>
      </c>
      <c r="AD104" s="21">
        <v>70</v>
      </c>
      <c r="AE104" s="21" t="s">
        <v>159</v>
      </c>
      <c r="AF104" s="21">
        <v>0.1</v>
      </c>
      <c r="AG104" s="22">
        <v>1</v>
      </c>
      <c r="AH104" s="24">
        <f>(4*3.14*(((AB104^1.6*AC104^1.6+AB104^1.6*AD104^1.6+AC104^1.6+AD104^1.6)/3)^(1/1.6)))*(1/AG104)</f>
        <v>47800.40306583116</v>
      </c>
      <c r="AI104" s="24">
        <f>3.14/6*AB104*AC104*AD104*AF104</f>
        <v>17950.333333333336</v>
      </c>
      <c r="AJ104" s="21">
        <v>17950.333333333332</v>
      </c>
      <c r="AK104" s="21">
        <v>70</v>
      </c>
      <c r="AL104" s="22" t="s">
        <v>161</v>
      </c>
      <c r="AM104" s="22">
        <v>0.22</v>
      </c>
      <c r="AN104" s="22" t="s">
        <v>229</v>
      </c>
      <c r="AO104" s="22" t="s">
        <v>229</v>
      </c>
      <c r="AP104" s="22" t="s">
        <v>230</v>
      </c>
      <c r="AQ104" s="22" t="str">
        <f t="shared" si="19"/>
        <v>Microphytoplankton</v>
      </c>
      <c r="AR104" s="22">
        <v>0</v>
      </c>
      <c r="AS104" s="22">
        <v>0</v>
      </c>
      <c r="AT104" s="22">
        <v>0</v>
      </c>
      <c r="AU104" s="22">
        <v>1</v>
      </c>
      <c r="AV104" s="22">
        <v>0</v>
      </c>
      <c r="AW104" s="22">
        <v>0</v>
      </c>
      <c r="AX104" s="22">
        <v>0</v>
      </c>
      <c r="AY104" s="22">
        <v>1</v>
      </c>
      <c r="BH104" s="22">
        <f t="shared" si="16"/>
        <v>2.2241700739166131E-2</v>
      </c>
    </row>
    <row r="105" spans="1:60" s="22" customFormat="1" ht="13">
      <c r="A105" s="22" t="s">
        <v>240</v>
      </c>
      <c r="B105" s="22" t="s">
        <v>149</v>
      </c>
      <c r="C105" s="22" t="s">
        <v>150</v>
      </c>
      <c r="D105" s="23" t="s">
        <v>151</v>
      </c>
      <c r="E105" s="22" t="s">
        <v>61</v>
      </c>
      <c r="F105" s="22" t="s">
        <v>152</v>
      </c>
      <c r="G105" s="22" t="s">
        <v>60</v>
      </c>
      <c r="H105" s="22" t="s">
        <v>226</v>
      </c>
      <c r="I105" s="22" t="s">
        <v>34</v>
      </c>
      <c r="J105" s="22" t="s">
        <v>238</v>
      </c>
      <c r="K105" s="22" t="s">
        <v>241</v>
      </c>
      <c r="L105" s="22" t="s">
        <v>242</v>
      </c>
      <c r="N105" s="22" t="s">
        <v>243</v>
      </c>
      <c r="O105" s="22" t="s">
        <v>158</v>
      </c>
      <c r="P105" s="22">
        <v>10673</v>
      </c>
      <c r="Q105" s="21">
        <v>0.75</v>
      </c>
      <c r="R105" s="21">
        <v>0.75</v>
      </c>
      <c r="S105" s="21">
        <v>0.75</v>
      </c>
      <c r="T105" s="21" t="s">
        <v>159</v>
      </c>
      <c r="U105" s="21">
        <v>1</v>
      </c>
      <c r="V105" s="21">
        <v>1</v>
      </c>
      <c r="W105" s="24">
        <f>(4*3.14*(((Q105^1.6*R105^1.6+Q105^1.6*S105^1.6+R105^1.6+S105^1.6)/3)^(1/1.6)))*(1/V105)</f>
        <v>9.9264553816794727</v>
      </c>
      <c r="X105" s="24">
        <f>3.14/6*Q105*R105*S105*U105</f>
        <v>0.22078124999999996</v>
      </c>
      <c r="Y105" s="21">
        <v>20</v>
      </c>
      <c r="Z105" s="24">
        <f t="shared" si="17"/>
        <v>198.52910763358946</v>
      </c>
      <c r="AA105" s="24">
        <f t="shared" si="18"/>
        <v>4.4156249999999995</v>
      </c>
      <c r="AB105" s="21">
        <v>10</v>
      </c>
      <c r="AC105" s="21">
        <v>10</v>
      </c>
      <c r="AD105" s="21">
        <v>10</v>
      </c>
      <c r="AE105" s="21" t="s">
        <v>159</v>
      </c>
      <c r="AF105" s="21">
        <v>0.1</v>
      </c>
      <c r="AG105" s="22">
        <v>1</v>
      </c>
      <c r="AH105" s="24">
        <f>(4*3.14*(((AB105^1.6*AC105^1.6+AB105^1.6*AD105^1.6+AC105^1.6+AD105^1.6)/3)^(1/1.6)))*(1/AG105)</f>
        <v>990.0713501282612</v>
      </c>
      <c r="AI105" s="24">
        <f>3.14/6*AB105*AC105*AD105*AF105</f>
        <v>52.333333333333343</v>
      </c>
      <c r="AJ105" s="21">
        <v>52.333333333333343</v>
      </c>
      <c r="AK105" s="21">
        <v>10</v>
      </c>
      <c r="AL105" s="22" t="s">
        <v>161</v>
      </c>
      <c r="AM105" s="22">
        <v>0.22</v>
      </c>
      <c r="AN105" s="22" t="s">
        <v>229</v>
      </c>
      <c r="AO105" s="22" t="s">
        <v>229</v>
      </c>
      <c r="AP105" s="22" t="s">
        <v>230</v>
      </c>
      <c r="AQ105" s="22" t="str">
        <f t="shared" si="19"/>
        <v>Nanophytoplankton</v>
      </c>
      <c r="AR105" s="22">
        <v>0</v>
      </c>
      <c r="AS105" s="22">
        <v>0</v>
      </c>
      <c r="AT105" s="22">
        <v>0</v>
      </c>
      <c r="AU105" s="22">
        <v>1</v>
      </c>
      <c r="AV105" s="22">
        <v>0</v>
      </c>
      <c r="AW105" s="22">
        <v>0</v>
      </c>
      <c r="AX105" s="22">
        <v>0</v>
      </c>
      <c r="AY105" s="22">
        <v>1</v>
      </c>
      <c r="BH105" s="22">
        <f t="shared" si="16"/>
        <v>2.2241700739166131E-2</v>
      </c>
    </row>
    <row r="106" spans="1:60" s="22" customFormat="1" ht="13">
      <c r="A106" s="22" t="s">
        <v>244</v>
      </c>
      <c r="B106" s="22" t="s">
        <v>149</v>
      </c>
      <c r="C106" s="22" t="s">
        <v>150</v>
      </c>
      <c r="D106" s="23" t="s">
        <v>151</v>
      </c>
      <c r="E106" s="22" t="s">
        <v>61</v>
      </c>
      <c r="F106" s="22" t="s">
        <v>152</v>
      </c>
      <c r="G106" s="22" t="s">
        <v>60</v>
      </c>
      <c r="H106" s="22" t="s">
        <v>226</v>
      </c>
      <c r="I106" s="22" t="s">
        <v>34</v>
      </c>
      <c r="J106" s="22" t="s">
        <v>238</v>
      </c>
      <c r="K106" s="22" t="s">
        <v>184</v>
      </c>
      <c r="L106" s="22" t="s">
        <v>245</v>
      </c>
      <c r="N106" s="22" t="s">
        <v>243</v>
      </c>
      <c r="O106" s="22" t="s">
        <v>158</v>
      </c>
      <c r="P106" s="21">
        <v>10671</v>
      </c>
      <c r="Q106" s="21">
        <v>0.75</v>
      </c>
      <c r="R106" s="21">
        <v>0.75</v>
      </c>
      <c r="S106" s="21">
        <v>0.75</v>
      </c>
      <c r="T106" s="21" t="s">
        <v>246</v>
      </c>
      <c r="U106" s="21">
        <v>1</v>
      </c>
      <c r="V106" s="21">
        <v>1</v>
      </c>
      <c r="W106" s="25">
        <f>4*3.14*(R106/2)*(Q106/2)/V106</f>
        <v>1.7662499999999999</v>
      </c>
      <c r="X106" s="25">
        <f>(3.14/6*(Q106*S106*R106))*U106</f>
        <v>0.22078124999999998</v>
      </c>
      <c r="Y106" s="22">
        <v>1</v>
      </c>
      <c r="Z106" s="24">
        <f t="shared" si="17"/>
        <v>1.7662499999999999</v>
      </c>
      <c r="AA106" s="24">
        <f t="shared" si="18"/>
        <v>0.22078124999999998</v>
      </c>
      <c r="AF106" s="21" t="s">
        <v>247</v>
      </c>
      <c r="AH106" s="25"/>
      <c r="AI106" s="25"/>
      <c r="AJ106" s="21">
        <v>0.22078124999999998</v>
      </c>
      <c r="AK106" s="21">
        <v>0.75</v>
      </c>
      <c r="AL106" s="22" t="s">
        <v>161</v>
      </c>
      <c r="AM106" s="22">
        <v>0.22</v>
      </c>
      <c r="AN106" s="22" t="s">
        <v>229</v>
      </c>
      <c r="AO106" s="22" t="s">
        <v>229</v>
      </c>
      <c r="AP106" s="22" t="s">
        <v>230</v>
      </c>
      <c r="AQ106" s="22" t="str">
        <f t="shared" si="19"/>
        <v>Nanophytoplankton</v>
      </c>
      <c r="AR106" s="22">
        <v>0</v>
      </c>
      <c r="AS106" s="22">
        <v>0</v>
      </c>
      <c r="AT106" s="22">
        <v>0</v>
      </c>
      <c r="AU106" s="22">
        <v>1</v>
      </c>
      <c r="AV106" s="22">
        <v>0</v>
      </c>
      <c r="AW106" s="22">
        <v>0</v>
      </c>
      <c r="AX106" s="22">
        <v>0</v>
      </c>
      <c r="AY106" s="22">
        <v>1</v>
      </c>
      <c r="BH106" s="22">
        <f t="shared" si="16"/>
        <v>0.125</v>
      </c>
    </row>
    <row r="107" spans="1:60" s="22" customFormat="1" ht="13">
      <c r="A107" s="21" t="s">
        <v>1209</v>
      </c>
      <c r="B107" s="22" t="s">
        <v>663</v>
      </c>
      <c r="C107" s="23" t="s">
        <v>822</v>
      </c>
      <c r="D107" s="23" t="s">
        <v>965</v>
      </c>
      <c r="E107" s="22" t="s">
        <v>991</v>
      </c>
      <c r="F107" s="23" t="s">
        <v>1200</v>
      </c>
      <c r="G107" s="23" t="s">
        <v>1201</v>
      </c>
      <c r="H107" s="22" t="s">
        <v>1202</v>
      </c>
      <c r="I107" s="22" t="s">
        <v>1203</v>
      </c>
      <c r="J107" s="22" t="s">
        <v>1210</v>
      </c>
      <c r="N107" s="22" t="s">
        <v>1211</v>
      </c>
      <c r="O107" s="22" t="s">
        <v>962</v>
      </c>
      <c r="P107" s="21">
        <v>50580</v>
      </c>
      <c r="Q107" s="21">
        <v>35</v>
      </c>
      <c r="R107" s="21">
        <v>14</v>
      </c>
      <c r="S107" s="21">
        <v>14</v>
      </c>
      <c r="T107" s="21" t="s">
        <v>977</v>
      </c>
      <c r="U107" s="21">
        <v>1</v>
      </c>
      <c r="V107" s="22">
        <v>1</v>
      </c>
      <c r="W107" s="24">
        <f t="shared" ref="W107:W113" si="20">(4*3.14*(((Q107^1.6*R107^1.6+Q107^1.6*S107^1.6+R107^1.6+S107^1.6)/3)^(1/1.6)))*(1/V107)</f>
        <v>4786.8056261383617</v>
      </c>
      <c r="X107" s="24">
        <f>3.14/12*Q107*R107*S107*U107</f>
        <v>1795.0333333333333</v>
      </c>
      <c r="Y107" s="21">
        <v>1</v>
      </c>
      <c r="Z107" s="24">
        <f t="shared" si="17"/>
        <v>4786.8056261383617</v>
      </c>
      <c r="AA107" s="24">
        <f t="shared" si="18"/>
        <v>1795.0333333333333</v>
      </c>
      <c r="AB107" s="21"/>
      <c r="AC107" s="21"/>
      <c r="AD107" s="21"/>
      <c r="AE107" s="21"/>
      <c r="AF107" s="21" t="s">
        <v>247</v>
      </c>
      <c r="AG107" s="21"/>
      <c r="AH107" s="24"/>
      <c r="AI107" s="24"/>
      <c r="AJ107" s="21">
        <v>2154.04</v>
      </c>
      <c r="AK107" s="21">
        <v>35</v>
      </c>
      <c r="AL107" s="22" t="s">
        <v>161</v>
      </c>
      <c r="AM107" s="22">
        <v>0.11</v>
      </c>
      <c r="AN107" s="22" t="s">
        <v>1057</v>
      </c>
      <c r="AO107" s="22" t="s">
        <v>1057</v>
      </c>
      <c r="AP107" s="22" t="s">
        <v>963</v>
      </c>
      <c r="AQ107" s="22" t="str">
        <f t="shared" si="19"/>
        <v>Microphytoplankton</v>
      </c>
      <c r="AR107" s="22">
        <v>1</v>
      </c>
      <c r="AS107" s="22">
        <v>1</v>
      </c>
      <c r="AT107" s="22">
        <v>0</v>
      </c>
      <c r="AU107" s="22">
        <v>0</v>
      </c>
      <c r="AV107" s="22">
        <v>0</v>
      </c>
      <c r="AW107" s="22">
        <v>0</v>
      </c>
      <c r="AX107" s="22">
        <v>1</v>
      </c>
      <c r="AY107" s="22">
        <v>0</v>
      </c>
      <c r="BH107" s="22">
        <f t="shared" si="16"/>
        <v>0.37499607745331254</v>
      </c>
    </row>
    <row r="108" spans="1:60" s="22" customFormat="1" ht="13">
      <c r="A108" s="21" t="s">
        <v>2448</v>
      </c>
      <c r="B108" s="22" t="s">
        <v>663</v>
      </c>
      <c r="C108" s="22" t="s">
        <v>2223</v>
      </c>
      <c r="D108" s="22" t="s">
        <v>2224</v>
      </c>
      <c r="E108" s="23" t="s">
        <v>63</v>
      </c>
      <c r="F108" s="23" t="s">
        <v>2225</v>
      </c>
      <c r="G108" s="23" t="s">
        <v>2226</v>
      </c>
      <c r="H108" s="38" t="s">
        <v>2303</v>
      </c>
      <c r="I108" s="22" t="s">
        <v>2438</v>
      </c>
      <c r="J108" s="21" t="s">
        <v>211</v>
      </c>
      <c r="K108" s="21"/>
      <c r="L108" s="21"/>
      <c r="M108" s="22" t="s">
        <v>1</v>
      </c>
      <c r="N108" s="22" t="s">
        <v>2352</v>
      </c>
      <c r="O108" s="22" t="s">
        <v>2229</v>
      </c>
      <c r="P108" s="21">
        <v>84811</v>
      </c>
      <c r="Q108" s="21">
        <v>5.5</v>
      </c>
      <c r="R108" s="21">
        <v>5.5</v>
      </c>
      <c r="S108" s="21">
        <v>5.5</v>
      </c>
      <c r="T108" s="21" t="s">
        <v>281</v>
      </c>
      <c r="U108" s="21">
        <v>1</v>
      </c>
      <c r="V108" s="21">
        <v>1</v>
      </c>
      <c r="W108" s="24">
        <f t="shared" si="20"/>
        <v>306.79434592737334</v>
      </c>
      <c r="X108" s="24">
        <f t="shared" ref="X108:X113" si="21">3.14/6*Q108*R108*S108*U108</f>
        <v>87.069583333333341</v>
      </c>
      <c r="Y108" s="21">
        <v>16</v>
      </c>
      <c r="Z108" s="24">
        <f t="shared" si="17"/>
        <v>4908.7095348379735</v>
      </c>
      <c r="AA108" s="24">
        <f t="shared" si="18"/>
        <v>1393.1133333333335</v>
      </c>
      <c r="AB108" s="21">
        <v>33</v>
      </c>
      <c r="AC108" s="21">
        <v>33</v>
      </c>
      <c r="AD108" s="21">
        <v>33</v>
      </c>
      <c r="AE108" s="21" t="s">
        <v>246</v>
      </c>
      <c r="AF108" s="21">
        <v>0.25</v>
      </c>
      <c r="AG108" s="21">
        <v>1</v>
      </c>
      <c r="AH108" s="25">
        <f>4*3.14*(AC108/2)*(AB108/2)/AG108</f>
        <v>3419.46</v>
      </c>
      <c r="AI108" s="25">
        <f>(3.14/6*(AD108*AB108*AC108))*AF108</f>
        <v>4701.7574999999997</v>
      </c>
      <c r="AJ108" s="21">
        <v>1822.3</v>
      </c>
      <c r="AK108" s="21">
        <v>40</v>
      </c>
      <c r="AL108" s="22" t="s">
        <v>161</v>
      </c>
      <c r="AM108" s="22">
        <v>0.16</v>
      </c>
      <c r="AN108" s="38" t="s">
        <v>2282</v>
      </c>
      <c r="AO108" s="22" t="s">
        <v>2282</v>
      </c>
      <c r="AP108" s="22" t="s">
        <v>230</v>
      </c>
      <c r="AQ108" s="22" t="str">
        <f t="shared" si="19"/>
        <v>Microphytoplankton</v>
      </c>
      <c r="AR108" s="22">
        <v>0</v>
      </c>
      <c r="AS108" s="22">
        <v>0</v>
      </c>
      <c r="AT108" s="22">
        <v>0</v>
      </c>
      <c r="AU108" s="22">
        <v>1</v>
      </c>
      <c r="AV108" s="22">
        <v>0</v>
      </c>
      <c r="AW108" s="22">
        <v>0</v>
      </c>
      <c r="AX108" s="22">
        <v>0</v>
      </c>
      <c r="AY108" s="22">
        <v>1</v>
      </c>
      <c r="BH108" s="22">
        <f t="shared" si="16"/>
        <v>0.28380439368965782</v>
      </c>
    </row>
    <row r="109" spans="1:60" s="22" customFormat="1" ht="13">
      <c r="A109" s="22" t="s">
        <v>2999</v>
      </c>
      <c r="B109" s="22" t="s">
        <v>663</v>
      </c>
      <c r="C109" s="22" t="s">
        <v>2223</v>
      </c>
      <c r="D109" s="22" t="s">
        <v>2224</v>
      </c>
      <c r="E109" s="23" t="s">
        <v>63</v>
      </c>
      <c r="F109" s="23" t="s">
        <v>2225</v>
      </c>
      <c r="G109" s="23" t="s">
        <v>2226</v>
      </c>
      <c r="H109" s="22" t="s">
        <v>2457</v>
      </c>
      <c r="I109" s="22" t="s">
        <v>53</v>
      </c>
      <c r="J109" s="22" t="s">
        <v>3000</v>
      </c>
      <c r="N109" s="22" t="s">
        <v>501</v>
      </c>
      <c r="O109" s="22" t="s">
        <v>2229</v>
      </c>
      <c r="P109" s="21">
        <v>82471</v>
      </c>
      <c r="Q109" s="22">
        <v>11</v>
      </c>
      <c r="R109" s="22">
        <v>6</v>
      </c>
      <c r="S109" s="22">
        <v>6</v>
      </c>
      <c r="T109" s="21" t="s">
        <v>159</v>
      </c>
      <c r="U109" s="21">
        <v>1</v>
      </c>
      <c r="V109" s="21">
        <v>1</v>
      </c>
      <c r="W109" s="24">
        <f t="shared" si="20"/>
        <v>652.03076045135776</v>
      </c>
      <c r="X109" s="24">
        <f t="shared" si="21"/>
        <v>207.24</v>
      </c>
      <c r="Y109" s="22">
        <v>8</v>
      </c>
      <c r="Z109" s="24">
        <f t="shared" si="17"/>
        <v>5216.2460836108621</v>
      </c>
      <c r="AA109" s="24">
        <f t="shared" si="18"/>
        <v>1657.92</v>
      </c>
      <c r="AB109" s="22">
        <v>11</v>
      </c>
      <c r="AC109" s="22">
        <f>R109*Y109</f>
        <v>48</v>
      </c>
      <c r="AD109" s="22">
        <v>6</v>
      </c>
      <c r="AE109" s="22" t="s">
        <v>330</v>
      </c>
      <c r="AF109" s="22">
        <v>0.8</v>
      </c>
      <c r="AG109" s="22">
        <v>0.8</v>
      </c>
      <c r="AH109" s="25">
        <f>(AB109*AC109*2+AB109*AD109*2+AC109*AD109*2)/AG109</f>
        <v>2205</v>
      </c>
      <c r="AI109" s="25">
        <f>AB109*AC109*AD109*AF109</f>
        <v>2534.4</v>
      </c>
      <c r="AJ109" s="21">
        <v>1657.92</v>
      </c>
      <c r="AK109" s="21">
        <v>24</v>
      </c>
      <c r="AL109" s="22" t="s">
        <v>161</v>
      </c>
      <c r="AM109" s="22">
        <v>0.16</v>
      </c>
      <c r="AN109" s="22" t="s">
        <v>1364</v>
      </c>
      <c r="AO109" s="22" t="s">
        <v>1364</v>
      </c>
      <c r="AP109" s="22" t="s">
        <v>162</v>
      </c>
      <c r="AQ109" s="22" t="str">
        <f t="shared" si="19"/>
        <v>Microphytoplankton</v>
      </c>
      <c r="AR109" s="22">
        <v>0</v>
      </c>
      <c r="AS109" s="22">
        <v>0</v>
      </c>
      <c r="AT109" s="22">
        <v>0</v>
      </c>
      <c r="AU109" s="22">
        <v>1</v>
      </c>
      <c r="AV109" s="22">
        <v>0</v>
      </c>
      <c r="AW109" s="22">
        <v>0</v>
      </c>
      <c r="AX109" s="22">
        <v>0</v>
      </c>
      <c r="AY109" s="22">
        <v>1</v>
      </c>
      <c r="BH109" s="22">
        <f t="shared" si="16"/>
        <v>0.31783776559336169</v>
      </c>
    </row>
    <row r="110" spans="1:60" s="22" customFormat="1" ht="13">
      <c r="A110" s="22" t="s">
        <v>3001</v>
      </c>
      <c r="B110" s="22" t="s">
        <v>663</v>
      </c>
      <c r="C110" s="22" t="s">
        <v>2223</v>
      </c>
      <c r="D110" s="22" t="s">
        <v>2224</v>
      </c>
      <c r="E110" s="23" t="s">
        <v>63</v>
      </c>
      <c r="F110" s="23" t="s">
        <v>2225</v>
      </c>
      <c r="G110" s="23" t="s">
        <v>2226</v>
      </c>
      <c r="H110" s="22" t="s">
        <v>2457</v>
      </c>
      <c r="I110" s="22" t="s">
        <v>53</v>
      </c>
      <c r="J110" s="22" t="s">
        <v>3000</v>
      </c>
      <c r="K110" s="22" t="s">
        <v>184</v>
      </c>
      <c r="L110" s="22" t="s">
        <v>1402</v>
      </c>
      <c r="N110" s="22" t="s">
        <v>3002</v>
      </c>
      <c r="O110" s="22" t="s">
        <v>2229</v>
      </c>
      <c r="P110" s="21">
        <v>82472</v>
      </c>
      <c r="Q110" s="22">
        <v>11</v>
      </c>
      <c r="R110" s="22">
        <v>6</v>
      </c>
      <c r="S110" s="22">
        <v>6</v>
      </c>
      <c r="T110" s="21" t="s">
        <v>159</v>
      </c>
      <c r="U110" s="21">
        <v>1</v>
      </c>
      <c r="V110" s="21">
        <v>1</v>
      </c>
      <c r="W110" s="24">
        <f t="shared" si="20"/>
        <v>652.03076045135776</v>
      </c>
      <c r="X110" s="24">
        <f t="shared" si="21"/>
        <v>207.24</v>
      </c>
      <c r="Y110" s="22">
        <v>8</v>
      </c>
      <c r="Z110" s="24">
        <f t="shared" si="17"/>
        <v>5216.2460836108621</v>
      </c>
      <c r="AA110" s="24">
        <f t="shared" si="18"/>
        <v>1657.92</v>
      </c>
      <c r="AB110" s="22">
        <v>11</v>
      </c>
      <c r="AC110" s="22">
        <f>R110*Y110</f>
        <v>48</v>
      </c>
      <c r="AD110" s="22">
        <v>6</v>
      </c>
      <c r="AE110" s="22" t="s">
        <v>330</v>
      </c>
      <c r="AF110" s="22">
        <v>0.8</v>
      </c>
      <c r="AG110" s="22">
        <v>0.8</v>
      </c>
      <c r="AH110" s="25">
        <f>(AB110*AC110*2+AB110*AD110*2+AC110*AD110*2)/AG110</f>
        <v>2205</v>
      </c>
      <c r="AI110" s="25">
        <f>AB110*AC110*AD110*AF110</f>
        <v>2534.4</v>
      </c>
      <c r="AJ110" s="21">
        <v>1657.92</v>
      </c>
      <c r="AK110" s="21">
        <v>24</v>
      </c>
      <c r="AL110" s="22" t="s">
        <v>161</v>
      </c>
      <c r="AM110" s="22">
        <v>0.16</v>
      </c>
      <c r="AN110" s="22" t="s">
        <v>1364</v>
      </c>
      <c r="AO110" s="22" t="s">
        <v>1364</v>
      </c>
      <c r="AP110" s="22" t="s">
        <v>162</v>
      </c>
      <c r="AQ110" s="22" t="str">
        <f t="shared" si="19"/>
        <v>Microphytoplankton</v>
      </c>
      <c r="AR110" s="22">
        <v>0</v>
      </c>
      <c r="AS110" s="22">
        <v>0</v>
      </c>
      <c r="AT110" s="22">
        <v>0</v>
      </c>
      <c r="AU110" s="22">
        <v>1</v>
      </c>
      <c r="AV110" s="22">
        <v>0</v>
      </c>
      <c r="AW110" s="22">
        <v>0</v>
      </c>
      <c r="AX110" s="22">
        <v>0</v>
      </c>
      <c r="AY110" s="22">
        <v>1</v>
      </c>
      <c r="BH110" s="22">
        <f t="shared" si="16"/>
        <v>0.31783776559336169</v>
      </c>
    </row>
    <row r="111" spans="1:60" s="22" customFormat="1" ht="13">
      <c r="A111" s="21" t="s">
        <v>2278</v>
      </c>
      <c r="B111" s="22" t="s">
        <v>663</v>
      </c>
      <c r="C111" s="22" t="s">
        <v>2223</v>
      </c>
      <c r="D111" s="22" t="s">
        <v>2224</v>
      </c>
      <c r="E111" s="23" t="s">
        <v>63</v>
      </c>
      <c r="F111" s="23" t="s">
        <v>2225</v>
      </c>
      <c r="G111" s="23" t="s">
        <v>2226</v>
      </c>
      <c r="H111" s="22" t="s">
        <v>2279</v>
      </c>
      <c r="I111" s="22" t="s">
        <v>2280</v>
      </c>
      <c r="J111" s="22" t="s">
        <v>2281</v>
      </c>
      <c r="N111" s="22" t="s">
        <v>413</v>
      </c>
      <c r="O111" s="22" t="s">
        <v>2229</v>
      </c>
      <c r="P111" s="21">
        <v>81910</v>
      </c>
      <c r="Q111" s="21">
        <v>9</v>
      </c>
      <c r="R111" s="21">
        <v>4.5</v>
      </c>
      <c r="S111" s="21">
        <v>4.5</v>
      </c>
      <c r="T111" s="21" t="s">
        <v>281</v>
      </c>
      <c r="U111" s="21">
        <v>1</v>
      </c>
      <c r="V111" s="22">
        <v>1</v>
      </c>
      <c r="W111" s="24">
        <f t="shared" si="20"/>
        <v>402.1055221400822</v>
      </c>
      <c r="X111" s="24">
        <f t="shared" si="21"/>
        <v>95.377499999999998</v>
      </c>
      <c r="Y111" s="21">
        <v>32</v>
      </c>
      <c r="Z111" s="24">
        <f t="shared" si="17"/>
        <v>12867.37670848263</v>
      </c>
      <c r="AA111" s="24">
        <f t="shared" si="18"/>
        <v>3052.08</v>
      </c>
      <c r="AB111" s="21">
        <v>60</v>
      </c>
      <c r="AC111" s="21">
        <v>30</v>
      </c>
      <c r="AD111" s="21">
        <v>30</v>
      </c>
      <c r="AE111" s="21" t="s">
        <v>159</v>
      </c>
      <c r="AF111" s="21">
        <v>0.9</v>
      </c>
      <c r="AG111" s="21">
        <v>1.2</v>
      </c>
      <c r="AH111" s="24">
        <f>(4*3.14*(((AB111^1.6*AC111^1.6+AB111^1.6*AD111^1.6+AC111^1.6+AD111^1.6)/3)^(1/1.6)))*(1/AG111)</f>
        <v>14635.629193901632</v>
      </c>
      <c r="AI111" s="24">
        <f>3.14/6*AB111*AC111*AD111*AF111</f>
        <v>25434</v>
      </c>
      <c r="AJ111" s="21">
        <v>1750</v>
      </c>
      <c r="AK111" s="21">
        <v>50</v>
      </c>
      <c r="AL111" s="22" t="s">
        <v>161</v>
      </c>
      <c r="AM111" s="22">
        <v>0.16</v>
      </c>
      <c r="AN111" s="22" t="s">
        <v>2282</v>
      </c>
      <c r="AO111" s="22" t="s">
        <v>2282</v>
      </c>
      <c r="AP111" s="22" t="s">
        <v>230</v>
      </c>
      <c r="AQ111" s="22" t="str">
        <f t="shared" si="19"/>
        <v>Microphytoplankton</v>
      </c>
      <c r="AR111" s="22">
        <v>0</v>
      </c>
      <c r="AS111" s="22">
        <v>0</v>
      </c>
      <c r="AT111" s="22">
        <v>0</v>
      </c>
      <c r="AU111" s="22">
        <v>1</v>
      </c>
      <c r="AV111" s="22">
        <v>0</v>
      </c>
      <c r="AW111" s="22">
        <v>0</v>
      </c>
      <c r="AX111" s="22">
        <v>0</v>
      </c>
      <c r="AY111" s="22">
        <v>1</v>
      </c>
      <c r="AZ111" s="22">
        <v>1</v>
      </c>
      <c r="BA111" s="22">
        <v>5</v>
      </c>
      <c r="BB111" s="22">
        <v>3</v>
      </c>
      <c r="BC111" s="22">
        <v>1</v>
      </c>
      <c r="BD111" s="22">
        <v>0</v>
      </c>
      <c r="BE111" s="22">
        <v>0</v>
      </c>
      <c r="BH111" s="22">
        <f t="shared" si="16"/>
        <v>0.2371952006338604</v>
      </c>
    </row>
    <row r="112" spans="1:60" s="22" customFormat="1" ht="13">
      <c r="A112" s="21" t="s">
        <v>990</v>
      </c>
      <c r="B112" s="22" t="s">
        <v>663</v>
      </c>
      <c r="C112" s="23" t="s">
        <v>822</v>
      </c>
      <c r="D112" s="23" t="s">
        <v>965</v>
      </c>
      <c r="E112" s="22" t="s">
        <v>991</v>
      </c>
      <c r="F112" s="23" t="s">
        <v>992</v>
      </c>
      <c r="G112" s="22" t="s">
        <v>993</v>
      </c>
      <c r="H112" s="22" t="s">
        <v>994</v>
      </c>
      <c r="I112" s="22" t="s">
        <v>995</v>
      </c>
      <c r="J112" s="22" t="s">
        <v>996</v>
      </c>
      <c r="N112" s="22" t="s">
        <v>997</v>
      </c>
      <c r="O112" s="22" t="s">
        <v>962</v>
      </c>
      <c r="P112" s="22">
        <v>50110</v>
      </c>
      <c r="Q112" s="21">
        <v>15</v>
      </c>
      <c r="R112" s="21">
        <v>5</v>
      </c>
      <c r="S112" s="21">
        <v>5</v>
      </c>
      <c r="T112" s="22" t="s">
        <v>281</v>
      </c>
      <c r="U112" s="21">
        <v>1</v>
      </c>
      <c r="V112" s="22">
        <v>1</v>
      </c>
      <c r="W112" s="24">
        <f t="shared" si="20"/>
        <v>737.11375179543336</v>
      </c>
      <c r="X112" s="24">
        <f t="shared" si="21"/>
        <v>196.25</v>
      </c>
      <c r="Y112" s="21">
        <v>1</v>
      </c>
      <c r="Z112" s="24">
        <f t="shared" si="17"/>
        <v>737.11375179543336</v>
      </c>
      <c r="AA112" s="24">
        <f t="shared" si="18"/>
        <v>196.25</v>
      </c>
      <c r="AB112" s="21"/>
      <c r="AC112" s="21"/>
      <c r="AD112" s="21"/>
      <c r="AE112" s="21"/>
      <c r="AF112" s="21" t="s">
        <v>247</v>
      </c>
      <c r="AG112" s="21"/>
      <c r="AH112" s="24"/>
      <c r="AI112" s="24"/>
      <c r="AJ112" s="21">
        <v>294.5</v>
      </c>
      <c r="AK112" s="21">
        <v>40</v>
      </c>
      <c r="AL112" s="22" t="s">
        <v>161</v>
      </c>
      <c r="AM112" s="22">
        <v>0.11</v>
      </c>
      <c r="AP112" s="22" t="s">
        <v>963</v>
      </c>
      <c r="AQ112" s="22" t="str">
        <f t="shared" si="19"/>
        <v>Microphytoplankton</v>
      </c>
      <c r="AR112" s="22">
        <v>0</v>
      </c>
      <c r="AS112" s="22">
        <v>0</v>
      </c>
      <c r="AT112" s="22">
        <v>0</v>
      </c>
      <c r="AU112" s="22">
        <v>0</v>
      </c>
      <c r="AV112" s="22">
        <v>0</v>
      </c>
      <c r="AW112" s="22">
        <v>0</v>
      </c>
      <c r="AX112" s="22">
        <v>1</v>
      </c>
      <c r="AY112" s="22">
        <v>0</v>
      </c>
      <c r="AZ112" s="22">
        <v>1</v>
      </c>
      <c r="BA112" s="22">
        <v>5</v>
      </c>
      <c r="BB112" s="22">
        <v>3</v>
      </c>
      <c r="BC112" s="22">
        <v>1</v>
      </c>
      <c r="BD112" s="22">
        <v>0</v>
      </c>
      <c r="BE112" s="22">
        <v>0</v>
      </c>
      <c r="BH112" s="22">
        <f t="shared" si="16"/>
        <v>0.26624113241949671</v>
      </c>
    </row>
    <row r="113" spans="1:60" s="22" customFormat="1" ht="13">
      <c r="A113" s="21" t="s">
        <v>3177</v>
      </c>
      <c r="B113" s="22" t="s">
        <v>663</v>
      </c>
      <c r="C113" s="22" t="s">
        <v>2223</v>
      </c>
      <c r="D113" s="22" t="s">
        <v>2224</v>
      </c>
      <c r="E113" s="23" t="s">
        <v>63</v>
      </c>
      <c r="F113" s="23" t="s">
        <v>2225</v>
      </c>
      <c r="G113" s="23" t="s">
        <v>2226</v>
      </c>
      <c r="H113" s="22" t="s">
        <v>2457</v>
      </c>
      <c r="I113" s="22" t="s">
        <v>3178</v>
      </c>
      <c r="J113" s="22" t="s">
        <v>3179</v>
      </c>
      <c r="N113" s="22" t="s">
        <v>3180</v>
      </c>
      <c r="O113" s="22" t="s">
        <v>2229</v>
      </c>
      <c r="P113" s="21">
        <v>83210</v>
      </c>
      <c r="Q113" s="21">
        <v>7</v>
      </c>
      <c r="R113" s="21">
        <v>7</v>
      </c>
      <c r="S113" s="21">
        <v>7</v>
      </c>
      <c r="T113" s="21" t="s">
        <v>281</v>
      </c>
      <c r="U113" s="21">
        <v>1</v>
      </c>
      <c r="V113" s="21">
        <v>1</v>
      </c>
      <c r="W113" s="24">
        <f t="shared" si="20"/>
        <v>490.83181458055361</v>
      </c>
      <c r="X113" s="24">
        <f t="shared" si="21"/>
        <v>179.50333333333333</v>
      </c>
      <c r="Y113" s="21">
        <v>32</v>
      </c>
      <c r="Z113" s="24">
        <f t="shared" si="17"/>
        <v>15706.618066577716</v>
      </c>
      <c r="AA113" s="24">
        <f t="shared" si="18"/>
        <v>5744.1066666666666</v>
      </c>
      <c r="AB113" s="21">
        <v>60</v>
      </c>
      <c r="AC113" s="21">
        <v>60</v>
      </c>
      <c r="AD113" s="21">
        <v>60</v>
      </c>
      <c r="AE113" s="21" t="s">
        <v>246</v>
      </c>
      <c r="AF113" s="21">
        <v>0.2</v>
      </c>
      <c r="AG113" s="21">
        <v>0.2</v>
      </c>
      <c r="AH113" s="25">
        <f>4*3.14*(AC113/2)*(AB113/2)/AG113</f>
        <v>56520</v>
      </c>
      <c r="AI113" s="25">
        <f>(3.14/6*(AD113*AB113*AC113))*AF113</f>
        <v>22608</v>
      </c>
      <c r="AJ113" s="21">
        <v>5747</v>
      </c>
      <c r="AK113" s="21">
        <v>40</v>
      </c>
      <c r="AL113" s="22" t="s">
        <v>161</v>
      </c>
      <c r="AM113" s="22">
        <v>0.16</v>
      </c>
      <c r="AN113" s="22" t="s">
        <v>2282</v>
      </c>
      <c r="AO113" s="22" t="s">
        <v>2282</v>
      </c>
      <c r="AQ113" s="22" t="str">
        <f t="shared" si="19"/>
        <v>Microphytoplankton</v>
      </c>
      <c r="AR113" s="22">
        <v>0</v>
      </c>
      <c r="AS113" s="22">
        <v>0</v>
      </c>
      <c r="AT113" s="22">
        <v>0</v>
      </c>
      <c r="AU113" s="22">
        <v>1</v>
      </c>
      <c r="AV113" s="22">
        <v>0</v>
      </c>
      <c r="AW113" s="22">
        <v>0</v>
      </c>
      <c r="AX113" s="22">
        <v>0</v>
      </c>
      <c r="AY113" s="22">
        <v>1</v>
      </c>
      <c r="BH113" s="22">
        <f t="shared" si="16"/>
        <v>0.36571250681199247</v>
      </c>
    </row>
    <row r="114" spans="1:60" s="22" customFormat="1" ht="13">
      <c r="A114" s="21" t="s">
        <v>1215</v>
      </c>
      <c r="B114" s="22" t="s">
        <v>663</v>
      </c>
      <c r="C114" s="23" t="s">
        <v>822</v>
      </c>
      <c r="D114" s="23" t="s">
        <v>965</v>
      </c>
      <c r="E114" s="22" t="s">
        <v>991</v>
      </c>
      <c r="F114" s="23" t="s">
        <v>1200</v>
      </c>
      <c r="G114" s="23" t="s">
        <v>1201</v>
      </c>
      <c r="H114" s="22" t="s">
        <v>1202</v>
      </c>
      <c r="I114" s="22" t="s">
        <v>1203</v>
      </c>
      <c r="J114" s="22" t="s">
        <v>1216</v>
      </c>
      <c r="N114" s="22" t="s">
        <v>1217</v>
      </c>
      <c r="O114" s="22" t="s">
        <v>962</v>
      </c>
      <c r="P114" s="21">
        <v>50530</v>
      </c>
      <c r="Q114" s="21">
        <v>60</v>
      </c>
      <c r="R114" s="21">
        <v>13</v>
      </c>
      <c r="S114" s="21">
        <v>13</v>
      </c>
      <c r="T114" s="22" t="s">
        <v>281</v>
      </c>
      <c r="U114" s="21">
        <v>1</v>
      </c>
      <c r="V114" s="22">
        <v>1</v>
      </c>
      <c r="W114" s="24">
        <f>(4*3.14*(((Q114^1.6*R114^1.6+Q114^1.6*S114^1.6+R114^1.6+S114^1.6)/3)^(1/1.6)))*(1/V114)</f>
        <v>7610.5271808288544</v>
      </c>
      <c r="X114" s="24">
        <f>3.14/6*Q114*R114*S114*U114</f>
        <v>5306.5999999999995</v>
      </c>
      <c r="Y114" s="21">
        <v>1</v>
      </c>
      <c r="Z114" s="24">
        <f>Y114*W114</f>
        <v>7610.5271808288544</v>
      </c>
      <c r="AA114" s="24">
        <f>Y114*X114</f>
        <v>5306.5999999999995</v>
      </c>
      <c r="AB114" s="21"/>
      <c r="AC114" s="21"/>
      <c r="AD114" s="21"/>
      <c r="AE114" s="21"/>
      <c r="AF114" s="21" t="s">
        <v>247</v>
      </c>
      <c r="AG114" s="21"/>
      <c r="AH114" s="24"/>
      <c r="AI114" s="24"/>
      <c r="AJ114" s="21">
        <v>5309.3</v>
      </c>
      <c r="AK114" s="21">
        <v>60</v>
      </c>
      <c r="AL114" s="22" t="s">
        <v>161</v>
      </c>
      <c r="AM114" s="22">
        <v>0.11</v>
      </c>
      <c r="AN114" s="22" t="s">
        <v>1057</v>
      </c>
      <c r="AO114" s="22" t="s">
        <v>1057</v>
      </c>
      <c r="AP114" s="22" t="s">
        <v>963</v>
      </c>
      <c r="AQ114" s="22" t="str">
        <f t="shared" si="19"/>
        <v>Microphytoplankton</v>
      </c>
      <c r="AR114" s="22">
        <v>1</v>
      </c>
      <c r="AS114" s="22">
        <v>1</v>
      </c>
      <c r="AT114" s="22">
        <v>0</v>
      </c>
      <c r="AU114" s="22">
        <v>0</v>
      </c>
      <c r="AV114" s="22">
        <v>0</v>
      </c>
      <c r="AW114" s="22">
        <v>0</v>
      </c>
      <c r="AX114" s="22">
        <v>1</v>
      </c>
      <c r="AY114" s="22">
        <v>0</v>
      </c>
      <c r="BH114" s="22">
        <f t="shared" si="16"/>
        <v>0.69727101341513942</v>
      </c>
    </row>
    <row r="115" spans="1:60" s="22" customFormat="1" ht="13">
      <c r="A115" s="21" t="s">
        <v>1345</v>
      </c>
      <c r="B115" s="22" t="s">
        <v>663</v>
      </c>
      <c r="C115" s="23" t="s">
        <v>822</v>
      </c>
      <c r="D115" s="23" t="s">
        <v>965</v>
      </c>
      <c r="E115" s="22" t="s">
        <v>991</v>
      </c>
      <c r="F115" s="23" t="s">
        <v>992</v>
      </c>
      <c r="G115" s="23" t="s">
        <v>1005</v>
      </c>
      <c r="H115" s="23" t="s">
        <v>1011</v>
      </c>
      <c r="I115" s="22" t="s">
        <v>1339</v>
      </c>
      <c r="J115" s="22" t="s">
        <v>211</v>
      </c>
      <c r="M115" s="22" t="s">
        <v>1</v>
      </c>
      <c r="N115" s="22" t="s">
        <v>694</v>
      </c>
      <c r="O115" s="22" t="s">
        <v>962</v>
      </c>
      <c r="P115" s="21">
        <v>50200</v>
      </c>
      <c r="Q115" s="21">
        <v>8</v>
      </c>
      <c r="R115" s="21">
        <v>5</v>
      </c>
      <c r="S115" s="21">
        <v>5</v>
      </c>
      <c r="T115" s="21" t="s">
        <v>159</v>
      </c>
      <c r="U115" s="21">
        <v>1</v>
      </c>
      <c r="V115" s="21">
        <v>1</v>
      </c>
      <c r="W115" s="24">
        <f>(4*3.14*(((Q115^1.6*R115^1.6+Q115^1.6*S115^1.6+R115^1.6+S115^1.6)/3)^(1/1.6)))*(1/V115)</f>
        <v>398.62580307118628</v>
      </c>
      <c r="X115" s="24">
        <f>3.14/6*Q115*R115*S115*U115</f>
        <v>104.66666666666667</v>
      </c>
      <c r="Y115" s="21">
        <v>1000</v>
      </c>
      <c r="Z115" s="24">
        <f>Y115*W115</f>
        <v>398625.8030711863</v>
      </c>
      <c r="AA115" s="24">
        <f>Y115*X115</f>
        <v>104666.66666666667</v>
      </c>
      <c r="AB115" s="21">
        <v>100</v>
      </c>
      <c r="AC115" s="21">
        <v>100</v>
      </c>
      <c r="AD115" s="21">
        <v>100</v>
      </c>
      <c r="AE115" s="21" t="s">
        <v>159</v>
      </c>
      <c r="AF115" s="21">
        <v>0.2</v>
      </c>
      <c r="AG115" s="21">
        <v>1.5</v>
      </c>
      <c r="AH115" s="24">
        <f>(4*3.14*(((AB115^1.6*AC115^1.6+AB115^1.6*AD115^1.6+AC115^1.6+AD115^1.6)/3)^(1/1.6)))*(1/AG115)</f>
        <v>65014.848179695546</v>
      </c>
      <c r="AI115" s="24">
        <f>3.14/6*AB115*AC115*AD115*AF115</f>
        <v>104666.66666666667</v>
      </c>
      <c r="AJ115" s="21">
        <v>104719.8</v>
      </c>
      <c r="AK115" s="21">
        <v>100</v>
      </c>
      <c r="AL115" s="22" t="s">
        <v>161</v>
      </c>
      <c r="AM115" s="22">
        <v>0.11</v>
      </c>
      <c r="AN115" s="22" t="s">
        <v>1342</v>
      </c>
      <c r="AO115" s="22" t="s">
        <v>1342</v>
      </c>
      <c r="AP115" s="22" t="s">
        <v>963</v>
      </c>
      <c r="AQ115" s="22" t="str">
        <f t="shared" si="19"/>
        <v>Microphytoplankton</v>
      </c>
      <c r="AR115" s="22">
        <v>1</v>
      </c>
      <c r="AS115" s="22">
        <v>1</v>
      </c>
      <c r="AT115" s="22">
        <v>0</v>
      </c>
      <c r="AU115" s="22">
        <v>1</v>
      </c>
      <c r="AV115" s="22">
        <v>0</v>
      </c>
      <c r="AW115" s="22">
        <v>0</v>
      </c>
      <c r="AX115" s="22">
        <v>1</v>
      </c>
      <c r="AY115" s="22">
        <v>0</v>
      </c>
      <c r="AZ115" s="22">
        <v>0</v>
      </c>
      <c r="BA115" s="22">
        <v>3</v>
      </c>
      <c r="BB115" s="22">
        <v>3</v>
      </c>
      <c r="BC115" s="22">
        <v>3</v>
      </c>
      <c r="BD115" s="22">
        <v>1</v>
      </c>
      <c r="BE115" s="22">
        <v>0</v>
      </c>
      <c r="BH115" s="22">
        <f t="shared" si="16"/>
        <v>0.26256871948646882</v>
      </c>
    </row>
    <row r="116" spans="1:60" s="22" customFormat="1" ht="13">
      <c r="A116" s="21" t="s">
        <v>3165</v>
      </c>
      <c r="B116" s="22" t="s">
        <v>663</v>
      </c>
      <c r="C116" s="22" t="s">
        <v>2223</v>
      </c>
      <c r="D116" s="22" t="s">
        <v>2224</v>
      </c>
      <c r="E116" s="23" t="s">
        <v>63</v>
      </c>
      <c r="F116" s="23" t="s">
        <v>2370</v>
      </c>
      <c r="G116" s="23" t="s">
        <v>2371</v>
      </c>
      <c r="H116" s="23" t="s">
        <v>2372</v>
      </c>
      <c r="I116" s="22" t="s">
        <v>3155</v>
      </c>
      <c r="J116" s="22" t="s">
        <v>211</v>
      </c>
      <c r="M116" s="22" t="s">
        <v>1</v>
      </c>
      <c r="N116" s="22" t="s">
        <v>413</v>
      </c>
      <c r="O116" s="22" t="s">
        <v>2229</v>
      </c>
      <c r="P116" s="21">
        <v>83520</v>
      </c>
      <c r="Q116" s="22">
        <v>9</v>
      </c>
      <c r="R116" s="22">
        <v>4.5</v>
      </c>
      <c r="S116" s="22">
        <v>4.5</v>
      </c>
      <c r="T116" s="21" t="s">
        <v>160</v>
      </c>
      <c r="U116" s="22">
        <v>1</v>
      </c>
      <c r="V116" s="22">
        <v>1</v>
      </c>
      <c r="W116" s="24">
        <f t="shared" ref="W116:W117" si="22">3.14*R116*Q116+2*3.14*(S116/2)^2/V116</f>
        <v>158.96250000000001</v>
      </c>
      <c r="X116" s="25">
        <f t="shared" ref="X116:X117" si="23">(3.14/4*R116^2*Q116)*U116</f>
        <v>143.06625</v>
      </c>
      <c r="Y116" s="21">
        <v>11</v>
      </c>
      <c r="Z116" s="24">
        <f t="shared" ref="Z116:Z119" si="24">Y116*W116</f>
        <v>1748.5875000000001</v>
      </c>
      <c r="AA116" s="24">
        <f t="shared" ref="AA116:AA119" si="25">Y116*X116</f>
        <v>1573.72875</v>
      </c>
      <c r="AB116" s="22">
        <v>100</v>
      </c>
      <c r="AC116" s="22">
        <v>4.5</v>
      </c>
      <c r="AD116" s="22">
        <v>4.5</v>
      </c>
      <c r="AE116" s="21" t="s">
        <v>160</v>
      </c>
      <c r="AF116" s="21">
        <v>1</v>
      </c>
      <c r="AG116" s="21">
        <v>1</v>
      </c>
      <c r="AH116" s="24">
        <f t="shared" ref="AH116" si="26">3.14*AC116*AB116+2*3.14*(AD116/2)^2/AG116</f>
        <v>1444.7925</v>
      </c>
      <c r="AI116" s="25">
        <f t="shared" ref="AI116" si="27">(3.14/4*AC116^2*AB116)*AF116</f>
        <v>1589.625</v>
      </c>
      <c r="AJ116" s="21">
        <v>1593.2</v>
      </c>
      <c r="AK116" s="21">
        <v>100</v>
      </c>
      <c r="AL116" s="22" t="s">
        <v>161</v>
      </c>
      <c r="AM116" s="22">
        <v>0.16</v>
      </c>
      <c r="AO116" s="22" t="s">
        <v>383</v>
      </c>
      <c r="AQ116" s="22" t="str">
        <f t="shared" si="19"/>
        <v>Microphytoplankton</v>
      </c>
      <c r="AR116" s="22">
        <v>0</v>
      </c>
      <c r="AS116" s="22">
        <v>0</v>
      </c>
      <c r="AT116" s="22">
        <v>0</v>
      </c>
      <c r="AU116" s="22">
        <v>1</v>
      </c>
      <c r="AV116" s="22">
        <v>1</v>
      </c>
      <c r="AW116" s="22">
        <v>0</v>
      </c>
      <c r="AX116" s="22">
        <v>0</v>
      </c>
      <c r="AY116" s="22">
        <v>1</v>
      </c>
      <c r="BH116" s="22">
        <f t="shared" si="16"/>
        <v>0.89999999999999991</v>
      </c>
    </row>
    <row r="117" spans="1:60" s="22" customFormat="1" ht="13">
      <c r="A117" s="22" t="s">
        <v>1533</v>
      </c>
      <c r="B117" s="22" t="s">
        <v>663</v>
      </c>
      <c r="C117" s="23" t="s">
        <v>822</v>
      </c>
      <c r="D117" s="23" t="s">
        <v>965</v>
      </c>
      <c r="E117" s="22" t="s">
        <v>62</v>
      </c>
      <c r="F117" s="22" t="s">
        <v>1424</v>
      </c>
      <c r="G117" s="23" t="s">
        <v>1507</v>
      </c>
      <c r="H117" s="23" t="s">
        <v>1508</v>
      </c>
      <c r="I117" s="22" t="s">
        <v>40</v>
      </c>
      <c r="J117" s="22" t="s">
        <v>211</v>
      </c>
      <c r="M117" s="22" t="s">
        <v>1</v>
      </c>
      <c r="N117" s="22" t="s">
        <v>1534</v>
      </c>
      <c r="O117" s="22" t="s">
        <v>1430</v>
      </c>
      <c r="P117" s="21">
        <v>70122</v>
      </c>
      <c r="Q117" s="22">
        <v>18</v>
      </c>
      <c r="R117" s="22">
        <v>8</v>
      </c>
      <c r="S117" s="22">
        <v>8</v>
      </c>
      <c r="T117" s="21" t="s">
        <v>160</v>
      </c>
      <c r="U117" s="21">
        <v>1</v>
      </c>
      <c r="V117" s="22">
        <v>1</v>
      </c>
      <c r="W117" s="24">
        <f t="shared" si="22"/>
        <v>552.64</v>
      </c>
      <c r="X117" s="25">
        <f t="shared" si="23"/>
        <v>904.32</v>
      </c>
      <c r="Y117" s="22">
        <v>1</v>
      </c>
      <c r="Z117" s="24">
        <f t="shared" si="24"/>
        <v>552.64</v>
      </c>
      <c r="AA117" s="24">
        <f t="shared" si="25"/>
        <v>904.32</v>
      </c>
      <c r="AF117" s="21" t="s">
        <v>247</v>
      </c>
      <c r="AH117" s="25"/>
      <c r="AI117" s="25"/>
      <c r="AJ117" s="21">
        <v>904.32</v>
      </c>
      <c r="AK117" s="21">
        <v>100</v>
      </c>
      <c r="AL117" s="22" t="s">
        <v>748</v>
      </c>
      <c r="AM117" s="22">
        <v>0.11</v>
      </c>
      <c r="AO117" s="22" t="s">
        <v>1517</v>
      </c>
      <c r="AP117" s="22" t="s">
        <v>1432</v>
      </c>
      <c r="AQ117" s="22" t="str">
        <f t="shared" si="19"/>
        <v>Microphytoplankton</v>
      </c>
      <c r="AR117" s="22">
        <v>0</v>
      </c>
      <c r="AS117" s="22">
        <v>0</v>
      </c>
      <c r="AT117" s="22">
        <v>0</v>
      </c>
      <c r="AU117" s="22">
        <v>1</v>
      </c>
      <c r="AV117" s="22">
        <v>1</v>
      </c>
      <c r="AW117" s="22">
        <v>0</v>
      </c>
      <c r="AX117" s="22">
        <v>1</v>
      </c>
      <c r="AY117" s="22">
        <v>0</v>
      </c>
      <c r="BH117" s="22">
        <f t="shared" si="16"/>
        <v>1.6363636363636365</v>
      </c>
    </row>
    <row r="118" spans="1:60" s="22" customFormat="1" ht="13">
      <c r="A118" s="21" t="s">
        <v>1874</v>
      </c>
      <c r="B118" s="22" t="s">
        <v>663</v>
      </c>
      <c r="C118" s="23" t="s">
        <v>822</v>
      </c>
      <c r="D118" s="23" t="s">
        <v>965</v>
      </c>
      <c r="E118" s="22" t="s">
        <v>62</v>
      </c>
      <c r="F118" s="23" t="s">
        <v>1499</v>
      </c>
      <c r="G118" s="23" t="s">
        <v>1500</v>
      </c>
      <c r="H118" s="23" t="s">
        <v>1501</v>
      </c>
      <c r="I118" s="22" t="s">
        <v>1805</v>
      </c>
      <c r="J118" s="21" t="s">
        <v>1875</v>
      </c>
      <c r="K118" s="21"/>
      <c r="L118" s="21"/>
      <c r="N118" s="22" t="s">
        <v>1876</v>
      </c>
      <c r="O118" s="22" t="s">
        <v>1430</v>
      </c>
      <c r="P118" s="21">
        <v>70630</v>
      </c>
      <c r="Q118" s="21">
        <v>32</v>
      </c>
      <c r="R118" s="21">
        <v>3</v>
      </c>
      <c r="S118" s="21">
        <v>3</v>
      </c>
      <c r="T118" s="22" t="s">
        <v>330</v>
      </c>
      <c r="U118" s="21">
        <v>0.6</v>
      </c>
      <c r="V118" s="21">
        <v>0.6</v>
      </c>
      <c r="W118" s="25">
        <f t="shared" ref="W118" si="28">(Q118*R118*2+Q118*S118*2+R118*S118*2)/V118</f>
        <v>670</v>
      </c>
      <c r="X118" s="25">
        <f t="shared" ref="X118" si="29">Q118*R118*S118*U118</f>
        <v>172.79999999999998</v>
      </c>
      <c r="Y118" s="21">
        <v>1</v>
      </c>
      <c r="Z118" s="24">
        <f t="shared" si="24"/>
        <v>670</v>
      </c>
      <c r="AA118" s="24">
        <f t="shared" si="25"/>
        <v>172.79999999999998</v>
      </c>
      <c r="AB118" s="21"/>
      <c r="AC118" s="21"/>
      <c r="AD118" s="21"/>
      <c r="AE118" s="21"/>
      <c r="AF118" s="21" t="s">
        <v>247</v>
      </c>
      <c r="AG118" s="21"/>
      <c r="AH118" s="24"/>
      <c r="AI118" s="24"/>
      <c r="AJ118" s="21">
        <v>172.8</v>
      </c>
      <c r="AK118" s="21">
        <v>100</v>
      </c>
      <c r="AL118" s="22" t="s">
        <v>161</v>
      </c>
      <c r="AM118" s="22">
        <v>0.11</v>
      </c>
      <c r="AO118" s="22" t="s">
        <v>383</v>
      </c>
      <c r="AP118" s="22" t="s">
        <v>1432</v>
      </c>
      <c r="AQ118" s="22" t="str">
        <f t="shared" si="19"/>
        <v>Microphytoplankton</v>
      </c>
      <c r="AR118" s="22">
        <v>0</v>
      </c>
      <c r="AS118" s="22">
        <v>0</v>
      </c>
      <c r="AT118" s="22">
        <v>0</v>
      </c>
      <c r="AU118" s="22">
        <v>1</v>
      </c>
      <c r="AV118" s="22">
        <v>0</v>
      </c>
      <c r="AW118" s="22">
        <v>0</v>
      </c>
      <c r="AX118" s="22">
        <v>1</v>
      </c>
      <c r="AY118" s="22">
        <v>0</v>
      </c>
      <c r="BH118" s="22">
        <f t="shared" si="16"/>
        <v>0.25791044776119398</v>
      </c>
    </row>
    <row r="119" spans="1:60" s="22" customFormat="1" ht="28">
      <c r="A119" s="21" t="s">
        <v>533</v>
      </c>
      <c r="B119" s="22" t="s">
        <v>149</v>
      </c>
      <c r="C119" s="22" t="s">
        <v>150</v>
      </c>
      <c r="D119" s="23" t="s">
        <v>151</v>
      </c>
      <c r="E119" s="22" t="s">
        <v>61</v>
      </c>
      <c r="F119" s="22" t="s">
        <v>152</v>
      </c>
      <c r="G119" s="20" t="s">
        <v>153</v>
      </c>
      <c r="H119" s="22" t="s">
        <v>317</v>
      </c>
      <c r="I119" s="22" t="s">
        <v>522</v>
      </c>
      <c r="J119" s="22" t="s">
        <v>534</v>
      </c>
      <c r="N119" s="22" t="s">
        <v>535</v>
      </c>
      <c r="O119" s="22" t="s">
        <v>158</v>
      </c>
      <c r="P119" s="21">
        <v>10950</v>
      </c>
      <c r="Q119" s="21">
        <v>3.5</v>
      </c>
      <c r="R119" s="21">
        <v>17</v>
      </c>
      <c r="S119" s="21">
        <v>17</v>
      </c>
      <c r="T119" s="21" t="s">
        <v>160</v>
      </c>
      <c r="U119" s="21">
        <v>1</v>
      </c>
      <c r="V119" s="21">
        <v>1</v>
      </c>
      <c r="W119" s="24">
        <f t="shared" ref="W119" si="30">3.14*R119*Q119+2*3.14*(S119/2)^2/V119</f>
        <v>640.56000000000006</v>
      </c>
      <c r="X119" s="25">
        <f t="shared" ref="X119" si="31">(3.14/4*R119^2*Q119)*U119</f>
        <v>794.02750000000003</v>
      </c>
      <c r="Y119" s="21">
        <v>28.6</v>
      </c>
      <c r="Z119" s="24">
        <f t="shared" si="24"/>
        <v>18320.016000000003</v>
      </c>
      <c r="AA119" s="24">
        <f t="shared" si="25"/>
        <v>22709.186500000003</v>
      </c>
      <c r="AB119" s="21">
        <v>100</v>
      </c>
      <c r="AC119" s="21">
        <v>17</v>
      </c>
      <c r="AD119" s="21">
        <v>17</v>
      </c>
      <c r="AE119" s="21" t="s">
        <v>160</v>
      </c>
      <c r="AF119" s="21">
        <v>1</v>
      </c>
      <c r="AG119" s="21">
        <v>1</v>
      </c>
      <c r="AH119" s="24">
        <f t="shared" ref="AH119" si="32">3.14*AC119*AB119+2*3.14*(AD119/2)^2/AG119</f>
        <v>5791.73</v>
      </c>
      <c r="AI119" s="25">
        <f t="shared" ref="AI119" si="33">(3.14/4*AC119^2*AB119)*AF119</f>
        <v>22686.5</v>
      </c>
      <c r="AJ119" s="21">
        <v>22698</v>
      </c>
      <c r="AK119" s="21">
        <v>100</v>
      </c>
      <c r="AL119" s="22" t="s">
        <v>161</v>
      </c>
      <c r="AM119" s="22">
        <v>0.22</v>
      </c>
      <c r="AO119" s="22" t="s">
        <v>383</v>
      </c>
      <c r="AP119" s="22" t="s">
        <v>169</v>
      </c>
      <c r="AQ119" s="22" t="str">
        <f t="shared" si="19"/>
        <v>Microphytoplankton</v>
      </c>
      <c r="AR119" s="22">
        <v>0</v>
      </c>
      <c r="AS119" s="22">
        <v>0</v>
      </c>
      <c r="AT119" s="22">
        <v>0</v>
      </c>
      <c r="AU119" s="22">
        <v>1</v>
      </c>
      <c r="AV119" s="22">
        <v>1</v>
      </c>
      <c r="AW119" s="22">
        <v>0</v>
      </c>
      <c r="AX119" s="22">
        <v>0</v>
      </c>
      <c r="AY119" s="22">
        <v>1</v>
      </c>
      <c r="BH119" s="22">
        <f t="shared" si="16"/>
        <v>1.2395833333333333</v>
      </c>
    </row>
    <row r="120" spans="1:60">
      <c r="BH120" s="22"/>
    </row>
    <row r="121" spans="1:60">
      <c r="BH121" s="22"/>
    </row>
    <row r="122" spans="1:60" s="22" customFormat="1" ht="13">
      <c r="A122" s="21" t="s">
        <v>362</v>
      </c>
      <c r="B122" s="22" t="s">
        <v>149</v>
      </c>
      <c r="C122" s="22" t="s">
        <v>150</v>
      </c>
      <c r="D122" s="23" t="s">
        <v>151</v>
      </c>
      <c r="E122" s="22" t="s">
        <v>61</v>
      </c>
      <c r="F122" s="22" t="s">
        <v>152</v>
      </c>
      <c r="G122" s="22" t="s">
        <v>60</v>
      </c>
      <c r="H122" s="22" t="s">
        <v>226</v>
      </c>
      <c r="I122" s="22" t="s">
        <v>363</v>
      </c>
      <c r="J122" s="22" t="s">
        <v>364</v>
      </c>
      <c r="N122" s="22" t="s">
        <v>228</v>
      </c>
      <c r="O122" s="22" t="s">
        <v>158</v>
      </c>
      <c r="P122" s="21">
        <v>10510</v>
      </c>
      <c r="Q122" s="21">
        <v>2.5</v>
      </c>
      <c r="R122" s="21">
        <v>2.5</v>
      </c>
      <c r="S122" s="21">
        <v>2.5</v>
      </c>
      <c r="T122" s="21" t="s">
        <v>281</v>
      </c>
      <c r="U122" s="21">
        <v>1</v>
      </c>
      <c r="V122" s="21">
        <v>1</v>
      </c>
      <c r="W122" s="24">
        <f>(4*3.14*(((Q122^1.6*R122^1.6+Q122^1.6*S122^1.6+R122^1.6+S122^1.6)/3)^(1/1.6)))*(1/V122)</f>
        <v>69.372421357191953</v>
      </c>
      <c r="X122" s="24">
        <f>3.14/6*Q122*R122*S122*U122</f>
        <v>8.1770833333333339</v>
      </c>
      <c r="Y122" s="21">
        <v>80</v>
      </c>
      <c r="Z122" s="24">
        <f t="shared" ref="Z122" si="34">Y122*W122</f>
        <v>5549.7937085753565</v>
      </c>
      <c r="AA122" s="24">
        <f t="shared" ref="AA122" si="35">Y122*X122</f>
        <v>654.16666666666674</v>
      </c>
      <c r="AB122" s="21">
        <v>50</v>
      </c>
      <c r="AC122" s="21">
        <v>50</v>
      </c>
      <c r="AD122" s="21">
        <v>50</v>
      </c>
      <c r="AE122" s="21" t="s">
        <v>281</v>
      </c>
      <c r="AF122" s="21">
        <v>0.01</v>
      </c>
      <c r="AG122" s="21">
        <v>1</v>
      </c>
      <c r="AH122" s="24">
        <f>(4*3.14*(((AB122^1.6*AC122^1.6+AB122^1.6*AD122^1.6+AC122^1.6+AD122^1.6)/3)^(1/1.6)))*(1/AG122)</f>
        <v>24400.082151651244</v>
      </c>
      <c r="AI122" s="24">
        <f>3.14/6*AB122*AC122*AD122*AF122</f>
        <v>654.16666666666663</v>
      </c>
      <c r="AJ122" s="21">
        <v>654.5</v>
      </c>
      <c r="AK122" s="21">
        <v>50</v>
      </c>
      <c r="AL122" s="22" t="s">
        <v>161</v>
      </c>
      <c r="AM122" s="22">
        <v>0.22</v>
      </c>
      <c r="AO122" s="22" t="s">
        <v>331</v>
      </c>
      <c r="AP122" s="22" t="s">
        <v>230</v>
      </c>
      <c r="AQ122" s="22" t="str">
        <f t="shared" ref="AQ122" si="36">IF(AND($AK122&lt;20,AJ122&lt;10000),"Nanophytoplankton","Microphytoplankton")</f>
        <v>Microphytoplankton</v>
      </c>
      <c r="AR122" s="22">
        <v>0</v>
      </c>
      <c r="AS122" s="22">
        <v>0</v>
      </c>
      <c r="AT122" s="22">
        <v>0</v>
      </c>
      <c r="AU122" s="22">
        <v>1</v>
      </c>
      <c r="AV122" s="22">
        <v>0</v>
      </c>
      <c r="AW122" s="22">
        <v>0</v>
      </c>
      <c r="AX122" s="22">
        <v>0</v>
      </c>
      <c r="AY122" s="22">
        <v>1</v>
      </c>
      <c r="BH122" s="22">
        <f t="shared" si="16"/>
        <v>0.11787224913529132</v>
      </c>
    </row>
    <row r="123" spans="1:60">
      <c r="BH123" s="22"/>
    </row>
    <row r="124" spans="1:60" s="22" customFormat="1" ht="13">
      <c r="A124" s="21" t="s">
        <v>3412</v>
      </c>
      <c r="B124" s="22" t="s">
        <v>663</v>
      </c>
      <c r="C124" s="23" t="s">
        <v>2223</v>
      </c>
      <c r="D124" s="22" t="s">
        <v>3188</v>
      </c>
      <c r="E124" s="23" t="s">
        <v>3189</v>
      </c>
      <c r="F124" s="23" t="s">
        <v>3190</v>
      </c>
      <c r="G124" s="23" t="s">
        <v>3191</v>
      </c>
      <c r="H124" s="23" t="s">
        <v>3392</v>
      </c>
      <c r="I124" s="22" t="s">
        <v>3413</v>
      </c>
      <c r="J124" s="22" t="s">
        <v>211</v>
      </c>
      <c r="M124" s="22" t="s">
        <v>1</v>
      </c>
      <c r="N124" s="22" t="s">
        <v>2757</v>
      </c>
      <c r="O124" s="22" t="s">
        <v>3196</v>
      </c>
      <c r="P124" s="21">
        <v>90700</v>
      </c>
      <c r="Q124" s="21">
        <v>60</v>
      </c>
      <c r="R124" s="21">
        <v>30</v>
      </c>
      <c r="S124" s="21">
        <v>30</v>
      </c>
      <c r="T124" s="21" t="s">
        <v>160</v>
      </c>
      <c r="U124" s="22">
        <v>1</v>
      </c>
      <c r="V124" s="22">
        <v>1</v>
      </c>
      <c r="W124" s="24">
        <f>3.14*R124*Q124+2*3.14*(S124/2)^2/V124</f>
        <v>7065</v>
      </c>
      <c r="X124" s="25">
        <f>(3.14/4*R124^2*Q124)*U124</f>
        <v>42390</v>
      </c>
      <c r="Y124" s="21">
        <v>1</v>
      </c>
      <c r="Z124" s="24">
        <f t="shared" ref="Z124:Z129" si="37">Y124*W124</f>
        <v>7065</v>
      </c>
      <c r="AA124" s="24">
        <f t="shared" ref="AA124:AA129" si="38">Y124*X124</f>
        <v>42390</v>
      </c>
      <c r="AB124" s="21"/>
      <c r="AC124" s="21"/>
      <c r="AD124" s="21"/>
      <c r="AE124" s="21"/>
      <c r="AF124" s="21"/>
      <c r="AG124" s="21"/>
      <c r="AH124" s="24"/>
      <c r="AI124" s="24"/>
      <c r="AJ124" s="21">
        <v>42411.5</v>
      </c>
      <c r="AK124" s="21">
        <v>100</v>
      </c>
      <c r="AL124" s="22" t="s">
        <v>161</v>
      </c>
      <c r="AM124" s="22">
        <v>0.11</v>
      </c>
      <c r="AO124" s="22" t="s">
        <v>383</v>
      </c>
      <c r="AP124" s="22" t="s">
        <v>162</v>
      </c>
      <c r="AQ124" s="22" t="str">
        <f t="shared" ref="AQ124:AQ129" si="39">IF(AND($AK124&lt;20,AJ124&lt;10000),"Nanophytoplankton","Microphytoplankton")</f>
        <v>Microphytoplankton</v>
      </c>
      <c r="AR124" s="22">
        <v>0</v>
      </c>
      <c r="AS124" s="22">
        <v>0</v>
      </c>
      <c r="AT124" s="22">
        <v>0</v>
      </c>
      <c r="AU124" s="22">
        <v>1</v>
      </c>
      <c r="AV124" s="22">
        <v>1</v>
      </c>
      <c r="AW124" s="22">
        <v>0</v>
      </c>
      <c r="AX124" s="22">
        <v>0</v>
      </c>
      <c r="AY124" s="22">
        <v>1</v>
      </c>
      <c r="BH124" s="22">
        <f t="shared" si="16"/>
        <v>6</v>
      </c>
    </row>
    <row r="125" spans="1:60" s="22" customFormat="1" ht="13">
      <c r="A125" s="21" t="s">
        <v>3414</v>
      </c>
      <c r="B125" s="22" t="s">
        <v>663</v>
      </c>
      <c r="C125" s="23" t="s">
        <v>2223</v>
      </c>
      <c r="D125" s="22" t="s">
        <v>3188</v>
      </c>
      <c r="E125" s="23" t="s">
        <v>3189</v>
      </c>
      <c r="F125" s="23" t="s">
        <v>3190</v>
      </c>
      <c r="G125" s="23" t="s">
        <v>3191</v>
      </c>
      <c r="H125" s="23" t="s">
        <v>3392</v>
      </c>
      <c r="I125" s="22" t="s">
        <v>3413</v>
      </c>
      <c r="J125" s="22" t="s">
        <v>1175</v>
      </c>
      <c r="M125" s="22" t="s">
        <v>1</v>
      </c>
      <c r="N125" s="22" t="s">
        <v>2757</v>
      </c>
      <c r="O125" s="22" t="s">
        <v>3196</v>
      </c>
      <c r="P125" s="21">
        <v>90701</v>
      </c>
      <c r="Q125" s="21">
        <v>200</v>
      </c>
      <c r="R125" s="21">
        <v>15</v>
      </c>
      <c r="S125" s="21">
        <v>15</v>
      </c>
      <c r="T125" s="21" t="s">
        <v>160</v>
      </c>
      <c r="U125" s="22">
        <v>1</v>
      </c>
      <c r="V125" s="22">
        <v>1</v>
      </c>
      <c r="W125" s="24">
        <f>3.14*R125*Q125+2*3.14*(S125/2)^2/V125</f>
        <v>9773.25</v>
      </c>
      <c r="X125" s="25">
        <f>(3.14/4*R125^2*Q125)*U125</f>
        <v>35325</v>
      </c>
      <c r="Y125" s="21">
        <v>13</v>
      </c>
      <c r="Z125" s="24">
        <f t="shared" si="37"/>
        <v>127052.25</v>
      </c>
      <c r="AA125" s="24">
        <f t="shared" si="38"/>
        <v>459225</v>
      </c>
      <c r="AB125" s="21">
        <v>200</v>
      </c>
      <c r="AC125" s="21">
        <v>15</v>
      </c>
      <c r="AD125" s="21">
        <v>15</v>
      </c>
      <c r="AE125" s="21" t="s">
        <v>160</v>
      </c>
      <c r="AF125" s="21">
        <v>1</v>
      </c>
      <c r="AG125" s="21">
        <v>1</v>
      </c>
      <c r="AH125" s="24">
        <f>3.14*AC125*AB125+2*3.14*(AD125/2)^2/AG125</f>
        <v>9773.25</v>
      </c>
      <c r="AI125" s="25">
        <f>(3.14/4*AC125^2*AB125)*AF125</f>
        <v>35325</v>
      </c>
      <c r="AJ125" s="21">
        <v>35325</v>
      </c>
      <c r="AK125" s="21">
        <v>200</v>
      </c>
      <c r="AL125" s="22" t="s">
        <v>161</v>
      </c>
      <c r="AM125" s="22">
        <v>0.11</v>
      </c>
      <c r="AO125" s="22" t="s">
        <v>383</v>
      </c>
      <c r="AP125" s="22" t="s">
        <v>162</v>
      </c>
      <c r="AQ125" s="22" t="str">
        <f t="shared" si="39"/>
        <v>Microphytoplankton</v>
      </c>
      <c r="AR125" s="22">
        <v>0</v>
      </c>
      <c r="AS125" s="22">
        <v>0</v>
      </c>
      <c r="AT125" s="22">
        <v>0</v>
      </c>
      <c r="AU125" s="22">
        <v>1</v>
      </c>
      <c r="AV125" s="22">
        <v>1</v>
      </c>
      <c r="AW125" s="22">
        <v>0</v>
      </c>
      <c r="AX125" s="22">
        <v>0</v>
      </c>
      <c r="AY125" s="22">
        <v>1</v>
      </c>
      <c r="BH125" s="22">
        <f t="shared" si="16"/>
        <v>3.6144578313253013</v>
      </c>
    </row>
    <row r="126" spans="1:60" s="22" customFormat="1" ht="13">
      <c r="A126" s="21" t="s">
        <v>3415</v>
      </c>
      <c r="B126" s="22" t="s">
        <v>663</v>
      </c>
      <c r="C126" s="23" t="s">
        <v>2223</v>
      </c>
      <c r="D126" s="22" t="s">
        <v>3188</v>
      </c>
      <c r="E126" s="23" t="s">
        <v>3189</v>
      </c>
      <c r="F126" s="23" t="s">
        <v>3190</v>
      </c>
      <c r="G126" s="23" t="s">
        <v>3191</v>
      </c>
      <c r="H126" s="23" t="s">
        <v>3392</v>
      </c>
      <c r="I126" s="22" t="s">
        <v>3413</v>
      </c>
      <c r="J126" s="22" t="s">
        <v>3416</v>
      </c>
      <c r="M126" s="22" t="s">
        <v>1</v>
      </c>
      <c r="N126" s="22" t="s">
        <v>2757</v>
      </c>
      <c r="O126" s="22" t="s">
        <v>3196</v>
      </c>
      <c r="P126" s="21">
        <v>90702</v>
      </c>
      <c r="Q126" s="21">
        <v>52</v>
      </c>
      <c r="R126" s="21">
        <v>13</v>
      </c>
      <c r="S126" s="21">
        <v>13</v>
      </c>
      <c r="T126" s="21" t="s">
        <v>160</v>
      </c>
      <c r="U126" s="22">
        <v>1</v>
      </c>
      <c r="V126" s="22">
        <v>1</v>
      </c>
      <c r="W126" s="24">
        <f>3.14*R126*Q126+2*3.14*(S126/2)^2/V126</f>
        <v>2387.9699999999998</v>
      </c>
      <c r="X126" s="25">
        <f>(3.14/4*R126^2*Q126)*U126</f>
        <v>6898.58</v>
      </c>
      <c r="Y126" s="21">
        <v>1</v>
      </c>
      <c r="Z126" s="24">
        <f t="shared" si="37"/>
        <v>2387.9699999999998</v>
      </c>
      <c r="AA126" s="24">
        <f t="shared" si="38"/>
        <v>6898.58</v>
      </c>
      <c r="AB126" s="21"/>
      <c r="AC126" s="21"/>
      <c r="AD126" s="21"/>
      <c r="AE126" s="21"/>
      <c r="AF126" s="21"/>
      <c r="AG126" s="21"/>
      <c r="AH126" s="24"/>
      <c r="AI126" s="24"/>
      <c r="AJ126" s="21">
        <v>6898.6</v>
      </c>
      <c r="AK126" s="21">
        <v>52</v>
      </c>
      <c r="AL126" s="22" t="s">
        <v>161</v>
      </c>
      <c r="AM126" s="22">
        <v>0.11</v>
      </c>
      <c r="AO126" s="22" t="s">
        <v>383</v>
      </c>
      <c r="AP126" s="22" t="s">
        <v>162</v>
      </c>
      <c r="AQ126" s="22" t="str">
        <f t="shared" si="39"/>
        <v>Microphytoplankton</v>
      </c>
      <c r="AR126" s="22">
        <v>0</v>
      </c>
      <c r="AS126" s="22">
        <v>0</v>
      </c>
      <c r="AT126" s="22">
        <v>0</v>
      </c>
      <c r="AU126" s="22">
        <v>1</v>
      </c>
      <c r="AV126" s="22">
        <v>1</v>
      </c>
      <c r="AW126" s="22">
        <v>0</v>
      </c>
      <c r="AX126" s="22">
        <v>0</v>
      </c>
      <c r="AY126" s="22">
        <v>1</v>
      </c>
      <c r="BH126" s="22">
        <f t="shared" si="16"/>
        <v>2.8888888888888893</v>
      </c>
    </row>
    <row r="127" spans="1:60" s="22" customFormat="1" ht="13">
      <c r="A127" s="21" t="s">
        <v>1949</v>
      </c>
      <c r="B127" s="22" t="s">
        <v>663</v>
      </c>
      <c r="C127" s="23" t="s">
        <v>822</v>
      </c>
      <c r="D127" s="23" t="s">
        <v>965</v>
      </c>
      <c r="E127" s="22" t="s">
        <v>62</v>
      </c>
      <c r="F127" s="23" t="s">
        <v>1499</v>
      </c>
      <c r="G127" s="23" t="s">
        <v>1500</v>
      </c>
      <c r="H127" s="23" t="s">
        <v>1501</v>
      </c>
      <c r="I127" s="22" t="s">
        <v>1950</v>
      </c>
      <c r="J127" s="22" t="s">
        <v>1951</v>
      </c>
      <c r="N127" s="22" t="s">
        <v>1952</v>
      </c>
      <c r="O127" s="22" t="s">
        <v>1430</v>
      </c>
      <c r="P127" s="21">
        <v>70510</v>
      </c>
      <c r="Q127" s="21">
        <v>50</v>
      </c>
      <c r="R127" s="21">
        <v>6</v>
      </c>
      <c r="S127" s="21">
        <v>6</v>
      </c>
      <c r="T127" s="22" t="s">
        <v>330</v>
      </c>
      <c r="U127" s="21">
        <v>0.7</v>
      </c>
      <c r="V127" s="21">
        <v>0.7</v>
      </c>
      <c r="W127" s="25">
        <f t="shared" ref="W127:W129" si="40">(Q127*R127*2+Q127*S127*2+R127*S127*2)/V127</f>
        <v>1817.1428571428573</v>
      </c>
      <c r="X127" s="25">
        <f t="shared" ref="X127:X129" si="41">Q127*R127*S127*U127</f>
        <v>1260</v>
      </c>
      <c r="Y127" s="21">
        <v>1</v>
      </c>
      <c r="Z127" s="24">
        <f t="shared" si="37"/>
        <v>1817.1428571428573</v>
      </c>
      <c r="AA127" s="24">
        <f t="shared" si="38"/>
        <v>1260</v>
      </c>
      <c r="AB127" s="21"/>
      <c r="AC127" s="21"/>
      <c r="AD127" s="21"/>
      <c r="AE127" s="21"/>
      <c r="AF127" s="21" t="s">
        <v>247</v>
      </c>
      <c r="AG127" s="21"/>
      <c r="AH127" s="24"/>
      <c r="AI127" s="24"/>
      <c r="AJ127" s="21">
        <v>1260</v>
      </c>
      <c r="AK127" s="21">
        <v>50</v>
      </c>
      <c r="AL127" s="22" t="s">
        <v>161</v>
      </c>
      <c r="AM127" s="22">
        <v>0.11</v>
      </c>
      <c r="AO127" s="22" t="s">
        <v>1447</v>
      </c>
      <c r="AP127" s="22" t="s">
        <v>1432</v>
      </c>
      <c r="AQ127" s="22" t="str">
        <f t="shared" si="39"/>
        <v>Microphytoplankton</v>
      </c>
      <c r="AR127" s="22">
        <v>0</v>
      </c>
      <c r="AS127" s="22">
        <v>0</v>
      </c>
      <c r="AT127" s="22">
        <v>0</v>
      </c>
      <c r="AU127" s="22">
        <v>1</v>
      </c>
      <c r="AV127" s="22">
        <v>0</v>
      </c>
      <c r="AW127" s="22">
        <v>0</v>
      </c>
      <c r="AX127" s="22">
        <v>1</v>
      </c>
      <c r="AY127" s="22">
        <v>0</v>
      </c>
      <c r="BH127" s="22">
        <f t="shared" si="16"/>
        <v>0.69339622641509424</v>
      </c>
    </row>
    <row r="128" spans="1:60" s="22" customFormat="1" ht="13">
      <c r="A128" s="21" t="s">
        <v>2198</v>
      </c>
      <c r="B128" s="22" t="s">
        <v>663</v>
      </c>
      <c r="C128" s="23" t="s">
        <v>822</v>
      </c>
      <c r="D128" s="23" t="s">
        <v>965</v>
      </c>
      <c r="E128" s="22" t="s">
        <v>62</v>
      </c>
      <c r="F128" s="23" t="s">
        <v>1434</v>
      </c>
      <c r="G128" s="23" t="s">
        <v>1548</v>
      </c>
      <c r="H128" s="23" t="s">
        <v>1549</v>
      </c>
      <c r="I128" s="22" t="s">
        <v>2189</v>
      </c>
      <c r="J128" s="22" t="s">
        <v>211</v>
      </c>
      <c r="M128" s="22" t="s">
        <v>1</v>
      </c>
      <c r="N128" s="22" t="s">
        <v>1056</v>
      </c>
      <c r="O128" s="22" t="s">
        <v>1430</v>
      </c>
      <c r="P128" s="22">
        <v>72130</v>
      </c>
      <c r="Q128" s="22">
        <v>85</v>
      </c>
      <c r="R128" s="22">
        <v>24</v>
      </c>
      <c r="S128" s="22">
        <v>10</v>
      </c>
      <c r="T128" s="22" t="s">
        <v>330</v>
      </c>
      <c r="U128" s="22">
        <v>0.7</v>
      </c>
      <c r="V128" s="21">
        <v>0.7</v>
      </c>
      <c r="W128" s="25">
        <f t="shared" si="40"/>
        <v>8942.8571428571431</v>
      </c>
      <c r="X128" s="25">
        <f t="shared" si="41"/>
        <v>14280</v>
      </c>
      <c r="Y128" s="21">
        <v>1</v>
      </c>
      <c r="Z128" s="24">
        <f t="shared" si="37"/>
        <v>8942.8571428571431</v>
      </c>
      <c r="AA128" s="24">
        <f t="shared" si="38"/>
        <v>14280</v>
      </c>
      <c r="AE128" s="21"/>
      <c r="AF128" s="21" t="s">
        <v>247</v>
      </c>
      <c r="AH128" s="25"/>
      <c r="AI128" s="25"/>
      <c r="AJ128" s="21">
        <v>3738.5</v>
      </c>
      <c r="AK128" s="21">
        <v>85</v>
      </c>
      <c r="AL128" s="22" t="s">
        <v>161</v>
      </c>
      <c r="AM128" s="22">
        <v>0.11</v>
      </c>
      <c r="AO128" s="22" t="s">
        <v>1447</v>
      </c>
      <c r="AP128" s="22" t="s">
        <v>1432</v>
      </c>
      <c r="AQ128" s="22" t="str">
        <f t="shared" si="39"/>
        <v>Microphytoplankton</v>
      </c>
      <c r="AR128" s="22">
        <v>1</v>
      </c>
      <c r="AS128" s="22">
        <v>0</v>
      </c>
      <c r="AT128" s="22">
        <v>1</v>
      </c>
      <c r="AU128" s="22">
        <v>0</v>
      </c>
      <c r="AV128" s="22">
        <v>0</v>
      </c>
      <c r="AW128" s="22">
        <v>0</v>
      </c>
      <c r="AX128" s="22">
        <v>1</v>
      </c>
      <c r="AY128" s="22">
        <v>0</v>
      </c>
      <c r="BH128" s="22">
        <f t="shared" si="16"/>
        <v>1.5968051118210862</v>
      </c>
    </row>
    <row r="129" spans="1:60" s="22" customFormat="1" ht="13">
      <c r="A129" s="21" t="s">
        <v>2167</v>
      </c>
      <c r="B129" s="22" t="s">
        <v>663</v>
      </c>
      <c r="C129" s="23" t="s">
        <v>822</v>
      </c>
      <c r="D129" s="23" t="s">
        <v>965</v>
      </c>
      <c r="E129" s="22" t="s">
        <v>62</v>
      </c>
      <c r="F129" s="22" t="s">
        <v>1424</v>
      </c>
      <c r="G129" s="23" t="s">
        <v>1553</v>
      </c>
      <c r="H129" s="23" t="s">
        <v>1554</v>
      </c>
      <c r="I129" s="22" t="s">
        <v>2165</v>
      </c>
      <c r="J129" s="22" t="s">
        <v>2168</v>
      </c>
      <c r="N129" s="22" t="s">
        <v>2169</v>
      </c>
      <c r="O129" s="22" t="s">
        <v>1430</v>
      </c>
      <c r="P129" s="21">
        <v>70130</v>
      </c>
      <c r="Q129" s="21">
        <v>8.6999999999999993</v>
      </c>
      <c r="R129" s="21">
        <v>8.6</v>
      </c>
      <c r="S129" s="21">
        <v>8.6</v>
      </c>
      <c r="T129" s="22" t="s">
        <v>330</v>
      </c>
      <c r="U129" s="21">
        <v>1</v>
      </c>
      <c r="V129" s="22">
        <v>1</v>
      </c>
      <c r="W129" s="25">
        <f t="shared" si="40"/>
        <v>447.19999999999993</v>
      </c>
      <c r="X129" s="25">
        <f t="shared" si="41"/>
        <v>643.45199999999988</v>
      </c>
      <c r="Y129" s="21">
        <v>1</v>
      </c>
      <c r="Z129" s="24">
        <f t="shared" si="37"/>
        <v>447.19999999999993</v>
      </c>
      <c r="AA129" s="24">
        <f t="shared" si="38"/>
        <v>643.45199999999988</v>
      </c>
      <c r="AB129" s="21"/>
      <c r="AC129" s="21"/>
      <c r="AD129" s="21"/>
      <c r="AE129" s="21"/>
      <c r="AF129" s="21" t="s">
        <v>247</v>
      </c>
      <c r="AG129" s="21"/>
      <c r="AH129" s="24"/>
      <c r="AI129" s="24"/>
      <c r="AJ129" s="21">
        <v>505.4</v>
      </c>
      <c r="AK129" s="21">
        <v>100</v>
      </c>
      <c r="AL129" s="22" t="s">
        <v>161</v>
      </c>
      <c r="AM129" s="22">
        <v>0.11</v>
      </c>
      <c r="AO129" s="22" t="s">
        <v>1505</v>
      </c>
      <c r="AP129" s="22" t="s">
        <v>1432</v>
      </c>
      <c r="AQ129" s="22" t="str">
        <f t="shared" si="39"/>
        <v>Microphytoplankton</v>
      </c>
      <c r="AR129" s="22">
        <v>0</v>
      </c>
      <c r="AS129" s="22">
        <v>0</v>
      </c>
      <c r="AT129" s="22">
        <v>0</v>
      </c>
      <c r="AU129" s="22">
        <v>1</v>
      </c>
      <c r="AV129" s="22">
        <v>1</v>
      </c>
      <c r="AW129" s="22">
        <v>0</v>
      </c>
      <c r="AX129" s="22">
        <v>1</v>
      </c>
      <c r="AY129" s="22">
        <v>0</v>
      </c>
      <c r="AZ129" s="22">
        <v>0</v>
      </c>
      <c r="BA129" s="22">
        <v>0</v>
      </c>
      <c r="BB129" s="22">
        <v>0</v>
      </c>
      <c r="BC129" s="22">
        <v>1</v>
      </c>
      <c r="BD129" s="22">
        <v>3</v>
      </c>
      <c r="BE129" s="22">
        <v>6</v>
      </c>
      <c r="BH129" s="22">
        <f t="shared" si="16"/>
        <v>1.4388461538461539</v>
      </c>
    </row>
    <row r="130" spans="1:60">
      <c r="BH130" s="22"/>
    </row>
    <row r="131" spans="1:60" s="22" customFormat="1" ht="13">
      <c r="A131" s="21" t="s">
        <v>3070</v>
      </c>
      <c r="B131" s="22" t="s">
        <v>663</v>
      </c>
      <c r="C131" s="22" t="s">
        <v>2223</v>
      </c>
      <c r="D131" s="22" t="s">
        <v>2224</v>
      </c>
      <c r="E131" s="23" t="s">
        <v>63</v>
      </c>
      <c r="F131" s="23" t="s">
        <v>2225</v>
      </c>
      <c r="G131" s="23" t="s">
        <v>2226</v>
      </c>
      <c r="H131" s="22" t="s">
        <v>2457</v>
      </c>
      <c r="I131" s="22" t="s">
        <v>3071</v>
      </c>
      <c r="J131" s="22" t="s">
        <v>1402</v>
      </c>
      <c r="N131" s="22" t="s">
        <v>2618</v>
      </c>
      <c r="O131" s="22" t="s">
        <v>2229</v>
      </c>
      <c r="P131" s="21">
        <v>83910</v>
      </c>
      <c r="Q131" s="21">
        <v>12</v>
      </c>
      <c r="R131" s="21">
        <v>6</v>
      </c>
      <c r="S131" s="21">
        <v>6</v>
      </c>
      <c r="T131" s="21" t="s">
        <v>281</v>
      </c>
      <c r="U131" s="21">
        <v>1</v>
      </c>
      <c r="V131" s="21">
        <v>1</v>
      </c>
      <c r="W131" s="24">
        <f t="shared" ref="W131:W132" si="42">(4*3.14*(((Q131^1.6*R131^1.6+Q131^1.6*S131^1.6+R131^1.6+S131^1.6)/3)^(1/1.6)))*(1/V131)</f>
        <v>710.08594265680301</v>
      </c>
      <c r="X131" s="24">
        <f t="shared" ref="X131" si="43">3.14/6*Q131*R131*S131*U131</f>
        <v>226.07999999999996</v>
      </c>
      <c r="Y131" s="21">
        <v>4</v>
      </c>
      <c r="Z131" s="24">
        <f t="shared" ref="Z131:Z132" si="44">Y131*W131</f>
        <v>2840.3437706272121</v>
      </c>
      <c r="AA131" s="24">
        <f t="shared" ref="AA131:AA132" si="45">Y131*X131</f>
        <v>904.31999999999982</v>
      </c>
      <c r="AB131" s="21">
        <v>20</v>
      </c>
      <c r="AC131" s="21">
        <v>20</v>
      </c>
      <c r="AD131" s="21">
        <v>6</v>
      </c>
      <c r="AE131" s="21" t="s">
        <v>246</v>
      </c>
      <c r="AF131" s="21">
        <v>0.7</v>
      </c>
      <c r="AG131" s="21">
        <v>0.7</v>
      </c>
      <c r="AH131" s="25">
        <f>4*3.14*(AC131/2)*(AB131/2)/AG131</f>
        <v>1794.2857142857144</v>
      </c>
      <c r="AI131" s="25">
        <f>(3.14/6*(AD131*AB131*AC131))*AF131</f>
        <v>879.19999999999993</v>
      </c>
      <c r="AJ131" s="21">
        <v>904.8</v>
      </c>
      <c r="AK131" s="21">
        <v>47</v>
      </c>
      <c r="AL131" s="22" t="s">
        <v>161</v>
      </c>
      <c r="AM131" s="22">
        <v>0.16</v>
      </c>
      <c r="AP131" s="22" t="s">
        <v>162</v>
      </c>
      <c r="AQ131" s="22" t="str">
        <f t="shared" ref="AQ131:AQ132" si="46">IF(AND($AK131&lt;20,AJ131&lt;10000),"Nanophytoplankton","Microphytoplankton")</f>
        <v>Microphytoplankton</v>
      </c>
      <c r="AR131" s="22">
        <v>0</v>
      </c>
      <c r="AS131" s="22">
        <v>0</v>
      </c>
      <c r="AT131" s="22">
        <v>0</v>
      </c>
      <c r="AU131" s="22">
        <v>1</v>
      </c>
      <c r="AV131" s="22">
        <v>0</v>
      </c>
      <c r="AW131" s="22">
        <v>0</v>
      </c>
      <c r="AX131" s="22">
        <v>0</v>
      </c>
      <c r="AY131" s="22">
        <v>1</v>
      </c>
      <c r="BH131" s="22">
        <f t="shared" ref="BH131:BH195" si="47">X131/W131</f>
        <v>0.31838399610350882</v>
      </c>
    </row>
    <row r="132" spans="1:60" s="22" customFormat="1" ht="13">
      <c r="A132" s="21" t="s">
        <v>2234</v>
      </c>
      <c r="B132" s="22" t="s">
        <v>663</v>
      </c>
      <c r="C132" s="22" t="s">
        <v>2223</v>
      </c>
      <c r="D132" s="22" t="s">
        <v>2224</v>
      </c>
      <c r="E132" s="23" t="s">
        <v>63</v>
      </c>
      <c r="F132" s="23" t="s">
        <v>2225</v>
      </c>
      <c r="G132" s="23" t="s">
        <v>2226</v>
      </c>
      <c r="H132" s="38" t="s">
        <v>2231</v>
      </c>
      <c r="I132" s="22" t="s">
        <v>2232</v>
      </c>
      <c r="J132" s="22" t="s">
        <v>2171</v>
      </c>
      <c r="N132" s="22" t="s">
        <v>2235</v>
      </c>
      <c r="O132" s="22" t="s">
        <v>2229</v>
      </c>
      <c r="P132" s="21">
        <v>82610</v>
      </c>
      <c r="Q132" s="21">
        <v>42</v>
      </c>
      <c r="R132" s="21">
        <v>5</v>
      </c>
      <c r="S132" s="21">
        <v>5</v>
      </c>
      <c r="T132" s="21" t="s">
        <v>281</v>
      </c>
      <c r="U132" s="22">
        <v>1</v>
      </c>
      <c r="V132" s="22">
        <v>1</v>
      </c>
      <c r="W132" s="24">
        <f t="shared" si="42"/>
        <v>2050.3936800913061</v>
      </c>
      <c r="X132" s="24">
        <f>3.14/6*Q132*R132*S132*U132</f>
        <v>549.5</v>
      </c>
      <c r="Y132" s="21">
        <v>8</v>
      </c>
      <c r="Z132" s="24">
        <f t="shared" si="44"/>
        <v>16403.149440730449</v>
      </c>
      <c r="AA132" s="24">
        <f t="shared" si="45"/>
        <v>4396</v>
      </c>
      <c r="AB132" s="21"/>
      <c r="AC132" s="21"/>
      <c r="AD132" s="21"/>
      <c r="AE132" s="21"/>
      <c r="AF132" s="21" t="s">
        <v>247</v>
      </c>
      <c r="AG132" s="21"/>
      <c r="AH132" s="24"/>
      <c r="AI132" s="24"/>
      <c r="AJ132" s="21">
        <v>4398.2</v>
      </c>
      <c r="AK132" s="21">
        <v>90</v>
      </c>
      <c r="AL132" s="22" t="s">
        <v>161</v>
      </c>
      <c r="AM132" s="22">
        <v>0.16</v>
      </c>
      <c r="AO132" s="22" t="s">
        <v>1364</v>
      </c>
      <c r="AP132" s="22" t="s">
        <v>162</v>
      </c>
      <c r="AQ132" s="22" t="str">
        <f t="shared" si="46"/>
        <v>Microphytoplankton</v>
      </c>
      <c r="AR132" s="22">
        <v>0</v>
      </c>
      <c r="AS132" s="22">
        <v>0</v>
      </c>
      <c r="AT132" s="22">
        <v>0</v>
      </c>
      <c r="AU132" s="22">
        <v>1</v>
      </c>
      <c r="AV132" s="22">
        <v>0</v>
      </c>
      <c r="AW132" s="22">
        <v>0</v>
      </c>
      <c r="AX132" s="22">
        <v>0</v>
      </c>
      <c r="AY132" s="22">
        <v>1</v>
      </c>
      <c r="BH132" s="22">
        <f t="shared" si="47"/>
        <v>0.26799731453304626</v>
      </c>
    </row>
    <row r="133" spans="1:60">
      <c r="BH133" s="22"/>
    </row>
    <row r="134" spans="1:60">
      <c r="BH134" s="22"/>
    </row>
    <row r="135" spans="1:60">
      <c r="BH135" s="22"/>
    </row>
    <row r="136" spans="1:60">
      <c r="BH136" s="22"/>
    </row>
    <row r="137" spans="1:60" s="29" customFormat="1" ht="13">
      <c r="A137" s="21" t="s">
        <v>512</v>
      </c>
      <c r="B137" s="22" t="s">
        <v>149</v>
      </c>
      <c r="C137" s="22" t="s">
        <v>150</v>
      </c>
      <c r="D137" s="23" t="s">
        <v>151</v>
      </c>
      <c r="E137" s="22" t="s">
        <v>61</v>
      </c>
      <c r="F137" s="22" t="s">
        <v>152</v>
      </c>
      <c r="G137" s="22" t="s">
        <v>60</v>
      </c>
      <c r="H137" s="22" t="s">
        <v>507</v>
      </c>
      <c r="I137" s="22" t="s">
        <v>39</v>
      </c>
      <c r="J137" s="21" t="s">
        <v>188</v>
      </c>
      <c r="K137" s="22"/>
      <c r="L137" s="22" t="s">
        <v>513</v>
      </c>
      <c r="M137" s="22"/>
      <c r="N137" s="22" t="s">
        <v>514</v>
      </c>
      <c r="O137" s="22" t="s">
        <v>158</v>
      </c>
      <c r="P137" s="21">
        <v>10265</v>
      </c>
      <c r="Q137" s="22">
        <v>4</v>
      </c>
      <c r="R137" s="22">
        <v>4</v>
      </c>
      <c r="S137" s="22">
        <v>4</v>
      </c>
      <c r="T137" s="21" t="s">
        <v>246</v>
      </c>
      <c r="U137" s="21">
        <v>1</v>
      </c>
      <c r="V137" s="22">
        <v>1</v>
      </c>
      <c r="W137" s="25">
        <f t="shared" ref="W137" si="48">4*3.14*(R137/2)*(Q137/2)/V137</f>
        <v>50.24</v>
      </c>
      <c r="X137" s="25">
        <f t="shared" ref="X137" si="49">(3.14/6*(Q137*S137*R137))*U137</f>
        <v>33.493333333333332</v>
      </c>
      <c r="Y137" s="21">
        <v>700</v>
      </c>
      <c r="Z137" s="24">
        <f t="shared" ref="Z137:Z139" si="50">Y137*W137</f>
        <v>35168</v>
      </c>
      <c r="AA137" s="24">
        <f t="shared" ref="AA137:AA139" si="51">Y137*X137</f>
        <v>23445.333333333332</v>
      </c>
      <c r="AB137" s="22">
        <v>170</v>
      </c>
      <c r="AC137" s="22">
        <v>65</v>
      </c>
      <c r="AD137" s="22">
        <v>40</v>
      </c>
      <c r="AE137" s="22" t="s">
        <v>159</v>
      </c>
      <c r="AF137" s="21">
        <v>0.1</v>
      </c>
      <c r="AG137" s="21">
        <v>1</v>
      </c>
      <c r="AH137" s="24">
        <f>(4*3.14*(((AB137^1.6*AC137^1.6+AB137^1.6*AD137^1.6+AC137^1.6+AD137^1.6)/3)^(1/1.6)))*(1/AG137)</f>
        <v>88495.394668262117</v>
      </c>
      <c r="AI137" s="24">
        <f>3.14/6*AB137*AC137*AD137*AF137</f>
        <v>23131.333333333332</v>
      </c>
      <c r="AJ137" s="21">
        <v>23140</v>
      </c>
      <c r="AK137" s="21">
        <v>170</v>
      </c>
      <c r="AL137" s="22" t="s">
        <v>161</v>
      </c>
      <c r="AM137" s="22">
        <v>0.22</v>
      </c>
      <c r="AN137" s="22" t="s">
        <v>509</v>
      </c>
      <c r="AO137" s="22" t="s">
        <v>509</v>
      </c>
      <c r="AP137" s="22" t="s">
        <v>230</v>
      </c>
      <c r="AQ137" s="22" t="str">
        <f t="shared" ref="AQ137:AQ139" si="52">IF(AND($AK137&lt;20,AJ137&lt;10000),"Nanophytoplankton","Microphytoplankton")</f>
        <v>Microphytoplankton</v>
      </c>
      <c r="AR137" s="22">
        <v>0</v>
      </c>
      <c r="AS137" s="22">
        <v>0</v>
      </c>
      <c r="AT137" s="22">
        <v>0</v>
      </c>
      <c r="AU137" s="22">
        <v>1</v>
      </c>
      <c r="AV137" s="22">
        <v>0</v>
      </c>
      <c r="AW137" s="22">
        <v>0</v>
      </c>
      <c r="AX137" s="22">
        <v>0</v>
      </c>
      <c r="AY137" s="22">
        <v>1</v>
      </c>
      <c r="AZ137" s="22"/>
      <c r="BA137" s="22"/>
      <c r="BB137" s="22"/>
      <c r="BC137" s="22"/>
      <c r="BD137" s="22"/>
      <c r="BE137" s="22"/>
      <c r="BH137" s="22">
        <f t="shared" si="47"/>
        <v>0.66666666666666663</v>
      </c>
    </row>
    <row r="138" spans="1:60" s="22" customFormat="1" ht="13">
      <c r="A138" s="21" t="s">
        <v>1752</v>
      </c>
      <c r="B138" s="22" t="s">
        <v>663</v>
      </c>
      <c r="C138" s="23" t="s">
        <v>822</v>
      </c>
      <c r="D138" s="23" t="s">
        <v>965</v>
      </c>
      <c r="E138" s="22" t="s">
        <v>62</v>
      </c>
      <c r="F138" s="23" t="s">
        <v>1434</v>
      </c>
      <c r="G138" s="23" t="s">
        <v>1473</v>
      </c>
      <c r="H138" s="23" t="s">
        <v>1736</v>
      </c>
      <c r="I138" s="22" t="s">
        <v>1737</v>
      </c>
      <c r="J138" s="22" t="s">
        <v>211</v>
      </c>
      <c r="M138" s="22" t="s">
        <v>1</v>
      </c>
      <c r="N138" s="22" t="s">
        <v>1580</v>
      </c>
      <c r="O138" s="22" t="s">
        <v>1430</v>
      </c>
      <c r="P138" s="21">
        <v>72800</v>
      </c>
      <c r="Q138" s="21">
        <v>36</v>
      </c>
      <c r="R138" s="21">
        <v>15</v>
      </c>
      <c r="S138" s="21">
        <v>10</v>
      </c>
      <c r="T138" s="22" t="s">
        <v>330</v>
      </c>
      <c r="U138" s="21">
        <v>0.8</v>
      </c>
      <c r="V138" s="21">
        <v>0.8</v>
      </c>
      <c r="W138" s="25">
        <f t="shared" ref="W138:W139" si="53">(Q138*R138*2+Q138*S138*2+R138*S138*2)/V138</f>
        <v>2625</v>
      </c>
      <c r="X138" s="25">
        <f t="shared" ref="X138:X139" si="54">Q138*R138*S138*U138</f>
        <v>4320</v>
      </c>
      <c r="Y138" s="21">
        <v>1</v>
      </c>
      <c r="Z138" s="24">
        <f t="shared" si="50"/>
        <v>2625</v>
      </c>
      <c r="AA138" s="24">
        <f t="shared" si="51"/>
        <v>4320</v>
      </c>
      <c r="AB138" s="21"/>
      <c r="AC138" s="21"/>
      <c r="AD138" s="21"/>
      <c r="AE138" s="21"/>
      <c r="AF138" s="21" t="s">
        <v>247</v>
      </c>
      <c r="AG138" s="21"/>
      <c r="AH138" s="24"/>
      <c r="AI138" s="24"/>
      <c r="AJ138" s="21">
        <v>4320</v>
      </c>
      <c r="AK138" s="21">
        <v>36</v>
      </c>
      <c r="AL138" s="22" t="s">
        <v>161</v>
      </c>
      <c r="AM138" s="22">
        <v>0.11</v>
      </c>
      <c r="AO138" s="22" t="s">
        <v>1447</v>
      </c>
      <c r="AP138" s="22" t="s">
        <v>1432</v>
      </c>
      <c r="AQ138" s="22" t="str">
        <f t="shared" si="52"/>
        <v>Microphytoplankton</v>
      </c>
      <c r="AR138" s="22">
        <v>1</v>
      </c>
      <c r="AS138" s="22">
        <v>0</v>
      </c>
      <c r="AT138" s="22">
        <v>1</v>
      </c>
      <c r="AU138" s="22">
        <v>0</v>
      </c>
      <c r="AV138" s="22">
        <v>0</v>
      </c>
      <c r="AW138" s="22">
        <v>0</v>
      </c>
      <c r="AX138" s="22">
        <v>1</v>
      </c>
      <c r="AY138" s="22">
        <v>0</v>
      </c>
      <c r="BH138" s="22">
        <f t="shared" si="47"/>
        <v>1.6457142857142857</v>
      </c>
    </row>
    <row r="139" spans="1:60" s="22" customFormat="1" ht="13">
      <c r="A139" s="21" t="s">
        <v>1807</v>
      </c>
      <c r="B139" s="22" t="s">
        <v>663</v>
      </c>
      <c r="C139" s="23" t="s">
        <v>822</v>
      </c>
      <c r="D139" s="23" t="s">
        <v>965</v>
      </c>
      <c r="E139" s="22" t="s">
        <v>62</v>
      </c>
      <c r="F139" s="23" t="s">
        <v>1499</v>
      </c>
      <c r="G139" s="23" t="s">
        <v>1500</v>
      </c>
      <c r="H139" s="23" t="s">
        <v>1501</v>
      </c>
      <c r="I139" s="22" t="s">
        <v>1805</v>
      </c>
      <c r="J139" s="21" t="s">
        <v>1808</v>
      </c>
      <c r="K139" s="21"/>
      <c r="L139" s="21"/>
      <c r="N139" s="22" t="s">
        <v>1809</v>
      </c>
      <c r="O139" s="22" t="s">
        <v>1430</v>
      </c>
      <c r="P139" s="21">
        <v>70670</v>
      </c>
      <c r="Q139" s="21">
        <v>72</v>
      </c>
      <c r="R139" s="21">
        <v>7</v>
      </c>
      <c r="S139" s="21">
        <v>7</v>
      </c>
      <c r="T139" s="22" t="s">
        <v>330</v>
      </c>
      <c r="U139" s="21">
        <v>0.8</v>
      </c>
      <c r="V139" s="21">
        <v>0.8</v>
      </c>
      <c r="W139" s="25">
        <f t="shared" si="53"/>
        <v>2642.5</v>
      </c>
      <c r="X139" s="25">
        <f t="shared" si="54"/>
        <v>2822.4</v>
      </c>
      <c r="Y139" s="21">
        <v>1</v>
      </c>
      <c r="Z139" s="24">
        <f t="shared" si="50"/>
        <v>2642.5</v>
      </c>
      <c r="AA139" s="24">
        <f t="shared" si="51"/>
        <v>2822.4</v>
      </c>
      <c r="AB139" s="21"/>
      <c r="AC139" s="21"/>
      <c r="AD139" s="21"/>
      <c r="AE139" s="21"/>
      <c r="AF139" s="21" t="s">
        <v>247</v>
      </c>
      <c r="AG139" s="21"/>
      <c r="AH139" s="24"/>
      <c r="AI139" s="24"/>
      <c r="AJ139" s="21">
        <v>2822</v>
      </c>
      <c r="AK139" s="21">
        <v>72</v>
      </c>
      <c r="AL139" s="22" t="s">
        <v>161</v>
      </c>
      <c r="AM139" s="22">
        <v>0.11</v>
      </c>
      <c r="AO139" s="22" t="s">
        <v>383</v>
      </c>
      <c r="AP139" s="22" t="s">
        <v>1432</v>
      </c>
      <c r="AQ139" s="22" t="str">
        <f t="shared" si="52"/>
        <v>Microphytoplankton</v>
      </c>
      <c r="AR139" s="22">
        <v>0</v>
      </c>
      <c r="AS139" s="22">
        <v>0</v>
      </c>
      <c r="AT139" s="22">
        <v>0</v>
      </c>
      <c r="AU139" s="22">
        <v>1</v>
      </c>
      <c r="AV139" s="22">
        <v>0</v>
      </c>
      <c r="AW139" s="22">
        <v>0</v>
      </c>
      <c r="AX139" s="22">
        <v>1</v>
      </c>
      <c r="AY139" s="22">
        <v>0</v>
      </c>
      <c r="BH139" s="22">
        <f t="shared" si="47"/>
        <v>1.0680794701986756</v>
      </c>
    </row>
    <row r="140" spans="1:60">
      <c r="BH140" s="22"/>
    </row>
    <row r="141" spans="1:60" s="22" customFormat="1" ht="13">
      <c r="A141" s="21" t="s">
        <v>1225</v>
      </c>
      <c r="B141" s="22" t="s">
        <v>663</v>
      </c>
      <c r="C141" s="23" t="s">
        <v>822</v>
      </c>
      <c r="D141" s="23" t="s">
        <v>965</v>
      </c>
      <c r="E141" s="22" t="s">
        <v>991</v>
      </c>
      <c r="F141" s="23" t="s">
        <v>1200</v>
      </c>
      <c r="G141" s="23" t="s">
        <v>1201</v>
      </c>
      <c r="H141" s="22" t="s">
        <v>1202</v>
      </c>
      <c r="I141" s="22" t="s">
        <v>1203</v>
      </c>
      <c r="J141" s="22" t="s">
        <v>211</v>
      </c>
      <c r="M141" s="22" t="s">
        <v>1</v>
      </c>
      <c r="N141" s="22" t="s">
        <v>1226</v>
      </c>
      <c r="O141" s="22" t="s">
        <v>962</v>
      </c>
      <c r="P141" s="21">
        <v>50500</v>
      </c>
      <c r="Q141" s="21">
        <v>15</v>
      </c>
      <c r="R141" s="21">
        <v>10</v>
      </c>
      <c r="S141" s="21">
        <v>10</v>
      </c>
      <c r="T141" s="22" t="s">
        <v>281</v>
      </c>
      <c r="U141" s="21">
        <v>1</v>
      </c>
      <c r="V141" s="22">
        <v>1</v>
      </c>
      <c r="W141" s="24">
        <f t="shared" ref="W141:W142" si="55">(4*3.14*(((Q141^1.6*R141^1.6+Q141^1.6*S141^1.6+R141^1.6+S141^1.6)/3)^(1/1.6)))*(1/V141)</f>
        <v>1474.2275035908667</v>
      </c>
      <c r="X141" s="24">
        <f t="shared" ref="X141:X142" si="56">3.14/6*Q141*R141*S141*U141</f>
        <v>785</v>
      </c>
      <c r="Y141" s="21">
        <v>1</v>
      </c>
      <c r="Z141" s="24">
        <f t="shared" ref="Z141:Z145" si="57">Y141*W141</f>
        <v>1474.2275035908667</v>
      </c>
      <c r="AA141" s="24">
        <f t="shared" ref="AA141:AA145" si="58">Y141*X141</f>
        <v>785</v>
      </c>
      <c r="AB141" s="21"/>
      <c r="AC141" s="21"/>
      <c r="AD141" s="21"/>
      <c r="AE141" s="21"/>
      <c r="AF141" s="21" t="s">
        <v>247</v>
      </c>
      <c r="AG141" s="21"/>
      <c r="AH141" s="24"/>
      <c r="AI141" s="24"/>
      <c r="AJ141" s="21">
        <v>785.4</v>
      </c>
      <c r="AK141" s="21">
        <v>15</v>
      </c>
      <c r="AL141" s="22" t="s">
        <v>161</v>
      </c>
      <c r="AM141" s="22">
        <v>0.11</v>
      </c>
      <c r="AN141" s="22" t="s">
        <v>1057</v>
      </c>
      <c r="AO141" s="22" t="s">
        <v>1057</v>
      </c>
      <c r="AP141" s="22" t="s">
        <v>963</v>
      </c>
      <c r="AQ141" s="22" t="str">
        <f t="shared" ref="AQ141:AQ145" si="59">IF(AND($AK141&lt;20,AJ141&lt;10000),"Nanophytoplankton","Microphytoplankton")</f>
        <v>Nanophytoplankton</v>
      </c>
      <c r="AR141" s="22">
        <v>1</v>
      </c>
      <c r="AS141" s="22">
        <v>1</v>
      </c>
      <c r="AT141" s="22">
        <v>0</v>
      </c>
      <c r="AU141" s="22">
        <v>0</v>
      </c>
      <c r="AV141" s="22">
        <v>0</v>
      </c>
      <c r="AW141" s="22">
        <v>0</v>
      </c>
      <c r="AX141" s="22">
        <v>1</v>
      </c>
      <c r="AY141" s="22">
        <v>0</v>
      </c>
      <c r="BH141" s="22">
        <f t="shared" si="47"/>
        <v>0.53248226483899341</v>
      </c>
    </row>
    <row r="142" spans="1:60" s="22" customFormat="1" ht="13">
      <c r="A142" s="21" t="s">
        <v>1199</v>
      </c>
      <c r="B142" s="22" t="s">
        <v>663</v>
      </c>
      <c r="C142" s="23" t="s">
        <v>822</v>
      </c>
      <c r="D142" s="23" t="s">
        <v>965</v>
      </c>
      <c r="E142" s="22" t="s">
        <v>991</v>
      </c>
      <c r="F142" s="23" t="s">
        <v>1200</v>
      </c>
      <c r="G142" s="23" t="s">
        <v>1201</v>
      </c>
      <c r="H142" s="22" t="s">
        <v>1202</v>
      </c>
      <c r="I142" s="22" t="s">
        <v>1203</v>
      </c>
      <c r="J142" s="22" t="s">
        <v>1204</v>
      </c>
      <c r="N142" s="22" t="s">
        <v>1205</v>
      </c>
      <c r="O142" s="22" t="s">
        <v>962</v>
      </c>
      <c r="P142" s="21">
        <v>50510</v>
      </c>
      <c r="Q142" s="21">
        <v>31</v>
      </c>
      <c r="R142" s="21">
        <v>15</v>
      </c>
      <c r="S142" s="21">
        <v>15</v>
      </c>
      <c r="T142" s="22" t="s">
        <v>281</v>
      </c>
      <c r="U142" s="21">
        <v>1</v>
      </c>
      <c r="V142" s="22">
        <v>1</v>
      </c>
      <c r="W142" s="24">
        <f t="shared" si="55"/>
        <v>4544.6329249199853</v>
      </c>
      <c r="X142" s="24">
        <f t="shared" si="56"/>
        <v>3650.25</v>
      </c>
      <c r="Y142" s="21">
        <v>1</v>
      </c>
      <c r="Z142" s="24">
        <f t="shared" si="57"/>
        <v>4544.6329249199853</v>
      </c>
      <c r="AA142" s="24">
        <f t="shared" si="58"/>
        <v>3650.25</v>
      </c>
      <c r="AB142" s="21"/>
      <c r="AC142" s="21"/>
      <c r="AD142" s="21"/>
      <c r="AE142" s="21"/>
      <c r="AF142" s="21" t="s">
        <v>247</v>
      </c>
      <c r="AG142" s="21"/>
      <c r="AH142" s="24"/>
      <c r="AI142" s="24"/>
      <c r="AJ142" s="21">
        <v>3652.1</v>
      </c>
      <c r="AK142" s="21">
        <v>31</v>
      </c>
      <c r="AL142" s="22" t="s">
        <v>161</v>
      </c>
      <c r="AM142" s="22">
        <v>0.11</v>
      </c>
      <c r="AN142" s="22" t="s">
        <v>1057</v>
      </c>
      <c r="AO142" s="22" t="s">
        <v>1057</v>
      </c>
      <c r="AP142" s="22" t="s">
        <v>963</v>
      </c>
      <c r="AQ142" s="22" t="str">
        <f t="shared" si="59"/>
        <v>Microphytoplankton</v>
      </c>
      <c r="AR142" s="22">
        <v>1</v>
      </c>
      <c r="AS142" s="22">
        <v>1</v>
      </c>
      <c r="AT142" s="22">
        <v>0</v>
      </c>
      <c r="AU142" s="22">
        <v>0</v>
      </c>
      <c r="AV142" s="22">
        <v>0</v>
      </c>
      <c r="AW142" s="22">
        <v>0</v>
      </c>
      <c r="AX142" s="22">
        <v>1</v>
      </c>
      <c r="AY142" s="22">
        <v>0</v>
      </c>
      <c r="AZ142" s="22">
        <v>0</v>
      </c>
      <c r="BA142" s="22">
        <v>0</v>
      </c>
      <c r="BB142" s="22">
        <v>1</v>
      </c>
      <c r="BC142" s="22">
        <v>3</v>
      </c>
      <c r="BD142" s="22">
        <v>4</v>
      </c>
      <c r="BE142" s="22">
        <v>2</v>
      </c>
      <c r="BH142" s="22">
        <f t="shared" si="47"/>
        <v>0.80320018366813817</v>
      </c>
    </row>
    <row r="143" spans="1:60" s="22" customFormat="1" ht="13">
      <c r="A143" s="21" t="s">
        <v>2584</v>
      </c>
      <c r="B143" s="22" t="s">
        <v>663</v>
      </c>
      <c r="C143" s="22" t="s">
        <v>2223</v>
      </c>
      <c r="D143" s="22" t="s">
        <v>2224</v>
      </c>
      <c r="E143" s="23" t="s">
        <v>63</v>
      </c>
      <c r="F143" s="23" t="s">
        <v>2225</v>
      </c>
      <c r="G143" s="23" t="s">
        <v>2284</v>
      </c>
      <c r="H143" s="23" t="s">
        <v>2585</v>
      </c>
      <c r="I143" s="22" t="s">
        <v>2586</v>
      </c>
      <c r="J143" s="22" t="s">
        <v>2587</v>
      </c>
      <c r="N143" s="22" t="s">
        <v>2588</v>
      </c>
      <c r="O143" s="22" t="s">
        <v>2229</v>
      </c>
      <c r="P143" s="21">
        <v>80500</v>
      </c>
      <c r="Q143" s="21">
        <v>8</v>
      </c>
      <c r="R143" s="21">
        <v>8</v>
      </c>
      <c r="S143" s="21">
        <v>8</v>
      </c>
      <c r="T143" s="21" t="s">
        <v>246</v>
      </c>
      <c r="U143" s="21">
        <v>1</v>
      </c>
      <c r="V143" s="21">
        <v>1</v>
      </c>
      <c r="W143" s="25">
        <f t="shared" ref="W143:W144" si="60">4*3.14*(R143/2)*(Q143/2)/V143</f>
        <v>200.96</v>
      </c>
      <c r="X143" s="25">
        <f t="shared" ref="X143:X144" si="61">(3.14/6*(Q143*S143*R143))*U143</f>
        <v>267.94666666666666</v>
      </c>
      <c r="Y143" s="21">
        <v>16</v>
      </c>
      <c r="Z143" s="24">
        <f t="shared" si="57"/>
        <v>3215.36</v>
      </c>
      <c r="AA143" s="24">
        <f t="shared" si="58"/>
        <v>4287.1466666666665</v>
      </c>
      <c r="AB143" s="21">
        <v>55</v>
      </c>
      <c r="AC143" s="21">
        <v>55</v>
      </c>
      <c r="AD143" s="21">
        <v>8</v>
      </c>
      <c r="AE143" s="21" t="s">
        <v>330</v>
      </c>
      <c r="AF143" s="21">
        <v>0.8</v>
      </c>
      <c r="AG143" s="21">
        <v>1</v>
      </c>
      <c r="AH143" s="25">
        <f>(AB143*AC143*2+AB143*AD143*2+AC143*AD143*2)/AG143</f>
        <v>7810</v>
      </c>
      <c r="AI143" s="25">
        <f>AB143*AC143*AD143*AF143</f>
        <v>19360</v>
      </c>
      <c r="AJ143" s="21">
        <v>4289.3</v>
      </c>
      <c r="AK143" s="21">
        <v>80</v>
      </c>
      <c r="AL143" s="22" t="s">
        <v>161</v>
      </c>
      <c r="AM143" s="22">
        <v>0.16</v>
      </c>
      <c r="AN143" s="22" t="s">
        <v>876</v>
      </c>
      <c r="AO143" s="22" t="s">
        <v>876</v>
      </c>
      <c r="AP143" s="22" t="s">
        <v>673</v>
      </c>
      <c r="AQ143" s="22" t="str">
        <f t="shared" si="59"/>
        <v>Microphytoplankton</v>
      </c>
      <c r="AR143" s="22">
        <v>1</v>
      </c>
      <c r="AS143" s="22">
        <v>1</v>
      </c>
      <c r="AT143" s="22">
        <v>0</v>
      </c>
      <c r="AU143" s="22">
        <v>1</v>
      </c>
      <c r="AV143" s="22">
        <v>0</v>
      </c>
      <c r="AW143" s="22">
        <v>0</v>
      </c>
      <c r="AX143" s="22">
        <v>0</v>
      </c>
      <c r="AY143" s="22">
        <v>1</v>
      </c>
      <c r="BH143" s="22">
        <f t="shared" si="47"/>
        <v>1.3333333333333333</v>
      </c>
    </row>
    <row r="144" spans="1:60" s="22" customFormat="1" ht="13">
      <c r="A144" s="21" t="s">
        <v>2566</v>
      </c>
      <c r="B144" s="22" t="s">
        <v>663</v>
      </c>
      <c r="C144" s="22" t="s">
        <v>2223</v>
      </c>
      <c r="D144" s="22" t="s">
        <v>2224</v>
      </c>
      <c r="E144" s="23" t="s">
        <v>63</v>
      </c>
      <c r="F144" s="23" t="s">
        <v>2225</v>
      </c>
      <c r="G144" s="23" t="s">
        <v>2226</v>
      </c>
      <c r="H144" s="22" t="s">
        <v>2227</v>
      </c>
      <c r="I144" s="22" t="s">
        <v>2567</v>
      </c>
      <c r="J144" s="22" t="s">
        <v>2568</v>
      </c>
      <c r="N144" s="22" t="s">
        <v>409</v>
      </c>
      <c r="O144" s="22" t="s">
        <v>2229</v>
      </c>
      <c r="P144" s="22">
        <v>89810</v>
      </c>
      <c r="Q144" s="21">
        <v>15</v>
      </c>
      <c r="R144" s="21">
        <v>15</v>
      </c>
      <c r="S144" s="21">
        <v>15</v>
      </c>
      <c r="T144" s="21" t="s">
        <v>246</v>
      </c>
      <c r="U144" s="21">
        <v>1</v>
      </c>
      <c r="V144" s="21">
        <v>1</v>
      </c>
      <c r="W144" s="25">
        <f t="shared" si="60"/>
        <v>706.5</v>
      </c>
      <c r="X144" s="25">
        <f t="shared" si="61"/>
        <v>1766.25</v>
      </c>
      <c r="Y144" s="21">
        <v>1</v>
      </c>
      <c r="Z144" s="24">
        <f t="shared" si="57"/>
        <v>706.5</v>
      </c>
      <c r="AA144" s="24">
        <f t="shared" si="58"/>
        <v>1766.25</v>
      </c>
      <c r="AB144" s="21"/>
      <c r="AC144" s="21"/>
      <c r="AD144" s="21"/>
      <c r="AE144" s="21"/>
      <c r="AF144" s="21"/>
      <c r="AG144" s="21"/>
      <c r="AH144" s="24"/>
      <c r="AI144" s="24"/>
      <c r="AJ144" s="21">
        <v>2458.1999999999998</v>
      </c>
      <c r="AK144" s="21">
        <v>15</v>
      </c>
      <c r="AL144" s="22" t="s">
        <v>161</v>
      </c>
      <c r="AM144" s="22">
        <v>0.16</v>
      </c>
      <c r="AN144" s="22" t="s">
        <v>1364</v>
      </c>
      <c r="AO144" s="22" t="s">
        <v>1364</v>
      </c>
      <c r="AQ144" s="22" t="str">
        <f t="shared" si="59"/>
        <v>Nanophytoplankton</v>
      </c>
      <c r="AR144" s="22">
        <v>0</v>
      </c>
      <c r="AS144" s="22">
        <v>0</v>
      </c>
      <c r="AT144" s="22">
        <v>0</v>
      </c>
      <c r="AU144" s="22">
        <v>0</v>
      </c>
      <c r="AV144" s="22">
        <v>0</v>
      </c>
      <c r="AW144" s="22">
        <v>0</v>
      </c>
      <c r="AX144" s="22">
        <v>0</v>
      </c>
      <c r="AY144" s="22">
        <v>1</v>
      </c>
      <c r="BH144" s="22">
        <f t="shared" si="47"/>
        <v>2.5</v>
      </c>
    </row>
    <row r="145" spans="1:60" s="22" customFormat="1" ht="13">
      <c r="A145" s="21" t="s">
        <v>2627</v>
      </c>
      <c r="B145" s="22" t="s">
        <v>663</v>
      </c>
      <c r="C145" s="22" t="s">
        <v>2223</v>
      </c>
      <c r="D145" s="22" t="s">
        <v>2224</v>
      </c>
      <c r="E145" s="23" t="s">
        <v>63</v>
      </c>
      <c r="F145" s="23" t="s">
        <v>2225</v>
      </c>
      <c r="G145" s="23" t="s">
        <v>2226</v>
      </c>
      <c r="H145" s="22" t="s">
        <v>2253</v>
      </c>
      <c r="I145" s="22" t="s">
        <v>2606</v>
      </c>
      <c r="J145" s="21" t="s">
        <v>2628</v>
      </c>
      <c r="K145" s="21"/>
      <c r="L145" s="21"/>
      <c r="N145" s="22" t="s">
        <v>2629</v>
      </c>
      <c r="O145" s="22" t="s">
        <v>2229</v>
      </c>
      <c r="P145" s="21">
        <v>81410</v>
      </c>
      <c r="Q145" s="21">
        <v>27</v>
      </c>
      <c r="R145" s="21">
        <v>9</v>
      </c>
      <c r="S145" s="21">
        <v>9</v>
      </c>
      <c r="T145" s="21" t="s">
        <v>159</v>
      </c>
      <c r="U145" s="22">
        <v>1</v>
      </c>
      <c r="V145" s="22">
        <v>1</v>
      </c>
      <c r="W145" s="24">
        <f t="shared" ref="W145" si="62">(4*3.14*(((Q145^1.6*R145^1.6+Q145^1.6*S145^1.6+R145^1.6+S145^1.6)/3)^(1/1.6)))*(1/V145)</f>
        <v>2376.4398075862186</v>
      </c>
      <c r="X145" s="24">
        <f t="shared" ref="X145" si="63">3.14/6*Q145*R145*S145*U145</f>
        <v>1144.53</v>
      </c>
      <c r="Y145" s="21">
        <v>8</v>
      </c>
      <c r="Z145" s="24">
        <f t="shared" si="57"/>
        <v>19011.518460689749</v>
      </c>
      <c r="AA145" s="24">
        <f t="shared" si="58"/>
        <v>9156.24</v>
      </c>
      <c r="AB145" s="21">
        <v>80</v>
      </c>
      <c r="AC145" s="21">
        <v>80</v>
      </c>
      <c r="AD145" s="21">
        <v>80</v>
      </c>
      <c r="AE145" s="21" t="s">
        <v>159</v>
      </c>
      <c r="AF145" s="21">
        <v>0.5</v>
      </c>
      <c r="AG145" s="21">
        <v>1</v>
      </c>
      <c r="AH145" s="24">
        <f>(4*3.14*(((AB145^1.6*AC145^1.6+AB145^1.6*AD145^1.6+AC145^1.6+AD145^1.6)/3)^(1/1.6)))*(1/AG145)</f>
        <v>62424.807943573913</v>
      </c>
      <c r="AI145" s="24">
        <f>3.14/6*AB145*AC145*AD145*AF145</f>
        <v>133973.33333333334</v>
      </c>
      <c r="AJ145" s="21">
        <v>9160.9</v>
      </c>
      <c r="AK145" s="21">
        <v>100</v>
      </c>
      <c r="AL145" s="22" t="s">
        <v>161</v>
      </c>
      <c r="AM145" s="22">
        <v>0.16</v>
      </c>
      <c r="AN145" s="38"/>
      <c r="AO145" s="22" t="s">
        <v>2282</v>
      </c>
      <c r="AP145" s="22" t="s">
        <v>230</v>
      </c>
      <c r="AQ145" s="22" t="str">
        <f t="shared" si="59"/>
        <v>Microphytoplankton</v>
      </c>
      <c r="AR145" s="22">
        <v>0</v>
      </c>
      <c r="AS145" s="22">
        <v>0</v>
      </c>
      <c r="AT145" s="22">
        <v>0</v>
      </c>
      <c r="AU145" s="22">
        <v>1</v>
      </c>
      <c r="AV145" s="22">
        <v>0</v>
      </c>
      <c r="AW145" s="22">
        <v>0</v>
      </c>
      <c r="AX145" s="22">
        <v>0</v>
      </c>
      <c r="AY145" s="22">
        <v>1</v>
      </c>
      <c r="AZ145" s="22">
        <v>0</v>
      </c>
      <c r="BA145" s="22">
        <v>0</v>
      </c>
      <c r="BB145" s="22">
        <v>0</v>
      </c>
      <c r="BC145" s="22">
        <v>2</v>
      </c>
      <c r="BD145" s="22">
        <v>6</v>
      </c>
      <c r="BE145" s="22">
        <v>2</v>
      </c>
      <c r="BH145" s="22">
        <f t="shared" si="47"/>
        <v>0.4816153964204607</v>
      </c>
    </row>
    <row r="146" spans="1:60">
      <c r="BH146" s="22"/>
    </row>
    <row r="147" spans="1:60">
      <c r="BH147" s="22"/>
    </row>
    <row r="148" spans="1:60" s="22" customFormat="1" ht="28">
      <c r="A148" s="21" t="s">
        <v>572</v>
      </c>
      <c r="B148" s="22" t="s">
        <v>149</v>
      </c>
      <c r="C148" s="22" t="s">
        <v>150</v>
      </c>
      <c r="D148" s="23" t="s">
        <v>151</v>
      </c>
      <c r="E148" s="22" t="s">
        <v>61</v>
      </c>
      <c r="F148" s="22" t="s">
        <v>152</v>
      </c>
      <c r="G148" s="20" t="s">
        <v>153</v>
      </c>
      <c r="H148" s="22" t="s">
        <v>154</v>
      </c>
      <c r="I148" s="22" t="s">
        <v>563</v>
      </c>
      <c r="J148" s="22" t="s">
        <v>573</v>
      </c>
      <c r="N148" s="22" t="s">
        <v>574</v>
      </c>
      <c r="O148" s="22" t="s">
        <v>158</v>
      </c>
      <c r="P148" s="21">
        <v>11035</v>
      </c>
      <c r="Q148" s="21">
        <v>4</v>
      </c>
      <c r="R148" s="21">
        <v>1.6</v>
      </c>
      <c r="S148" s="21">
        <v>1.6</v>
      </c>
      <c r="T148" s="21" t="s">
        <v>160</v>
      </c>
      <c r="U148" s="21">
        <v>1</v>
      </c>
      <c r="V148" s="22">
        <v>1</v>
      </c>
      <c r="W148" s="24">
        <f t="shared" ref="W148:W149" si="64">3.14*R148*Q148+2*3.14*(S148/2)^2/V148</f>
        <v>24.115200000000005</v>
      </c>
      <c r="X148" s="25">
        <f t="shared" ref="X148:X149" si="65">(3.14/4*R148^2*Q148)*U148</f>
        <v>8.0384000000000011</v>
      </c>
      <c r="Y148" s="21">
        <v>25</v>
      </c>
      <c r="Z148" s="24">
        <f t="shared" ref="Z148:Z153" si="66">Y148*W148</f>
        <v>602.88000000000011</v>
      </c>
      <c r="AA148" s="24">
        <f t="shared" ref="AA148:AA153" si="67">Y148*X148</f>
        <v>200.96000000000004</v>
      </c>
      <c r="AB148" s="21">
        <v>100</v>
      </c>
      <c r="AC148" s="21">
        <v>1.6</v>
      </c>
      <c r="AD148" s="21">
        <v>1.6</v>
      </c>
      <c r="AE148" s="21" t="s">
        <v>160</v>
      </c>
      <c r="AF148" s="21">
        <v>1</v>
      </c>
      <c r="AG148" s="22">
        <v>1</v>
      </c>
      <c r="AH148" s="24">
        <f t="shared" ref="AH148:AH150" si="68">3.14*AC148*AB148+2*3.14*(AD148/2)^2/AG148</f>
        <v>506.4192000000001</v>
      </c>
      <c r="AI148" s="25">
        <f t="shared" ref="AI148:AI150" si="69">(3.14/4*AC148^2*AB148)*AF148</f>
        <v>200.96000000000004</v>
      </c>
      <c r="AJ148" s="21">
        <v>201</v>
      </c>
      <c r="AK148" s="21">
        <v>100</v>
      </c>
      <c r="AL148" s="22" t="s">
        <v>161</v>
      </c>
      <c r="AM148" s="22">
        <v>0.22</v>
      </c>
      <c r="AN148" s="22" t="s">
        <v>388</v>
      </c>
      <c r="AO148" s="22" t="s">
        <v>383</v>
      </c>
      <c r="AP148" s="22" t="s">
        <v>162</v>
      </c>
      <c r="AQ148" s="22" t="str">
        <f t="shared" ref="AQ148:AQ153" si="70">IF(AND($AK148&lt;20,AJ148&lt;10000),"Nanophytoplankton","Microphytoplankton")</f>
        <v>Microphytoplankton</v>
      </c>
      <c r="AR148" s="22">
        <v>0</v>
      </c>
      <c r="AS148" s="22">
        <v>0</v>
      </c>
      <c r="AT148" s="22">
        <v>0</v>
      </c>
      <c r="AU148" s="22">
        <v>1</v>
      </c>
      <c r="AV148" s="22">
        <v>1</v>
      </c>
      <c r="AW148" s="22">
        <v>0</v>
      </c>
      <c r="AX148" s="22">
        <v>0</v>
      </c>
      <c r="AY148" s="22">
        <v>1</v>
      </c>
      <c r="BH148" s="22">
        <f t="shared" si="47"/>
        <v>0.33333333333333331</v>
      </c>
    </row>
    <row r="149" spans="1:60" s="22" customFormat="1" ht="28">
      <c r="A149" s="21" t="s">
        <v>575</v>
      </c>
      <c r="B149" s="22" t="s">
        <v>149</v>
      </c>
      <c r="C149" s="22" t="s">
        <v>150</v>
      </c>
      <c r="D149" s="23" t="s">
        <v>151</v>
      </c>
      <c r="E149" s="22" t="s">
        <v>61</v>
      </c>
      <c r="F149" s="22" t="s">
        <v>152</v>
      </c>
      <c r="G149" s="20" t="s">
        <v>153</v>
      </c>
      <c r="H149" s="22" t="s">
        <v>154</v>
      </c>
      <c r="I149" s="22" t="s">
        <v>563</v>
      </c>
      <c r="J149" s="22" t="s">
        <v>573</v>
      </c>
      <c r="L149" s="22" t="s">
        <v>576</v>
      </c>
      <c r="N149" s="22" t="s">
        <v>577</v>
      </c>
      <c r="O149" s="22" t="s">
        <v>158</v>
      </c>
      <c r="P149" s="21">
        <v>11036</v>
      </c>
      <c r="Q149" s="21">
        <v>4</v>
      </c>
      <c r="R149" s="21">
        <v>1.6</v>
      </c>
      <c r="S149" s="21">
        <v>1.6</v>
      </c>
      <c r="T149" s="21" t="s">
        <v>160</v>
      </c>
      <c r="U149" s="21">
        <v>1</v>
      </c>
      <c r="V149" s="22">
        <v>1</v>
      </c>
      <c r="W149" s="24">
        <f t="shared" si="64"/>
        <v>24.115200000000005</v>
      </c>
      <c r="X149" s="25">
        <f t="shared" si="65"/>
        <v>8.0384000000000011</v>
      </c>
      <c r="Y149" s="21">
        <v>5</v>
      </c>
      <c r="Z149" s="24">
        <f t="shared" si="66"/>
        <v>120.57600000000002</v>
      </c>
      <c r="AA149" s="24">
        <f t="shared" si="67"/>
        <v>40.192000000000007</v>
      </c>
      <c r="AB149" s="21">
        <v>20</v>
      </c>
      <c r="AC149" s="21">
        <v>1.6</v>
      </c>
      <c r="AD149" s="21">
        <v>1.6</v>
      </c>
      <c r="AE149" s="21" t="s">
        <v>160</v>
      </c>
      <c r="AF149" s="21">
        <v>1</v>
      </c>
      <c r="AG149" s="22">
        <v>1</v>
      </c>
      <c r="AH149" s="24">
        <f t="shared" si="68"/>
        <v>104.49920000000002</v>
      </c>
      <c r="AI149" s="25">
        <f t="shared" si="69"/>
        <v>40.192000000000007</v>
      </c>
      <c r="AJ149" s="21">
        <v>40.192000000000007</v>
      </c>
      <c r="AK149" s="21">
        <v>20</v>
      </c>
      <c r="AL149" s="22" t="s">
        <v>161</v>
      </c>
      <c r="AM149" s="22">
        <v>0.22</v>
      </c>
      <c r="AO149" s="22" t="s">
        <v>388</v>
      </c>
      <c r="AP149" s="22" t="s">
        <v>162</v>
      </c>
      <c r="AQ149" s="22" t="str">
        <f t="shared" si="70"/>
        <v>Microphytoplankton</v>
      </c>
      <c r="AR149" s="22">
        <v>0</v>
      </c>
      <c r="AS149" s="22">
        <v>0</v>
      </c>
      <c r="AT149" s="22">
        <v>0</v>
      </c>
      <c r="AU149" s="22">
        <v>1</v>
      </c>
      <c r="AV149" s="22">
        <v>1</v>
      </c>
      <c r="AW149" s="22">
        <v>0</v>
      </c>
      <c r="AX149" s="22">
        <v>0</v>
      </c>
      <c r="AY149" s="22">
        <v>1</v>
      </c>
      <c r="BH149" s="22">
        <f t="shared" si="47"/>
        <v>0.33333333333333331</v>
      </c>
    </row>
    <row r="150" spans="1:60" s="22" customFormat="1" ht="14">
      <c r="A150" s="21" t="s">
        <v>210</v>
      </c>
      <c r="B150" s="22" t="s">
        <v>149</v>
      </c>
      <c r="C150" s="22" t="s">
        <v>150</v>
      </c>
      <c r="D150" s="23" t="s">
        <v>151</v>
      </c>
      <c r="E150" s="22" t="s">
        <v>61</v>
      </c>
      <c r="F150" s="22" t="s">
        <v>152</v>
      </c>
      <c r="G150" s="20" t="s">
        <v>164</v>
      </c>
      <c r="H150" s="26" t="s">
        <v>165</v>
      </c>
      <c r="I150" s="22" t="s">
        <v>32</v>
      </c>
      <c r="J150" s="21" t="s">
        <v>211</v>
      </c>
      <c r="K150" s="21"/>
      <c r="L150" s="21"/>
      <c r="M150" s="22" t="s">
        <v>1</v>
      </c>
      <c r="N150" s="22" t="s">
        <v>212</v>
      </c>
      <c r="O150" s="22" t="s">
        <v>158</v>
      </c>
      <c r="P150" s="21">
        <v>10700</v>
      </c>
      <c r="Q150" s="21">
        <v>4</v>
      </c>
      <c r="R150" s="21">
        <v>4</v>
      </c>
      <c r="S150" s="21">
        <v>4</v>
      </c>
      <c r="T150" s="21" t="s">
        <v>159</v>
      </c>
      <c r="U150" s="21">
        <v>1</v>
      </c>
      <c r="V150" s="21">
        <v>1</v>
      </c>
      <c r="W150" s="24">
        <f t="shared" ref="W150" si="71">(4*3.14*(((Q150^1.6*R150^1.6+Q150^1.6*S150^1.6+R150^1.6+S150^1.6)/3)^(1/1.6)))*(1/V150)</f>
        <v>166.37591354482302</v>
      </c>
      <c r="X150" s="24">
        <f t="shared" ref="X150" si="72">3.14/6*Q150*R150*S150*U150</f>
        <v>33.493333333333332</v>
      </c>
      <c r="Y150" s="21">
        <f>AB150/Q150</f>
        <v>25</v>
      </c>
      <c r="Z150" s="24">
        <f t="shared" si="66"/>
        <v>4159.3978386205754</v>
      </c>
      <c r="AA150" s="24">
        <f t="shared" si="67"/>
        <v>837.33333333333326</v>
      </c>
      <c r="AB150" s="21">
        <v>100</v>
      </c>
      <c r="AC150" s="21">
        <v>4</v>
      </c>
      <c r="AD150" s="21">
        <v>4</v>
      </c>
      <c r="AE150" s="21" t="s">
        <v>160</v>
      </c>
      <c r="AF150" s="21">
        <v>1</v>
      </c>
      <c r="AG150" s="21">
        <v>1</v>
      </c>
      <c r="AH150" s="24">
        <f t="shared" si="68"/>
        <v>1281.1199999999999</v>
      </c>
      <c r="AI150" s="25">
        <f t="shared" si="69"/>
        <v>1256</v>
      </c>
      <c r="AJ150" s="21">
        <v>1005.3</v>
      </c>
      <c r="AK150" s="21">
        <v>100</v>
      </c>
      <c r="AL150" s="22" t="s">
        <v>161</v>
      </c>
      <c r="AM150" s="22">
        <v>0.22</v>
      </c>
      <c r="AO150" s="22" t="s">
        <v>168</v>
      </c>
      <c r="AP150" s="22" t="s">
        <v>169</v>
      </c>
      <c r="AQ150" s="22" t="str">
        <f t="shared" si="70"/>
        <v>Microphytoplankton</v>
      </c>
      <c r="AR150" s="22">
        <v>0</v>
      </c>
      <c r="AS150" s="22">
        <v>0</v>
      </c>
      <c r="AT150" s="22">
        <v>0</v>
      </c>
      <c r="AU150" s="22">
        <v>1</v>
      </c>
      <c r="AV150" s="22">
        <v>1</v>
      </c>
      <c r="AW150" s="22">
        <v>0</v>
      </c>
      <c r="AX150" s="22">
        <v>0</v>
      </c>
      <c r="AY150" s="22">
        <v>1</v>
      </c>
      <c r="BH150" s="22">
        <f t="shared" si="47"/>
        <v>0.20131119114372259</v>
      </c>
    </row>
    <row r="151" spans="1:60" s="22" customFormat="1" ht="13">
      <c r="A151" s="21" t="s">
        <v>2064</v>
      </c>
      <c r="B151" s="22" t="s">
        <v>663</v>
      </c>
      <c r="C151" s="23" t="s">
        <v>822</v>
      </c>
      <c r="D151" s="23" t="s">
        <v>965</v>
      </c>
      <c r="E151" s="22" t="s">
        <v>62</v>
      </c>
      <c r="F151" s="23" t="s">
        <v>1434</v>
      </c>
      <c r="G151" s="23" t="s">
        <v>1719</v>
      </c>
      <c r="H151" s="23" t="s">
        <v>1720</v>
      </c>
      <c r="I151" s="22" t="s">
        <v>43</v>
      </c>
      <c r="J151" s="21" t="s">
        <v>2065</v>
      </c>
      <c r="K151" s="21"/>
      <c r="L151" s="21"/>
      <c r="N151" s="22" t="s">
        <v>1991</v>
      </c>
      <c r="O151" s="22" t="s">
        <v>1430</v>
      </c>
      <c r="P151" s="21">
        <v>71940</v>
      </c>
      <c r="Q151" s="21">
        <v>37</v>
      </c>
      <c r="R151" s="21">
        <v>3.5</v>
      </c>
      <c r="S151" s="21">
        <v>2.5</v>
      </c>
      <c r="T151" s="22" t="s">
        <v>330</v>
      </c>
      <c r="U151" s="21">
        <v>0.75</v>
      </c>
      <c r="V151" s="21">
        <v>0.75</v>
      </c>
      <c r="W151" s="25">
        <f t="shared" ref="W151" si="73">(Q151*R151*2+Q151*S151*2+R151*S151*2)/V151</f>
        <v>615.33333333333337</v>
      </c>
      <c r="X151" s="25">
        <f t="shared" ref="X151" si="74">Q151*R151*S151*U151</f>
        <v>242.8125</v>
      </c>
      <c r="Y151" s="21">
        <v>1</v>
      </c>
      <c r="Z151" s="24">
        <f t="shared" si="66"/>
        <v>615.33333333333337</v>
      </c>
      <c r="AA151" s="24">
        <f t="shared" si="67"/>
        <v>242.8125</v>
      </c>
      <c r="AB151" s="21"/>
      <c r="AC151" s="21"/>
      <c r="AD151" s="21"/>
      <c r="AE151" s="21"/>
      <c r="AF151" s="21" t="s">
        <v>247</v>
      </c>
      <c r="AG151" s="21"/>
      <c r="AH151" s="24"/>
      <c r="AI151" s="24"/>
      <c r="AJ151" s="21">
        <v>242.8</v>
      </c>
      <c r="AK151" s="21">
        <v>37</v>
      </c>
      <c r="AL151" s="22" t="s">
        <v>161</v>
      </c>
      <c r="AM151" s="22">
        <v>0.11</v>
      </c>
      <c r="AN151" s="22" t="s">
        <v>1762</v>
      </c>
      <c r="AO151" s="22" t="s">
        <v>1447</v>
      </c>
      <c r="AP151" s="22" t="s">
        <v>1432</v>
      </c>
      <c r="AQ151" s="22" t="str">
        <f t="shared" si="70"/>
        <v>Microphytoplankton</v>
      </c>
      <c r="AR151" s="22">
        <v>1</v>
      </c>
      <c r="AS151" s="22">
        <v>0</v>
      </c>
      <c r="AT151" s="22">
        <v>1</v>
      </c>
      <c r="AU151" s="22">
        <v>0</v>
      </c>
      <c r="AV151" s="22">
        <v>0</v>
      </c>
      <c r="AW151" s="22">
        <v>0</v>
      </c>
      <c r="AX151" s="22">
        <v>1</v>
      </c>
      <c r="AY151" s="22">
        <v>0</v>
      </c>
      <c r="BH151" s="22">
        <f t="shared" si="47"/>
        <v>0.39460319609967492</v>
      </c>
    </row>
    <row r="152" spans="1:60" s="22" customFormat="1" ht="13">
      <c r="A152" s="21" t="s">
        <v>1240</v>
      </c>
      <c r="B152" s="22" t="s">
        <v>663</v>
      </c>
      <c r="C152" s="23" t="s">
        <v>822</v>
      </c>
      <c r="D152" s="23" t="s">
        <v>965</v>
      </c>
      <c r="E152" s="22" t="s">
        <v>991</v>
      </c>
      <c r="F152" s="23" t="s">
        <v>992</v>
      </c>
      <c r="G152" s="23" t="s">
        <v>1005</v>
      </c>
      <c r="H152" s="23" t="s">
        <v>1011</v>
      </c>
      <c r="I152" s="22" t="s">
        <v>1235</v>
      </c>
      <c r="J152" s="22" t="s">
        <v>211</v>
      </c>
      <c r="M152" s="22" t="s">
        <v>1</v>
      </c>
      <c r="N152" s="22" t="s">
        <v>1241</v>
      </c>
      <c r="O152" s="22" t="s">
        <v>962</v>
      </c>
      <c r="P152" s="22">
        <v>52000</v>
      </c>
      <c r="Q152" s="21">
        <v>5</v>
      </c>
      <c r="R152" s="21">
        <v>5</v>
      </c>
      <c r="S152" s="21">
        <v>5</v>
      </c>
      <c r="T152" s="22" t="s">
        <v>281</v>
      </c>
      <c r="U152" s="21">
        <v>1</v>
      </c>
      <c r="V152" s="22">
        <v>1</v>
      </c>
      <c r="W152" s="24">
        <f t="shared" ref="W152:W153" si="75">(4*3.14*(((Q152^1.6*R152^1.6+Q152^1.6*S152^1.6+R152^1.6+S152^1.6)/3)^(1/1.6)))*(1/V152)</f>
        <v>255.14798814971115</v>
      </c>
      <c r="X152" s="24">
        <f t="shared" ref="X152:X153" si="76">3.14/6*Q152*R152*S152*U152</f>
        <v>65.416666666666671</v>
      </c>
      <c r="Y152" s="21">
        <v>1</v>
      </c>
      <c r="Z152" s="24">
        <f t="shared" si="66"/>
        <v>255.14798814971115</v>
      </c>
      <c r="AA152" s="24">
        <f t="shared" si="67"/>
        <v>65.416666666666671</v>
      </c>
      <c r="AB152" s="21"/>
      <c r="AC152" s="21"/>
      <c r="AD152" s="21"/>
      <c r="AE152" s="21"/>
      <c r="AF152" s="21" t="s">
        <v>247</v>
      </c>
      <c r="AG152" s="21"/>
      <c r="AH152" s="24"/>
      <c r="AI152" s="24"/>
      <c r="AJ152" s="21">
        <v>65.400000000000006</v>
      </c>
      <c r="AK152" s="21">
        <v>5</v>
      </c>
      <c r="AL152" s="22" t="s">
        <v>161</v>
      </c>
      <c r="AM152" s="22">
        <v>0.11</v>
      </c>
      <c r="AO152" s="22" t="s">
        <v>1015</v>
      </c>
      <c r="AP152" s="22" t="s">
        <v>963</v>
      </c>
      <c r="AQ152" s="22" t="str">
        <f t="shared" si="70"/>
        <v>Nanophytoplankton</v>
      </c>
      <c r="AR152" s="22">
        <v>1</v>
      </c>
      <c r="AS152" s="22">
        <v>1</v>
      </c>
      <c r="AT152" s="22">
        <v>0</v>
      </c>
      <c r="AU152" s="22">
        <v>0</v>
      </c>
      <c r="AV152" s="22">
        <v>0</v>
      </c>
      <c r="AW152" s="22">
        <v>0</v>
      </c>
      <c r="AX152" s="22">
        <v>1</v>
      </c>
      <c r="AY152" s="22">
        <v>0</v>
      </c>
      <c r="BH152" s="22">
        <f t="shared" si="47"/>
        <v>0.25638715453355898</v>
      </c>
    </row>
    <row r="153" spans="1:60" s="22" customFormat="1" ht="13">
      <c r="A153" s="21" t="s">
        <v>1242</v>
      </c>
      <c r="B153" s="22" t="s">
        <v>663</v>
      </c>
      <c r="C153" s="23" t="s">
        <v>822</v>
      </c>
      <c r="D153" s="23" t="s">
        <v>965</v>
      </c>
      <c r="E153" s="22" t="s">
        <v>991</v>
      </c>
      <c r="F153" s="23" t="s">
        <v>992</v>
      </c>
      <c r="G153" s="23" t="s">
        <v>1005</v>
      </c>
      <c r="H153" s="23" t="s">
        <v>1011</v>
      </c>
      <c r="I153" s="22" t="s">
        <v>1235</v>
      </c>
      <c r="J153" s="22" t="s">
        <v>1243</v>
      </c>
      <c r="M153" s="22" t="s">
        <v>1</v>
      </c>
      <c r="N153" s="22" t="s">
        <v>1244</v>
      </c>
      <c r="O153" s="22" t="s">
        <v>962</v>
      </c>
      <c r="P153" s="22">
        <v>52001</v>
      </c>
      <c r="Q153" s="21">
        <v>10</v>
      </c>
      <c r="R153" s="21">
        <v>10</v>
      </c>
      <c r="S153" s="21">
        <v>10</v>
      </c>
      <c r="T153" s="22" t="s">
        <v>281</v>
      </c>
      <c r="U153" s="21">
        <v>1</v>
      </c>
      <c r="V153" s="22">
        <v>1</v>
      </c>
      <c r="W153" s="24">
        <f t="shared" si="75"/>
        <v>990.0713501282612</v>
      </c>
      <c r="X153" s="24">
        <f t="shared" si="76"/>
        <v>523.33333333333337</v>
      </c>
      <c r="Y153" s="21">
        <v>1</v>
      </c>
      <c r="Z153" s="24">
        <f t="shared" si="66"/>
        <v>990.0713501282612</v>
      </c>
      <c r="AA153" s="24">
        <f t="shared" si="67"/>
        <v>523.33333333333337</v>
      </c>
      <c r="AB153" s="21"/>
      <c r="AC153" s="21"/>
      <c r="AD153" s="21"/>
      <c r="AE153" s="21"/>
      <c r="AF153" s="21" t="s">
        <v>247</v>
      </c>
      <c r="AG153" s="21"/>
      <c r="AH153" s="24"/>
      <c r="AI153" s="24"/>
      <c r="AJ153" s="21">
        <v>523.33333333333337</v>
      </c>
      <c r="AK153" s="21">
        <v>10</v>
      </c>
      <c r="AL153" s="22" t="s">
        <v>161</v>
      </c>
      <c r="AM153" s="22">
        <v>0.11</v>
      </c>
      <c r="AO153" s="22" t="s">
        <v>1015</v>
      </c>
      <c r="AP153" s="22" t="s">
        <v>963</v>
      </c>
      <c r="AQ153" s="22" t="str">
        <f t="shared" si="70"/>
        <v>Nanophytoplankton</v>
      </c>
      <c r="AR153" s="22">
        <v>1</v>
      </c>
      <c r="AS153" s="22">
        <v>1</v>
      </c>
      <c r="AT153" s="22">
        <v>0</v>
      </c>
      <c r="AU153" s="22">
        <v>0</v>
      </c>
      <c r="AV153" s="22">
        <v>0</v>
      </c>
      <c r="AW153" s="22">
        <v>0</v>
      </c>
      <c r="AX153" s="22">
        <v>1</v>
      </c>
      <c r="AY153" s="22">
        <v>0</v>
      </c>
      <c r="BH153" s="22">
        <f t="shared" si="47"/>
        <v>0.52858143331340401</v>
      </c>
    </row>
    <row r="154" spans="1:60">
      <c r="BH154" s="22"/>
    </row>
    <row r="155" spans="1:60">
      <c r="BH155" s="22"/>
    </row>
    <row r="156" spans="1:60">
      <c r="BH156" s="22"/>
    </row>
    <row r="157" spans="1:60">
      <c r="BH157" s="22"/>
    </row>
    <row r="158" spans="1:60">
      <c r="BH158" s="22"/>
    </row>
    <row r="159" spans="1:60">
      <c r="BH159" s="22"/>
    </row>
    <row r="160" spans="1:60" s="22" customFormat="1" ht="28">
      <c r="A160" s="21" t="s">
        <v>468</v>
      </c>
      <c r="B160" s="22" t="s">
        <v>149</v>
      </c>
      <c r="C160" s="22" t="s">
        <v>150</v>
      </c>
      <c r="D160" s="23" t="s">
        <v>151</v>
      </c>
      <c r="E160" s="22" t="s">
        <v>61</v>
      </c>
      <c r="F160" s="22" t="s">
        <v>152</v>
      </c>
      <c r="G160" s="20" t="s">
        <v>153</v>
      </c>
      <c r="H160" s="22" t="s">
        <v>154</v>
      </c>
      <c r="I160" s="22" t="s">
        <v>459</v>
      </c>
      <c r="J160" s="22" t="s">
        <v>469</v>
      </c>
      <c r="N160" s="22" t="s">
        <v>470</v>
      </c>
      <c r="O160" s="22" t="s">
        <v>158</v>
      </c>
      <c r="P160" s="21">
        <v>10960</v>
      </c>
      <c r="Q160" s="21">
        <v>6</v>
      </c>
      <c r="R160" s="21">
        <v>1.5</v>
      </c>
      <c r="S160" s="21">
        <v>1.5</v>
      </c>
      <c r="T160" s="21" t="s">
        <v>160</v>
      </c>
      <c r="U160" s="21">
        <v>1</v>
      </c>
      <c r="V160" s="21">
        <v>1</v>
      </c>
      <c r="W160" s="24">
        <f t="shared" ref="W160" si="77">3.14*R160*Q160+2*3.14*(S160/2)^2/V160</f>
        <v>31.792499999999997</v>
      </c>
      <c r="X160" s="25">
        <f t="shared" ref="X160" si="78">(3.14/4*R160^2*Q160)*U160</f>
        <v>10.5975</v>
      </c>
      <c r="Y160" s="21">
        <f t="shared" ref="Y160" si="79">AB160/Q160</f>
        <v>16.666666666666668</v>
      </c>
      <c r="Z160" s="24">
        <f t="shared" ref="Z160" si="80">Y160*W160</f>
        <v>529.875</v>
      </c>
      <c r="AA160" s="24">
        <f t="shared" ref="AA160" si="81">Y160*X160</f>
        <v>176.62500000000003</v>
      </c>
      <c r="AB160" s="21">
        <v>100</v>
      </c>
      <c r="AC160" s="21">
        <v>1.5</v>
      </c>
      <c r="AD160" s="21">
        <v>1.5</v>
      </c>
      <c r="AE160" s="21" t="s">
        <v>160</v>
      </c>
      <c r="AF160" s="21">
        <v>1</v>
      </c>
      <c r="AG160" s="21">
        <v>1</v>
      </c>
      <c r="AH160" s="24">
        <f t="shared" ref="AH160" si="82">3.14*AC160*AB160+2*3.14*(AD160/2)^2/AG160</f>
        <v>474.53250000000003</v>
      </c>
      <c r="AI160" s="25">
        <f t="shared" ref="AI160" si="83">(3.14/4*AC160^2*AB160)*AF160</f>
        <v>176.625</v>
      </c>
      <c r="AJ160" s="21">
        <v>176.7</v>
      </c>
      <c r="AK160" s="21">
        <v>100</v>
      </c>
      <c r="AL160" s="22" t="s">
        <v>161</v>
      </c>
      <c r="AM160" s="22">
        <v>0.22</v>
      </c>
      <c r="AN160" s="22" t="s">
        <v>388</v>
      </c>
      <c r="AO160" s="22" t="s">
        <v>388</v>
      </c>
      <c r="AP160" s="22" t="s">
        <v>169</v>
      </c>
      <c r="AQ160" s="22" t="str">
        <f t="shared" ref="AQ160" si="84">IF(AND($AK160&lt;20,AJ160&lt;10000),"Nanophytoplankton","Microphytoplankton")</f>
        <v>Microphytoplankton</v>
      </c>
      <c r="AR160" s="22">
        <v>0</v>
      </c>
      <c r="AS160" s="22">
        <v>0</v>
      </c>
      <c r="AT160" s="22">
        <v>0</v>
      </c>
      <c r="AU160" s="22">
        <v>1</v>
      </c>
      <c r="AV160" s="22">
        <v>1</v>
      </c>
      <c r="AW160" s="22">
        <v>0</v>
      </c>
      <c r="AX160" s="22">
        <v>0</v>
      </c>
      <c r="AY160" s="22">
        <v>1</v>
      </c>
      <c r="AZ160" s="22">
        <v>0</v>
      </c>
      <c r="BA160" s="22">
        <v>0</v>
      </c>
      <c r="BB160" s="22">
        <v>0</v>
      </c>
      <c r="BC160" s="22">
        <v>0</v>
      </c>
      <c r="BD160" s="22">
        <v>2</v>
      </c>
      <c r="BE160" s="22">
        <v>8</v>
      </c>
      <c r="BH160" s="22">
        <f t="shared" si="47"/>
        <v>0.33333333333333337</v>
      </c>
    </row>
    <row r="161" spans="1:60">
      <c r="BH161" s="22"/>
    </row>
    <row r="162" spans="1:60">
      <c r="BH162" s="22"/>
    </row>
    <row r="163" spans="1:60" s="22" customFormat="1" ht="13">
      <c r="A163" s="21" t="s">
        <v>3062</v>
      </c>
      <c r="B163" s="22" t="s">
        <v>663</v>
      </c>
      <c r="C163" s="22" t="s">
        <v>2223</v>
      </c>
      <c r="D163" s="22" t="s">
        <v>2224</v>
      </c>
      <c r="E163" s="23" t="s">
        <v>63</v>
      </c>
      <c r="F163" s="23" t="s">
        <v>2840</v>
      </c>
      <c r="G163" s="23" t="s">
        <v>2841</v>
      </c>
      <c r="H163" s="23" t="s">
        <v>3063</v>
      </c>
      <c r="I163" s="22" t="s">
        <v>3064</v>
      </c>
      <c r="J163" s="22" t="s">
        <v>3065</v>
      </c>
      <c r="N163" s="22" t="s">
        <v>3066</v>
      </c>
      <c r="O163" s="22" t="s">
        <v>2229</v>
      </c>
      <c r="P163" s="21">
        <v>89900</v>
      </c>
      <c r="Q163" s="21">
        <v>12</v>
      </c>
      <c r="R163" s="21">
        <v>2.5</v>
      </c>
      <c r="S163" s="21">
        <v>2.5</v>
      </c>
      <c r="T163" s="21" t="s">
        <v>160</v>
      </c>
      <c r="U163" s="21">
        <v>1</v>
      </c>
      <c r="V163" s="21">
        <v>1</v>
      </c>
      <c r="W163" s="24">
        <f>3.14*R163*Q163+2*3.14*(S163/2)^2/V163</f>
        <v>104.0125</v>
      </c>
      <c r="X163" s="25">
        <f>(3.14/4*R163^2*Q163)*U163</f>
        <v>58.875</v>
      </c>
      <c r="Y163" s="21">
        <v>1</v>
      </c>
      <c r="Z163" s="24">
        <f t="shared" ref="Z163:Z172" si="85">Y163*W163</f>
        <v>104.0125</v>
      </c>
      <c r="AA163" s="24">
        <f t="shared" ref="AA163:AA172" si="86">Y163*X163</f>
        <v>58.875</v>
      </c>
      <c r="AB163" s="21"/>
      <c r="AC163" s="21"/>
      <c r="AD163" s="21"/>
      <c r="AE163" s="21"/>
      <c r="AF163" s="21"/>
      <c r="AG163" s="21"/>
      <c r="AH163" s="24"/>
      <c r="AI163" s="24"/>
      <c r="AJ163" s="21">
        <v>47</v>
      </c>
      <c r="AK163" s="21">
        <v>12</v>
      </c>
      <c r="AL163" s="22" t="s">
        <v>3067</v>
      </c>
      <c r="AM163" s="22">
        <v>0.16</v>
      </c>
      <c r="AO163" s="22" t="s">
        <v>2257</v>
      </c>
      <c r="AP163" s="22" t="s">
        <v>626</v>
      </c>
      <c r="AQ163" s="22" t="str">
        <f t="shared" ref="AQ163:AQ172" si="87">IF(AND($AK163&lt;20,AJ163&lt;10000),"Nanophytoplankton","Microphytoplankton")</f>
        <v>Nanophytoplankton</v>
      </c>
      <c r="AR163" s="22">
        <v>0</v>
      </c>
      <c r="AS163" s="22">
        <v>0</v>
      </c>
      <c r="AT163" s="22">
        <v>0</v>
      </c>
      <c r="AU163" s="22">
        <v>0</v>
      </c>
      <c r="AV163" s="22">
        <v>0</v>
      </c>
      <c r="AW163" s="22">
        <v>0</v>
      </c>
      <c r="AX163" s="22">
        <v>0</v>
      </c>
      <c r="AY163" s="22">
        <v>1</v>
      </c>
      <c r="BH163" s="22">
        <f t="shared" si="47"/>
        <v>0.56603773584905659</v>
      </c>
    </row>
    <row r="164" spans="1:60" s="22" customFormat="1" ht="13">
      <c r="A164" s="21" t="s">
        <v>3068</v>
      </c>
      <c r="B164" s="22" t="s">
        <v>663</v>
      </c>
      <c r="C164" s="22" t="s">
        <v>2223</v>
      </c>
      <c r="D164" s="22" t="s">
        <v>2224</v>
      </c>
      <c r="E164" s="23" t="s">
        <v>63</v>
      </c>
      <c r="F164" s="23" t="s">
        <v>2840</v>
      </c>
      <c r="G164" s="23" t="s">
        <v>2841</v>
      </c>
      <c r="H164" s="23" t="s">
        <v>3063</v>
      </c>
      <c r="I164" s="22" t="s">
        <v>3064</v>
      </c>
      <c r="J164" s="22" t="s">
        <v>3069</v>
      </c>
      <c r="N164" s="22" t="s">
        <v>2955</v>
      </c>
      <c r="O164" s="22" t="s">
        <v>2229</v>
      </c>
      <c r="P164" s="21">
        <v>89901</v>
      </c>
      <c r="Q164" s="21">
        <v>25</v>
      </c>
      <c r="R164" s="21">
        <v>2</v>
      </c>
      <c r="S164" s="21">
        <v>2</v>
      </c>
      <c r="T164" s="21" t="s">
        <v>160</v>
      </c>
      <c r="U164" s="21">
        <v>1</v>
      </c>
      <c r="V164" s="21">
        <v>1</v>
      </c>
      <c r="W164" s="24">
        <f>3.14*R164*Q164+2*3.14*(S164/2)^2/V164</f>
        <v>163.28</v>
      </c>
      <c r="X164" s="25">
        <f>(3.14/4*R164^2*Q164)*U164</f>
        <v>78.5</v>
      </c>
      <c r="Y164" s="21">
        <v>1</v>
      </c>
      <c r="Z164" s="24">
        <f t="shared" si="85"/>
        <v>163.28</v>
      </c>
      <c r="AA164" s="24">
        <f t="shared" si="86"/>
        <v>78.5</v>
      </c>
      <c r="AB164" s="21"/>
      <c r="AC164" s="21"/>
      <c r="AD164" s="21"/>
      <c r="AE164" s="21"/>
      <c r="AF164" s="21"/>
      <c r="AG164" s="21"/>
      <c r="AH164" s="24"/>
      <c r="AI164" s="24"/>
      <c r="AJ164" s="21">
        <v>78.5</v>
      </c>
      <c r="AK164" s="21">
        <v>25</v>
      </c>
      <c r="AL164" s="22" t="s">
        <v>161</v>
      </c>
      <c r="AM164" s="22">
        <v>0.16</v>
      </c>
      <c r="AQ164" s="22" t="str">
        <f t="shared" si="87"/>
        <v>Microphytoplankton</v>
      </c>
      <c r="AR164" s="22">
        <v>0</v>
      </c>
      <c r="AS164" s="22">
        <v>0</v>
      </c>
      <c r="AT164" s="22">
        <v>0</v>
      </c>
      <c r="AU164" s="22">
        <v>1</v>
      </c>
      <c r="AV164" s="22">
        <v>0</v>
      </c>
      <c r="AW164" s="22">
        <v>0</v>
      </c>
      <c r="AX164" s="22">
        <v>0</v>
      </c>
      <c r="AY164" s="22">
        <v>1</v>
      </c>
      <c r="BH164" s="22">
        <f t="shared" si="47"/>
        <v>0.48076923076923078</v>
      </c>
    </row>
    <row r="165" spans="1:60" s="22" customFormat="1" ht="13">
      <c r="A165" s="21" t="s">
        <v>1030</v>
      </c>
      <c r="B165" s="22" t="s">
        <v>663</v>
      </c>
      <c r="C165" s="23" t="s">
        <v>822</v>
      </c>
      <c r="D165" s="23" t="s">
        <v>965</v>
      </c>
      <c r="E165" s="22" t="s">
        <v>991</v>
      </c>
      <c r="F165" s="23" t="s">
        <v>992</v>
      </c>
      <c r="G165" s="23" t="s">
        <v>1005</v>
      </c>
      <c r="H165" s="22" t="s">
        <v>1022</v>
      </c>
      <c r="I165" s="22" t="s">
        <v>1026</v>
      </c>
      <c r="J165" s="22" t="s">
        <v>1031</v>
      </c>
      <c r="N165" s="22" t="s">
        <v>1032</v>
      </c>
      <c r="O165" s="22" t="s">
        <v>962</v>
      </c>
      <c r="P165" s="21">
        <v>50710</v>
      </c>
      <c r="Q165" s="21">
        <v>17</v>
      </c>
      <c r="R165" s="21">
        <v>7</v>
      </c>
      <c r="S165" s="21">
        <v>7</v>
      </c>
      <c r="T165" s="22" t="s">
        <v>281</v>
      </c>
      <c r="U165" s="21">
        <v>0.9</v>
      </c>
      <c r="V165" s="21">
        <v>0.9</v>
      </c>
      <c r="W165" s="24">
        <f t="shared" ref="W165" si="88">(4*3.14*(((Q165^1.6*R165^1.6+Q165^1.6*S165^1.6+R165^1.6+S165^1.6)/3)^(1/1.6)))*(1/V165)</f>
        <v>1297.5931847233674</v>
      </c>
      <c r="X165" s="24">
        <f t="shared" ref="X165" si="89">3.14/6*Q165*R165*S165*U165</f>
        <v>392.34300000000002</v>
      </c>
      <c r="Y165" s="21">
        <v>1</v>
      </c>
      <c r="Z165" s="24">
        <f t="shared" si="85"/>
        <v>1297.5931847233674</v>
      </c>
      <c r="AA165" s="24">
        <f t="shared" si="86"/>
        <v>392.34300000000002</v>
      </c>
      <c r="AB165" s="21"/>
      <c r="AC165" s="21"/>
      <c r="AD165" s="21"/>
      <c r="AE165" s="21"/>
      <c r="AF165" s="21" t="s">
        <v>247</v>
      </c>
      <c r="AG165" s="21"/>
      <c r="AH165" s="24"/>
      <c r="AI165" s="24"/>
      <c r="AJ165" s="21">
        <v>392.5</v>
      </c>
      <c r="AK165" s="21">
        <v>17</v>
      </c>
      <c r="AL165" s="22" t="s">
        <v>161</v>
      </c>
      <c r="AM165" s="22">
        <v>0.11</v>
      </c>
      <c r="AO165" s="22" t="s">
        <v>830</v>
      </c>
      <c r="AP165" s="22" t="s">
        <v>963</v>
      </c>
      <c r="AQ165" s="22" t="str">
        <f t="shared" si="87"/>
        <v>Nanophytoplankton</v>
      </c>
      <c r="AR165" s="22">
        <v>1</v>
      </c>
      <c r="AS165" s="22">
        <v>1</v>
      </c>
      <c r="AT165" s="22">
        <v>0</v>
      </c>
      <c r="AU165" s="22">
        <v>0</v>
      </c>
      <c r="AV165" s="22">
        <v>0</v>
      </c>
      <c r="AW165" s="22">
        <v>0</v>
      </c>
      <c r="AX165" s="22">
        <v>1</v>
      </c>
      <c r="AY165" s="22">
        <v>0</v>
      </c>
      <c r="BH165" s="22">
        <f t="shared" si="47"/>
        <v>0.30236209978525991</v>
      </c>
    </row>
    <row r="166" spans="1:60" s="22" customFormat="1" ht="28">
      <c r="A166" s="21" t="s">
        <v>566</v>
      </c>
      <c r="B166" s="22" t="s">
        <v>149</v>
      </c>
      <c r="C166" s="22" t="s">
        <v>150</v>
      </c>
      <c r="D166" s="23" t="s">
        <v>151</v>
      </c>
      <c r="E166" s="22" t="s">
        <v>61</v>
      </c>
      <c r="F166" s="22" t="s">
        <v>152</v>
      </c>
      <c r="G166" s="20" t="s">
        <v>153</v>
      </c>
      <c r="H166" s="22" t="s">
        <v>154</v>
      </c>
      <c r="I166" s="22" t="s">
        <v>563</v>
      </c>
      <c r="J166" s="22" t="s">
        <v>567</v>
      </c>
      <c r="N166" s="22" t="s">
        <v>568</v>
      </c>
      <c r="O166" s="22" t="s">
        <v>158</v>
      </c>
      <c r="P166" s="22">
        <v>11111</v>
      </c>
      <c r="Q166" s="21">
        <v>7</v>
      </c>
      <c r="R166" s="21">
        <v>1.5</v>
      </c>
      <c r="S166" s="21">
        <v>1.5</v>
      </c>
      <c r="T166" s="21" t="s">
        <v>160</v>
      </c>
      <c r="U166" s="21">
        <v>1</v>
      </c>
      <c r="V166" s="22">
        <v>1</v>
      </c>
      <c r="W166" s="24">
        <f t="shared" ref="W166" si="90">3.14*R166*Q166+2*3.14*(S166/2)^2/V166</f>
        <v>36.502499999999998</v>
      </c>
      <c r="X166" s="25">
        <f t="shared" ref="X166" si="91">(3.14/4*R166^2*Q166)*U166</f>
        <v>12.363750000000001</v>
      </c>
      <c r="Y166" s="21">
        <v>5</v>
      </c>
      <c r="Z166" s="24">
        <f t="shared" si="85"/>
        <v>182.51249999999999</v>
      </c>
      <c r="AA166" s="24">
        <f t="shared" si="86"/>
        <v>61.818750000000009</v>
      </c>
      <c r="AB166" s="21">
        <v>35</v>
      </c>
      <c r="AC166" s="21">
        <v>1.5</v>
      </c>
      <c r="AD166" s="21">
        <v>1.5</v>
      </c>
      <c r="AE166" s="21" t="s">
        <v>160</v>
      </c>
      <c r="AF166" s="21">
        <v>1</v>
      </c>
      <c r="AG166" s="22">
        <v>1</v>
      </c>
      <c r="AH166" s="24">
        <f t="shared" ref="AH166" si="92">3.14*AC166*AB166+2*3.14*(AD166/2)^2/AG166</f>
        <v>168.38249999999999</v>
      </c>
      <c r="AI166" s="25">
        <f t="shared" ref="AI166" si="93">(3.14/4*AC166^2*AB166)*AF166</f>
        <v>61.818750000000001</v>
      </c>
      <c r="AJ166" s="21">
        <v>61.9</v>
      </c>
      <c r="AK166" s="21">
        <v>35</v>
      </c>
      <c r="AL166" s="22" t="s">
        <v>161</v>
      </c>
      <c r="AM166" s="22">
        <v>0.22</v>
      </c>
      <c r="AN166" s="22" t="s">
        <v>388</v>
      </c>
      <c r="AO166" s="22" t="s">
        <v>388</v>
      </c>
      <c r="AP166" s="22" t="s">
        <v>162</v>
      </c>
      <c r="AQ166" s="22" t="str">
        <f t="shared" si="87"/>
        <v>Microphytoplankton</v>
      </c>
      <c r="AR166" s="22">
        <v>0</v>
      </c>
      <c r="AS166" s="22">
        <v>0</v>
      </c>
      <c r="AT166" s="22">
        <v>0</v>
      </c>
      <c r="AU166" s="22">
        <v>1</v>
      </c>
      <c r="AV166" s="22">
        <v>1</v>
      </c>
      <c r="AW166" s="22">
        <v>0</v>
      </c>
      <c r="AX166" s="22">
        <v>0</v>
      </c>
      <c r="AY166" s="22">
        <v>1</v>
      </c>
      <c r="BH166" s="22">
        <f t="shared" si="47"/>
        <v>0.33870967741935487</v>
      </c>
    </row>
    <row r="167" spans="1:60" s="22" customFormat="1" ht="13">
      <c r="A167" s="21" t="s">
        <v>1338</v>
      </c>
      <c r="B167" s="22" t="s">
        <v>663</v>
      </c>
      <c r="C167" s="23" t="s">
        <v>822</v>
      </c>
      <c r="D167" s="23" t="s">
        <v>965</v>
      </c>
      <c r="E167" s="22" t="s">
        <v>991</v>
      </c>
      <c r="F167" s="23" t="s">
        <v>992</v>
      </c>
      <c r="G167" s="23" t="s">
        <v>1005</v>
      </c>
      <c r="H167" s="23" t="s">
        <v>1011</v>
      </c>
      <c r="I167" s="22" t="s">
        <v>1339</v>
      </c>
      <c r="J167" s="22" t="s">
        <v>1340</v>
      </c>
      <c r="N167" s="22" t="s">
        <v>1341</v>
      </c>
      <c r="O167" s="22" t="s">
        <v>962</v>
      </c>
      <c r="P167" s="21">
        <v>50210</v>
      </c>
      <c r="Q167" s="21">
        <v>8</v>
      </c>
      <c r="R167" s="21">
        <v>5</v>
      </c>
      <c r="S167" s="21">
        <v>5</v>
      </c>
      <c r="T167" s="21" t="s">
        <v>159</v>
      </c>
      <c r="U167" s="21">
        <v>1</v>
      </c>
      <c r="V167" s="21">
        <v>1</v>
      </c>
      <c r="W167" s="24">
        <f>(4*3.14*(((Q167^1.6*R167^1.6+Q167^1.6*S167^1.6+R167^1.6+S167^1.6)/3)^(1/1.6)))*(1/V167)</f>
        <v>398.62580307118628</v>
      </c>
      <c r="X167" s="24">
        <f>3.14/6*Q167*R167*S167*U167</f>
        <v>104.66666666666667</v>
      </c>
      <c r="Y167" s="21">
        <v>1000</v>
      </c>
      <c r="Z167" s="24">
        <f t="shared" si="85"/>
        <v>398625.8030711863</v>
      </c>
      <c r="AA167" s="24">
        <f t="shared" si="86"/>
        <v>104666.66666666667</v>
      </c>
      <c r="AB167" s="21">
        <v>100</v>
      </c>
      <c r="AC167" s="21">
        <v>100</v>
      </c>
      <c r="AD167" s="21">
        <v>100</v>
      </c>
      <c r="AE167" s="21" t="s">
        <v>159</v>
      </c>
      <c r="AF167" s="21">
        <v>0.2</v>
      </c>
      <c r="AG167" s="21">
        <v>1.5</v>
      </c>
      <c r="AH167" s="24">
        <f>(4*3.14*(((AB167^1.6*AC167^1.6+AB167^1.6*AD167^1.6+AC167^1.6+AD167^1.6)/3)^(1/1.6)))*(1/AG167)</f>
        <v>65014.848179695546</v>
      </c>
      <c r="AI167" s="24">
        <f>3.14/6*AB167*AC167*AD167*AF167</f>
        <v>104666.66666666667</v>
      </c>
      <c r="AJ167" s="21">
        <v>104719.8</v>
      </c>
      <c r="AK167" s="21">
        <v>100</v>
      </c>
      <c r="AL167" s="22" t="s">
        <v>161</v>
      </c>
      <c r="AM167" s="22">
        <v>0.11</v>
      </c>
      <c r="AN167" s="22" t="s">
        <v>1342</v>
      </c>
      <c r="AO167" s="22" t="s">
        <v>1342</v>
      </c>
      <c r="AP167" s="22" t="s">
        <v>963</v>
      </c>
      <c r="AQ167" s="22" t="str">
        <f t="shared" si="87"/>
        <v>Microphytoplankton</v>
      </c>
      <c r="AR167" s="22">
        <v>1</v>
      </c>
      <c r="AS167" s="22">
        <v>1</v>
      </c>
      <c r="AT167" s="22">
        <v>0</v>
      </c>
      <c r="AU167" s="22">
        <v>1</v>
      </c>
      <c r="AV167" s="22">
        <v>0</v>
      </c>
      <c r="AW167" s="22">
        <v>0</v>
      </c>
      <c r="AX167" s="22">
        <v>1</v>
      </c>
      <c r="AY167" s="22">
        <v>0</v>
      </c>
      <c r="BH167" s="22">
        <f t="shared" si="47"/>
        <v>0.26256871948646882</v>
      </c>
    </row>
    <row r="168" spans="1:60" s="22" customFormat="1" ht="13">
      <c r="A168" s="21" t="s">
        <v>2731</v>
      </c>
      <c r="B168" s="22" t="s">
        <v>663</v>
      </c>
      <c r="C168" s="22" t="s">
        <v>2223</v>
      </c>
      <c r="D168" s="22" t="s">
        <v>2224</v>
      </c>
      <c r="E168" s="23" t="s">
        <v>63</v>
      </c>
      <c r="F168" s="23" t="s">
        <v>2225</v>
      </c>
      <c r="G168" s="23" t="s">
        <v>2226</v>
      </c>
      <c r="H168" s="22" t="s">
        <v>2253</v>
      </c>
      <c r="I168" s="22" t="s">
        <v>2692</v>
      </c>
      <c r="J168" s="38" t="s">
        <v>211</v>
      </c>
      <c r="K168" s="38"/>
      <c r="L168" s="38"/>
      <c r="M168" s="22" t="s">
        <v>1</v>
      </c>
      <c r="N168" s="22" t="s">
        <v>2732</v>
      </c>
      <c r="O168" s="22" t="s">
        <v>2229</v>
      </c>
      <c r="P168" s="21">
        <v>81700</v>
      </c>
      <c r="Q168" s="21">
        <v>25</v>
      </c>
      <c r="R168" s="21">
        <v>2.5</v>
      </c>
      <c r="S168" s="21">
        <v>2.5</v>
      </c>
      <c r="T168" s="21" t="s">
        <v>281</v>
      </c>
      <c r="U168" s="21">
        <v>1.2</v>
      </c>
      <c r="V168" s="21">
        <v>1</v>
      </c>
      <c r="W168" s="24">
        <f t="shared" ref="W168" si="94">(4*3.14*(((Q168^1.6*R168^1.6+Q168^1.6*S168^1.6+R168^1.6+S168^1.6)/3)^(1/1.6)))*(1/V168)</f>
        <v>611.47951676261209</v>
      </c>
      <c r="X168" s="24">
        <f>3.14/6*Q168*R168*S168*U168</f>
        <v>98.124999999999972</v>
      </c>
      <c r="Y168" s="22">
        <v>1</v>
      </c>
      <c r="Z168" s="24">
        <f t="shared" si="85"/>
        <v>611.47951676261209</v>
      </c>
      <c r="AA168" s="24">
        <f t="shared" si="86"/>
        <v>98.124999999999972</v>
      </c>
      <c r="AB168" s="21"/>
      <c r="AC168" s="21"/>
      <c r="AD168" s="21"/>
      <c r="AE168" s="21"/>
      <c r="AF168" s="21"/>
      <c r="AG168" s="21"/>
      <c r="AH168" s="24"/>
      <c r="AI168" s="24"/>
      <c r="AJ168" s="21">
        <v>49.1</v>
      </c>
      <c r="AK168" s="21">
        <v>25</v>
      </c>
      <c r="AL168" s="22" t="s">
        <v>161</v>
      </c>
      <c r="AM168" s="22">
        <v>0.16</v>
      </c>
      <c r="AN168" s="38" t="s">
        <v>2257</v>
      </c>
      <c r="AO168" s="22" t="s">
        <v>2257</v>
      </c>
      <c r="AP168" s="22" t="s">
        <v>162</v>
      </c>
      <c r="AQ168" s="22" t="str">
        <f t="shared" si="87"/>
        <v>Microphytoplankton</v>
      </c>
      <c r="AR168" s="22">
        <v>0</v>
      </c>
      <c r="AS168" s="22">
        <v>0</v>
      </c>
      <c r="AT168" s="22">
        <v>0</v>
      </c>
      <c r="AU168" s="22">
        <v>0</v>
      </c>
      <c r="AV168" s="22">
        <v>0</v>
      </c>
      <c r="AW168" s="22">
        <v>0</v>
      </c>
      <c r="AX168" s="22">
        <v>0</v>
      </c>
      <c r="AY168" s="22">
        <v>1</v>
      </c>
      <c r="AZ168" s="22">
        <v>0</v>
      </c>
      <c r="BA168" s="22">
        <v>1</v>
      </c>
      <c r="BB168" s="22">
        <v>0</v>
      </c>
      <c r="BC168" s="22">
        <v>1</v>
      </c>
      <c r="BD168" s="22">
        <v>7</v>
      </c>
      <c r="BE168" s="22">
        <v>1</v>
      </c>
      <c r="BH168" s="22">
        <f t="shared" si="47"/>
        <v>0.16047144231340452</v>
      </c>
    </row>
    <row r="169" spans="1:60" s="22" customFormat="1" ht="13">
      <c r="A169" s="21" t="s">
        <v>2207</v>
      </c>
      <c r="B169" s="22" t="s">
        <v>663</v>
      </c>
      <c r="C169" s="23" t="s">
        <v>822</v>
      </c>
      <c r="D169" s="23" t="s">
        <v>965</v>
      </c>
      <c r="E169" s="22" t="s">
        <v>62</v>
      </c>
      <c r="F169" s="23" t="s">
        <v>1499</v>
      </c>
      <c r="G169" s="23" t="s">
        <v>2201</v>
      </c>
      <c r="H169" s="23" t="s">
        <v>2202</v>
      </c>
      <c r="I169" s="22" t="s">
        <v>2203</v>
      </c>
      <c r="J169" s="22" t="s">
        <v>2208</v>
      </c>
      <c r="N169" s="22" t="s">
        <v>2209</v>
      </c>
      <c r="O169" s="22" t="s">
        <v>1430</v>
      </c>
      <c r="P169" s="21">
        <v>72220</v>
      </c>
      <c r="Q169" s="21">
        <v>30</v>
      </c>
      <c r="R169" s="21">
        <v>10</v>
      </c>
      <c r="S169" s="21">
        <v>4</v>
      </c>
      <c r="T169" s="22" t="s">
        <v>330</v>
      </c>
      <c r="U169" s="21">
        <v>1</v>
      </c>
      <c r="V169" s="22">
        <v>1</v>
      </c>
      <c r="W169" s="25">
        <f t="shared" ref="W169" si="95">(Q169*R169*2+Q169*S169*2+R169*S169*2)/V169</f>
        <v>920</v>
      </c>
      <c r="X169" s="25">
        <f t="shared" ref="X169" si="96">Q169*R169*S169*U169</f>
        <v>1200</v>
      </c>
      <c r="Y169" s="21">
        <v>1</v>
      </c>
      <c r="Z169" s="24">
        <f t="shared" si="85"/>
        <v>920</v>
      </c>
      <c r="AA169" s="24">
        <f t="shared" si="86"/>
        <v>1200</v>
      </c>
      <c r="AB169" s="21"/>
      <c r="AC169" s="21"/>
      <c r="AD169" s="21"/>
      <c r="AE169" s="21"/>
      <c r="AF169" s="21" t="s">
        <v>247</v>
      </c>
      <c r="AG169" s="21"/>
      <c r="AH169" s="24"/>
      <c r="AI169" s="24"/>
      <c r="AJ169" s="21">
        <v>1200</v>
      </c>
      <c r="AK169" s="21">
        <v>30</v>
      </c>
      <c r="AL169" s="22" t="s">
        <v>161</v>
      </c>
      <c r="AM169" s="22">
        <v>0.11</v>
      </c>
      <c r="AN169" s="22" t="s">
        <v>2206</v>
      </c>
      <c r="AO169" s="22" t="s">
        <v>2206</v>
      </c>
      <c r="AP169" s="22" t="s">
        <v>1432</v>
      </c>
      <c r="AQ169" s="22" t="str">
        <f t="shared" si="87"/>
        <v>Microphytoplankton</v>
      </c>
      <c r="AR169" s="22">
        <v>0</v>
      </c>
      <c r="AS169" s="22">
        <v>0</v>
      </c>
      <c r="AT169" s="22">
        <v>0</v>
      </c>
      <c r="AU169" s="22">
        <v>1</v>
      </c>
      <c r="AV169" s="22">
        <v>0</v>
      </c>
      <c r="AW169" s="22">
        <v>0</v>
      </c>
      <c r="AX169" s="22">
        <v>1</v>
      </c>
      <c r="AY169" s="22">
        <v>0</v>
      </c>
      <c r="AZ169" s="22">
        <v>0</v>
      </c>
      <c r="BA169" s="22">
        <v>2</v>
      </c>
      <c r="BB169" s="22">
        <v>7</v>
      </c>
      <c r="BC169" s="22">
        <v>1</v>
      </c>
      <c r="BD169" s="22">
        <v>0</v>
      </c>
      <c r="BE169" s="22">
        <v>0</v>
      </c>
      <c r="BH169" s="22">
        <f t="shared" si="47"/>
        <v>1.3043478260869565</v>
      </c>
    </row>
    <row r="170" spans="1:60" s="22" customFormat="1" ht="13">
      <c r="A170" s="21" t="s">
        <v>2344</v>
      </c>
      <c r="B170" s="22" t="s">
        <v>663</v>
      </c>
      <c r="C170" s="22" t="s">
        <v>2223</v>
      </c>
      <c r="D170" s="22" t="s">
        <v>2224</v>
      </c>
      <c r="E170" s="23" t="s">
        <v>63</v>
      </c>
      <c r="F170" s="23" t="s">
        <v>2225</v>
      </c>
      <c r="G170" s="23" t="s">
        <v>2284</v>
      </c>
      <c r="H170" s="23" t="s">
        <v>2285</v>
      </c>
      <c r="I170" s="22" t="s">
        <v>45</v>
      </c>
      <c r="J170" s="38" t="s">
        <v>2345</v>
      </c>
      <c r="K170" s="38" t="s">
        <v>175</v>
      </c>
      <c r="L170" s="38" t="s">
        <v>2346</v>
      </c>
      <c r="N170" s="22" t="s">
        <v>2347</v>
      </c>
      <c r="O170" s="22" t="s">
        <v>2229</v>
      </c>
      <c r="P170" s="22">
        <v>80160</v>
      </c>
      <c r="Q170" s="21">
        <v>8</v>
      </c>
      <c r="R170" s="21">
        <v>8</v>
      </c>
      <c r="S170" s="21">
        <v>8</v>
      </c>
      <c r="T170" s="21" t="s">
        <v>281</v>
      </c>
      <c r="U170" s="21">
        <v>1</v>
      </c>
      <c r="V170" s="22">
        <v>1</v>
      </c>
      <c r="W170" s="24">
        <f t="shared" ref="W170:W171" si="97">(4*3.14*(((Q170^1.6*R170^1.6+Q170^1.6*S170^1.6+R170^1.6+S170^1.6)/3)^(1/1.6)))*(1/V170)</f>
        <v>637.80128491389792</v>
      </c>
      <c r="X170" s="24">
        <f t="shared" ref="X170:X171" si="98">3.14/6*Q170*R170*S170*U170</f>
        <v>267.94666666666666</v>
      </c>
      <c r="Y170" s="21">
        <v>1</v>
      </c>
      <c r="Z170" s="24">
        <f t="shared" si="85"/>
        <v>637.80128491389792</v>
      </c>
      <c r="AA170" s="24">
        <f t="shared" si="86"/>
        <v>267.94666666666666</v>
      </c>
      <c r="AB170" s="21"/>
      <c r="AC170" s="21"/>
      <c r="AD170" s="21"/>
      <c r="AE170" s="21"/>
      <c r="AF170" s="21" t="s">
        <v>247</v>
      </c>
      <c r="AG170" s="21"/>
      <c r="AH170" s="24"/>
      <c r="AI170" s="24"/>
      <c r="AJ170" s="21">
        <v>268.10000000000002</v>
      </c>
      <c r="AK170" s="21">
        <v>8</v>
      </c>
      <c r="AL170" s="22" t="s">
        <v>161</v>
      </c>
      <c r="AM170" s="22">
        <v>0.16</v>
      </c>
      <c r="AN170" s="38"/>
      <c r="AO170" s="22" t="s">
        <v>830</v>
      </c>
      <c r="AP170" s="22" t="s">
        <v>673</v>
      </c>
      <c r="AQ170" s="22" t="str">
        <f t="shared" si="87"/>
        <v>Nanophytoplankton</v>
      </c>
      <c r="AR170" s="22">
        <v>1</v>
      </c>
      <c r="AS170" s="22">
        <v>1</v>
      </c>
      <c r="AT170" s="22">
        <v>0</v>
      </c>
      <c r="AU170" s="22">
        <v>0</v>
      </c>
      <c r="AV170" s="22">
        <v>0</v>
      </c>
      <c r="AW170" s="22">
        <v>0</v>
      </c>
      <c r="AX170" s="22">
        <v>0</v>
      </c>
      <c r="AY170" s="22">
        <v>1</v>
      </c>
      <c r="BH170" s="22">
        <f t="shared" si="47"/>
        <v>0.42010995117835015</v>
      </c>
    </row>
    <row r="171" spans="1:60" s="22" customFormat="1" ht="13">
      <c r="A171" s="21" t="s">
        <v>2548</v>
      </c>
      <c r="B171" s="22" t="s">
        <v>663</v>
      </c>
      <c r="C171" s="22" t="s">
        <v>2223</v>
      </c>
      <c r="D171" s="22" t="s">
        <v>2224</v>
      </c>
      <c r="E171" s="23" t="s">
        <v>63</v>
      </c>
      <c r="F171" s="23" t="s">
        <v>2225</v>
      </c>
      <c r="G171" s="23" t="s">
        <v>2226</v>
      </c>
      <c r="H171" s="23" t="s">
        <v>2239</v>
      </c>
      <c r="I171" s="22" t="s">
        <v>2549</v>
      </c>
      <c r="J171" s="22" t="s">
        <v>2550</v>
      </c>
      <c r="N171" s="22" t="s">
        <v>2551</v>
      </c>
      <c r="O171" s="22" t="s">
        <v>2229</v>
      </c>
      <c r="P171" s="22">
        <v>85521</v>
      </c>
      <c r="Q171" s="21">
        <v>15</v>
      </c>
      <c r="R171" s="21">
        <v>9</v>
      </c>
      <c r="S171" s="21">
        <v>9</v>
      </c>
      <c r="T171" s="21" t="s">
        <v>159</v>
      </c>
      <c r="U171" s="21">
        <v>1</v>
      </c>
      <c r="V171" s="21">
        <v>1</v>
      </c>
      <c r="W171" s="24">
        <f t="shared" si="97"/>
        <v>1326.8047532317794</v>
      </c>
      <c r="X171" s="24">
        <f t="shared" si="98"/>
        <v>635.84999999999991</v>
      </c>
      <c r="Y171" s="21">
        <v>12</v>
      </c>
      <c r="Z171" s="24">
        <f t="shared" si="85"/>
        <v>15921.657038781352</v>
      </c>
      <c r="AA171" s="24">
        <f t="shared" si="86"/>
        <v>7630.1999999999989</v>
      </c>
      <c r="AB171" s="21">
        <v>60</v>
      </c>
      <c r="AC171" s="21">
        <v>20</v>
      </c>
      <c r="AD171" s="21">
        <v>9</v>
      </c>
      <c r="AE171" s="21" t="s">
        <v>159</v>
      </c>
      <c r="AF171" s="21">
        <v>0.9</v>
      </c>
      <c r="AG171" s="21">
        <v>1</v>
      </c>
      <c r="AH171" s="24">
        <f>(4*3.14*(((AB171^1.6*AC171^1.6+AB171^1.6*AD171^1.6+AC171^1.6+AD171^1.6)/3)^(1/1.6)))*(1/AG171)</f>
        <v>8852.95933009488</v>
      </c>
      <c r="AI171" s="24">
        <f>3.14/6*AB171*AC171*AD171*AF171</f>
        <v>5086.8</v>
      </c>
      <c r="AJ171" s="21">
        <v>1895.4</v>
      </c>
      <c r="AK171" s="21">
        <v>40</v>
      </c>
      <c r="AL171" s="22" t="s">
        <v>161</v>
      </c>
      <c r="AM171" s="22">
        <v>0.16</v>
      </c>
      <c r="AP171" s="22" t="s">
        <v>230</v>
      </c>
      <c r="AQ171" s="22" t="str">
        <f t="shared" si="87"/>
        <v>Microphytoplankton</v>
      </c>
      <c r="AR171" s="22">
        <v>0</v>
      </c>
      <c r="AS171" s="22">
        <v>0</v>
      </c>
      <c r="AT171" s="22">
        <v>0</v>
      </c>
      <c r="AU171" s="22">
        <v>1</v>
      </c>
      <c r="AV171" s="22">
        <v>0</v>
      </c>
      <c r="AW171" s="22">
        <v>0</v>
      </c>
      <c r="AX171" s="22">
        <v>0</v>
      </c>
      <c r="AY171" s="22">
        <v>1</v>
      </c>
      <c r="BH171" s="22">
        <f t="shared" si="47"/>
        <v>0.47923403835509426</v>
      </c>
    </row>
    <row r="172" spans="1:60" s="22" customFormat="1" ht="13">
      <c r="A172" s="21" t="s">
        <v>2018</v>
      </c>
      <c r="B172" s="22" t="s">
        <v>663</v>
      </c>
      <c r="C172" s="23" t="s">
        <v>822</v>
      </c>
      <c r="D172" s="23" t="s">
        <v>965</v>
      </c>
      <c r="E172" s="22" t="s">
        <v>62</v>
      </c>
      <c r="F172" s="23" t="s">
        <v>1434</v>
      </c>
      <c r="G172" s="23" t="s">
        <v>1719</v>
      </c>
      <c r="H172" s="23" t="s">
        <v>1720</v>
      </c>
      <c r="I172" s="22" t="s">
        <v>43</v>
      </c>
      <c r="J172" s="21" t="s">
        <v>564</v>
      </c>
      <c r="K172" s="21"/>
      <c r="L172" s="21"/>
      <c r="N172" s="22" t="s">
        <v>2019</v>
      </c>
      <c r="O172" s="22" t="s">
        <v>1430</v>
      </c>
      <c r="P172" s="21">
        <v>71910</v>
      </c>
      <c r="Q172" s="21">
        <v>45</v>
      </c>
      <c r="R172" s="21">
        <v>3</v>
      </c>
      <c r="S172" s="21">
        <v>3</v>
      </c>
      <c r="T172" s="22" t="s">
        <v>330</v>
      </c>
      <c r="U172" s="21">
        <v>0.7</v>
      </c>
      <c r="V172" s="21">
        <v>0.7</v>
      </c>
      <c r="W172" s="25">
        <f t="shared" ref="W172" si="99">(Q172*R172*2+Q172*S172*2+R172*S172*2)/V172</f>
        <v>797.14285714285722</v>
      </c>
      <c r="X172" s="25">
        <f t="shared" ref="X172" si="100">Q172*R172*S172*U172</f>
        <v>283.5</v>
      </c>
      <c r="Y172" s="21">
        <v>1</v>
      </c>
      <c r="Z172" s="24">
        <f t="shared" si="85"/>
        <v>797.14285714285722</v>
      </c>
      <c r="AA172" s="24">
        <f t="shared" si="86"/>
        <v>283.5</v>
      </c>
      <c r="AB172" s="21"/>
      <c r="AC172" s="21"/>
      <c r="AD172" s="21"/>
      <c r="AE172" s="21"/>
      <c r="AF172" s="21" t="s">
        <v>247</v>
      </c>
      <c r="AG172" s="21"/>
      <c r="AH172" s="24"/>
      <c r="AI172" s="24"/>
      <c r="AJ172" s="21">
        <v>283.5</v>
      </c>
      <c r="AK172" s="21">
        <v>45</v>
      </c>
      <c r="AL172" s="22" t="s">
        <v>161</v>
      </c>
      <c r="AM172" s="22">
        <v>0.11</v>
      </c>
      <c r="AN172" s="22" t="s">
        <v>1762</v>
      </c>
      <c r="AO172" s="22" t="s">
        <v>1762</v>
      </c>
      <c r="AP172" s="22" t="s">
        <v>1432</v>
      </c>
      <c r="AQ172" s="22" t="str">
        <f t="shared" si="87"/>
        <v>Microphytoplankton</v>
      </c>
      <c r="AR172" s="22">
        <v>1</v>
      </c>
      <c r="AS172" s="22">
        <v>0</v>
      </c>
      <c r="AT172" s="22">
        <v>1</v>
      </c>
      <c r="AU172" s="22">
        <v>0</v>
      </c>
      <c r="AV172" s="22">
        <v>0</v>
      </c>
      <c r="AW172" s="22">
        <v>0</v>
      </c>
      <c r="AX172" s="22">
        <v>1</v>
      </c>
      <c r="AY172" s="22">
        <v>0</v>
      </c>
      <c r="BH172" s="22">
        <f t="shared" si="47"/>
        <v>0.35564516129032253</v>
      </c>
    </row>
    <row r="173" spans="1:60">
      <c r="BH173" s="22"/>
    </row>
    <row r="174" spans="1:60">
      <c r="BH174" s="22"/>
    </row>
    <row r="175" spans="1:60" s="22" customFormat="1" ht="15" customHeight="1">
      <c r="A175" s="21" t="s">
        <v>1172</v>
      </c>
      <c r="B175" s="22" t="s">
        <v>663</v>
      </c>
      <c r="C175" s="23" t="s">
        <v>822</v>
      </c>
      <c r="D175" s="23" t="s">
        <v>965</v>
      </c>
      <c r="E175" s="22" t="s">
        <v>991</v>
      </c>
      <c r="F175" s="23" t="s">
        <v>992</v>
      </c>
      <c r="G175" s="23" t="s">
        <v>1005</v>
      </c>
      <c r="H175" s="22" t="s">
        <v>1022</v>
      </c>
      <c r="I175" s="22" t="s">
        <v>1160</v>
      </c>
      <c r="J175" s="22" t="s">
        <v>211</v>
      </c>
      <c r="M175" s="22" t="s">
        <v>1</v>
      </c>
      <c r="N175" s="22" t="s">
        <v>1173</v>
      </c>
      <c r="O175" s="22" t="s">
        <v>962</v>
      </c>
      <c r="P175" s="21">
        <v>54000</v>
      </c>
      <c r="Q175" s="21">
        <v>8</v>
      </c>
      <c r="R175" s="21">
        <v>5</v>
      </c>
      <c r="S175" s="21">
        <v>5</v>
      </c>
      <c r="T175" s="22" t="s">
        <v>281</v>
      </c>
      <c r="U175" s="21">
        <v>1</v>
      </c>
      <c r="V175" s="22">
        <v>1</v>
      </c>
      <c r="W175" s="24">
        <f t="shared" ref="W175" si="101">(4*3.14*(((Q175^1.6*R175^1.6+Q175^1.6*S175^1.6+R175^1.6+S175^1.6)/3)^(1/1.6)))*(1/V175)</f>
        <v>398.62580307118628</v>
      </c>
      <c r="X175" s="24">
        <f t="shared" ref="X175" si="102">3.14/6*Q175*R175*S175*U175</f>
        <v>104.66666666666667</v>
      </c>
      <c r="Y175" s="21">
        <v>1</v>
      </c>
      <c r="Z175" s="24">
        <f t="shared" ref="Z175" si="103">Y175*W175</f>
        <v>398.62580307118628</v>
      </c>
      <c r="AA175" s="24">
        <f t="shared" ref="AA175" si="104">Y175*X175</f>
        <v>104.66666666666667</v>
      </c>
      <c r="AB175" s="21"/>
      <c r="AC175" s="21"/>
      <c r="AD175" s="21"/>
      <c r="AE175" s="21"/>
      <c r="AF175" s="21" t="s">
        <v>247</v>
      </c>
      <c r="AG175" s="21"/>
      <c r="AH175" s="24"/>
      <c r="AI175" s="24"/>
      <c r="AJ175" s="21">
        <v>104.7</v>
      </c>
      <c r="AK175" s="21">
        <v>8</v>
      </c>
      <c r="AL175" s="22" t="s">
        <v>161</v>
      </c>
      <c r="AM175" s="22">
        <v>0.11</v>
      </c>
      <c r="AO175" s="22" t="s">
        <v>830</v>
      </c>
      <c r="AP175" s="22" t="s">
        <v>963</v>
      </c>
      <c r="AQ175" s="22" t="str">
        <f t="shared" ref="AQ175" si="105">IF(AND($AK175&lt;20,AJ175&lt;10000),"Nanophytoplankton","Microphytoplankton")</f>
        <v>Nanophytoplankton</v>
      </c>
      <c r="AR175" s="22">
        <v>1</v>
      </c>
      <c r="AS175" s="22">
        <v>1</v>
      </c>
      <c r="AT175" s="22">
        <v>0</v>
      </c>
      <c r="AU175" s="22">
        <v>0</v>
      </c>
      <c r="AV175" s="22">
        <v>0</v>
      </c>
      <c r="AW175" s="22">
        <v>0</v>
      </c>
      <c r="AX175" s="22">
        <v>1</v>
      </c>
      <c r="AY175" s="22">
        <v>0</v>
      </c>
      <c r="BH175" s="22">
        <f t="shared" si="47"/>
        <v>0.26256871948646882</v>
      </c>
    </row>
    <row r="176" spans="1:60">
      <c r="BH176" s="22"/>
    </row>
    <row r="177" spans="1:60">
      <c r="BH177" s="22"/>
    </row>
    <row r="178" spans="1:60" s="22" customFormat="1" ht="13">
      <c r="A178" s="21" t="s">
        <v>1010</v>
      </c>
      <c r="B178" s="22" t="s">
        <v>663</v>
      </c>
      <c r="C178" s="23" t="s">
        <v>822</v>
      </c>
      <c r="D178" s="23" t="s">
        <v>965</v>
      </c>
      <c r="E178" s="22" t="s">
        <v>991</v>
      </c>
      <c r="F178" s="23" t="s">
        <v>992</v>
      </c>
      <c r="G178" s="23" t="s">
        <v>1005</v>
      </c>
      <c r="H178" s="23" t="s">
        <v>1011</v>
      </c>
      <c r="I178" s="22" t="s">
        <v>1012</v>
      </c>
      <c r="J178" s="22" t="s">
        <v>1013</v>
      </c>
      <c r="N178" s="22" t="s">
        <v>1014</v>
      </c>
      <c r="O178" s="22" t="s">
        <v>962</v>
      </c>
      <c r="P178" s="21">
        <v>50810</v>
      </c>
      <c r="Q178" s="21">
        <v>13</v>
      </c>
      <c r="R178" s="21">
        <v>13</v>
      </c>
      <c r="S178" s="21">
        <v>4</v>
      </c>
      <c r="T178" s="22" t="s">
        <v>281</v>
      </c>
      <c r="U178" s="21">
        <v>1</v>
      </c>
      <c r="V178" s="22">
        <v>1</v>
      </c>
      <c r="W178" s="24">
        <f t="shared" ref="W178" si="106">(4*3.14*(((Q178^1.6*R178^1.6+Q178^1.6*S178^1.6+R178^1.6+S178^1.6)/3)^(1/1.6)))*(1/V178)</f>
        <v>1178.845694354033</v>
      </c>
      <c r="X178" s="24">
        <f t="shared" ref="X178" si="107">3.14/6*Q178*R178*S178*U178</f>
        <v>353.77333333333331</v>
      </c>
      <c r="Y178" s="21">
        <v>1</v>
      </c>
      <c r="Z178" s="24">
        <f t="shared" ref="Z178" si="108">Y178*W178</f>
        <v>1178.845694354033</v>
      </c>
      <c r="AA178" s="24">
        <f t="shared" ref="AA178" si="109">Y178*X178</f>
        <v>353.77333333333331</v>
      </c>
      <c r="AB178" s="21"/>
      <c r="AC178" s="21"/>
      <c r="AD178" s="21"/>
      <c r="AE178" s="21"/>
      <c r="AF178" s="21" t="s">
        <v>247</v>
      </c>
      <c r="AG178" s="21"/>
      <c r="AH178" s="24"/>
      <c r="AI178" s="24"/>
      <c r="AJ178" s="21">
        <v>354</v>
      </c>
      <c r="AK178" s="21">
        <v>13</v>
      </c>
      <c r="AL178" s="22" t="s">
        <v>161</v>
      </c>
      <c r="AM178" s="22">
        <v>0.11</v>
      </c>
      <c r="AO178" s="22" t="s">
        <v>1015</v>
      </c>
      <c r="AP178" s="22" t="s">
        <v>963</v>
      </c>
      <c r="AQ178" s="22" t="str">
        <f t="shared" ref="AQ178" si="110">IF(AND($AK178&lt;20,AJ178&lt;10000),"Nanophytoplankton","Microphytoplankton")</f>
        <v>Nanophytoplankton</v>
      </c>
      <c r="AR178" s="22">
        <v>1</v>
      </c>
      <c r="AS178" s="22">
        <v>1</v>
      </c>
      <c r="AT178" s="22">
        <v>0</v>
      </c>
      <c r="AU178" s="22">
        <v>0</v>
      </c>
      <c r="AV178" s="22">
        <v>0</v>
      </c>
      <c r="AW178" s="22">
        <v>0</v>
      </c>
      <c r="AX178" s="22">
        <v>1</v>
      </c>
      <c r="AY178" s="22">
        <v>0</v>
      </c>
      <c r="BH178" s="22">
        <f t="shared" si="47"/>
        <v>0.30010147640840218</v>
      </c>
    </row>
    <row r="179" spans="1:60">
      <c r="BH179" s="22"/>
    </row>
    <row r="180" spans="1:60" s="22" customFormat="1" ht="13">
      <c r="A180" s="21" t="s">
        <v>1782</v>
      </c>
      <c r="B180" s="22" t="s">
        <v>663</v>
      </c>
      <c r="C180" s="23" t="s">
        <v>822</v>
      </c>
      <c r="D180" s="23" t="s">
        <v>965</v>
      </c>
      <c r="E180" s="22" t="s">
        <v>62</v>
      </c>
      <c r="F180" s="23" t="s">
        <v>1434</v>
      </c>
      <c r="G180" s="23" t="s">
        <v>1778</v>
      </c>
      <c r="H180" s="23" t="s">
        <v>1779</v>
      </c>
      <c r="I180" s="22" t="s">
        <v>1780</v>
      </c>
      <c r="J180" s="22" t="s">
        <v>211</v>
      </c>
      <c r="M180" s="22" t="s">
        <v>1</v>
      </c>
      <c r="N180" s="22" t="s">
        <v>1056</v>
      </c>
      <c r="O180" s="22" t="s">
        <v>1430</v>
      </c>
      <c r="P180" s="21">
        <v>73510</v>
      </c>
      <c r="Q180" s="21">
        <v>63</v>
      </c>
      <c r="R180" s="21">
        <v>22.7</v>
      </c>
      <c r="S180" s="21">
        <v>22.7</v>
      </c>
      <c r="T180" s="22" t="s">
        <v>330</v>
      </c>
      <c r="U180" s="21">
        <v>1</v>
      </c>
      <c r="V180" s="22">
        <v>1</v>
      </c>
      <c r="W180" s="25">
        <f t="shared" ref="W180:W181" si="111">(Q180*R180*2+Q180*S180*2+R180*S180*2)/V180</f>
        <v>6750.98</v>
      </c>
      <c r="X180" s="25">
        <f t="shared" ref="X180:X181" si="112">Q180*R180*S180*U180</f>
        <v>32463.269999999997</v>
      </c>
      <c r="Y180" s="21">
        <v>1</v>
      </c>
      <c r="Z180" s="24">
        <f t="shared" ref="Z180:Z181" si="113">Y180*W180</f>
        <v>6750.98</v>
      </c>
      <c r="AA180" s="24">
        <f t="shared" ref="AA180:AA181" si="114">Y180*X180</f>
        <v>32463.269999999997</v>
      </c>
      <c r="AB180" s="21"/>
      <c r="AC180" s="21"/>
      <c r="AD180" s="21"/>
      <c r="AE180" s="21"/>
      <c r="AF180" s="21" t="s">
        <v>247</v>
      </c>
      <c r="AG180" s="21"/>
      <c r="AH180" s="24"/>
      <c r="AI180" s="24"/>
      <c r="AJ180" s="21">
        <v>32463.3</v>
      </c>
      <c r="AK180" s="21">
        <v>63</v>
      </c>
      <c r="AL180" s="22" t="s">
        <v>161</v>
      </c>
      <c r="AM180" s="22">
        <v>0.11</v>
      </c>
      <c r="AO180" s="22" t="s">
        <v>383</v>
      </c>
      <c r="AP180" s="22" t="s">
        <v>1432</v>
      </c>
      <c r="AQ180" s="22" t="str">
        <f t="shared" ref="AQ180:AQ181" si="115">IF(AND($AK180&lt;20,AJ180&lt;10000),"Nanophytoplankton","Microphytoplankton")</f>
        <v>Microphytoplankton</v>
      </c>
      <c r="AR180" s="22">
        <v>1</v>
      </c>
      <c r="AS180" s="22">
        <v>0</v>
      </c>
      <c r="AT180" s="22">
        <v>1</v>
      </c>
      <c r="AU180" s="22">
        <v>0</v>
      </c>
      <c r="AV180" s="22">
        <v>0</v>
      </c>
      <c r="AW180" s="22">
        <v>0</v>
      </c>
      <c r="AX180" s="22">
        <v>1</v>
      </c>
      <c r="AY180" s="22">
        <v>0</v>
      </c>
      <c r="BH180" s="22">
        <f t="shared" si="47"/>
        <v>4.8086751849361127</v>
      </c>
    </row>
    <row r="181" spans="1:60" s="22" customFormat="1" ht="13">
      <c r="A181" s="21" t="s">
        <v>2151</v>
      </c>
      <c r="B181" s="22" t="s">
        <v>663</v>
      </c>
      <c r="C181" s="23" t="s">
        <v>822</v>
      </c>
      <c r="D181" s="23" t="s">
        <v>965</v>
      </c>
      <c r="E181" s="22" t="s">
        <v>62</v>
      </c>
      <c r="F181" s="23" t="s">
        <v>1499</v>
      </c>
      <c r="G181" s="23" t="s">
        <v>1500</v>
      </c>
      <c r="H181" s="23" t="s">
        <v>1501</v>
      </c>
      <c r="I181" s="22" t="s">
        <v>2147</v>
      </c>
      <c r="J181" s="22" t="s">
        <v>1830</v>
      </c>
      <c r="N181" s="22" t="s">
        <v>694</v>
      </c>
      <c r="O181" s="22" t="s">
        <v>1430</v>
      </c>
      <c r="P181" s="22">
        <v>70657</v>
      </c>
      <c r="Q181" s="22">
        <v>19.5</v>
      </c>
      <c r="R181" s="22">
        <v>7</v>
      </c>
      <c r="S181" s="22">
        <v>3.2307692307692308</v>
      </c>
      <c r="T181" s="22" t="s">
        <v>330</v>
      </c>
      <c r="U181" s="22">
        <v>0.7</v>
      </c>
      <c r="V181" s="21">
        <v>0.7</v>
      </c>
      <c r="W181" s="25">
        <f t="shared" si="111"/>
        <v>634.61538461538464</v>
      </c>
      <c r="X181" s="25">
        <f t="shared" si="112"/>
        <v>308.7</v>
      </c>
      <c r="Y181" s="21">
        <v>1</v>
      </c>
      <c r="Z181" s="24">
        <f t="shared" si="113"/>
        <v>634.61538461538464</v>
      </c>
      <c r="AA181" s="24">
        <f t="shared" si="114"/>
        <v>308.7</v>
      </c>
      <c r="AE181" s="21"/>
      <c r="AF181" s="21" t="s">
        <v>247</v>
      </c>
      <c r="AH181" s="25"/>
      <c r="AI181" s="25"/>
      <c r="AJ181" s="21">
        <v>441</v>
      </c>
      <c r="AK181" s="21">
        <v>19.5</v>
      </c>
      <c r="AL181" s="22" t="s">
        <v>161</v>
      </c>
      <c r="AM181" s="22">
        <v>0.11</v>
      </c>
      <c r="AO181" s="22" t="s">
        <v>383</v>
      </c>
      <c r="AP181" s="22" t="s">
        <v>1432</v>
      </c>
      <c r="AQ181" s="22" t="str">
        <f t="shared" si="115"/>
        <v>Nanophytoplankton</v>
      </c>
      <c r="AR181" s="22">
        <v>0</v>
      </c>
      <c r="AS181" s="22">
        <v>0</v>
      </c>
      <c r="AT181" s="22">
        <v>0</v>
      </c>
      <c r="AU181" s="22">
        <v>1</v>
      </c>
      <c r="AV181" s="22">
        <v>1</v>
      </c>
      <c r="AW181" s="22">
        <v>0</v>
      </c>
      <c r="AX181" s="22">
        <v>1</v>
      </c>
      <c r="AY181" s="22">
        <v>0</v>
      </c>
      <c r="BH181" s="22">
        <f t="shared" si="47"/>
        <v>0.48643636363636361</v>
      </c>
    </row>
    <row r="182" spans="1:60">
      <c r="BH182" s="22"/>
    </row>
    <row r="183" spans="1:60">
      <c r="BH183" s="22"/>
    </row>
    <row r="184" spans="1:60">
      <c r="BH184" s="22"/>
    </row>
    <row r="185" spans="1:60" s="22" customFormat="1" ht="13">
      <c r="A185" s="22" t="s">
        <v>2749</v>
      </c>
      <c r="B185" s="22" t="s">
        <v>663</v>
      </c>
      <c r="C185" s="22" t="s">
        <v>2223</v>
      </c>
      <c r="D185" s="22" t="s">
        <v>2224</v>
      </c>
      <c r="E185" s="23" t="s">
        <v>63</v>
      </c>
      <c r="F185" s="23" t="s">
        <v>2225</v>
      </c>
      <c r="G185" s="23" t="s">
        <v>2226</v>
      </c>
      <c r="H185" s="22" t="s">
        <v>2239</v>
      </c>
      <c r="I185" s="22" t="s">
        <v>2745</v>
      </c>
      <c r="J185" s="22" t="s">
        <v>211</v>
      </c>
      <c r="M185" s="22" t="s">
        <v>1</v>
      </c>
      <c r="N185" s="22" t="s">
        <v>228</v>
      </c>
      <c r="O185" s="22" t="s">
        <v>2229</v>
      </c>
      <c r="P185" s="22">
        <v>81314</v>
      </c>
      <c r="Q185" s="22">
        <v>15</v>
      </c>
      <c r="R185" s="22">
        <v>4</v>
      </c>
      <c r="S185" s="22">
        <v>4</v>
      </c>
      <c r="T185" s="21" t="s">
        <v>159</v>
      </c>
      <c r="U185" s="21">
        <v>1</v>
      </c>
      <c r="V185" s="21">
        <v>1</v>
      </c>
      <c r="W185" s="24">
        <f t="shared" ref="W185" si="116">(4*3.14*(((Q185^1.6*R185^1.6+Q185^1.6*S185^1.6+R185^1.6+S185^1.6)/3)^(1/1.6)))*(1/V185)</f>
        <v>589.69100143634637</v>
      </c>
      <c r="X185" s="24">
        <f t="shared" ref="X185" si="117">3.14/6*Q185*R185*S185*U185</f>
        <v>125.6</v>
      </c>
      <c r="Y185" s="22">
        <v>4</v>
      </c>
      <c r="Z185" s="24">
        <f t="shared" ref="Z185:Z186" si="118">Y185*W185</f>
        <v>2358.7640057453855</v>
      </c>
      <c r="AA185" s="24">
        <f t="shared" ref="AA185:AA186" si="119">Y185*X185</f>
        <v>502.4</v>
      </c>
      <c r="AB185" s="21">
        <v>40</v>
      </c>
      <c r="AC185" s="21">
        <v>40</v>
      </c>
      <c r="AD185" s="21">
        <v>40</v>
      </c>
      <c r="AE185" s="21" t="s">
        <v>159</v>
      </c>
      <c r="AF185" s="21">
        <v>0.3</v>
      </c>
      <c r="AG185" s="21">
        <v>1</v>
      </c>
      <c r="AH185" s="24">
        <f t="shared" ref="AH185" si="120">(4*3.14*(((AB185^1.6*AC185^1.6+AB185^1.6*AD185^1.6+AC185^1.6+AD185^1.6)/3)^(1/1.6)))*(1/AG185)</f>
        <v>15624.046118762988</v>
      </c>
      <c r="AI185" s="24">
        <f t="shared" ref="AI185" si="121">3.14/6*AB185*AC185*AD185*AF185</f>
        <v>10048</v>
      </c>
      <c r="AJ185" s="21">
        <v>502.4</v>
      </c>
      <c r="AK185" s="21">
        <v>15</v>
      </c>
      <c r="AL185" s="22" t="s">
        <v>161</v>
      </c>
      <c r="AM185" s="22">
        <v>0.16</v>
      </c>
      <c r="AO185" s="22" t="s">
        <v>2282</v>
      </c>
      <c r="AP185" s="22" t="s">
        <v>230</v>
      </c>
      <c r="AQ185" s="22" t="str">
        <f t="shared" ref="AQ185:AQ186" si="122">IF(AND($AK185&lt;20,AJ185&lt;10000),"Nanophytoplankton","Microphytoplankton")</f>
        <v>Nanophytoplankton</v>
      </c>
      <c r="AR185" s="22">
        <v>0</v>
      </c>
      <c r="AS185" s="22">
        <v>0</v>
      </c>
      <c r="AT185" s="22">
        <v>0</v>
      </c>
      <c r="AU185" s="22">
        <v>1</v>
      </c>
      <c r="AV185" s="22">
        <v>0</v>
      </c>
      <c r="AW185" s="22">
        <v>0</v>
      </c>
      <c r="AX185" s="22">
        <v>0</v>
      </c>
      <c r="AY185" s="22">
        <v>1</v>
      </c>
      <c r="BH185" s="22">
        <f t="shared" si="47"/>
        <v>0.21299290593559747</v>
      </c>
    </row>
    <row r="186" spans="1:60" s="22" customFormat="1" ht="13">
      <c r="A186" s="21" t="s">
        <v>632</v>
      </c>
      <c r="B186" s="22" t="s">
        <v>149</v>
      </c>
      <c r="C186" s="22" t="s">
        <v>150</v>
      </c>
      <c r="D186" s="23" t="s">
        <v>151</v>
      </c>
      <c r="E186" s="22" t="s">
        <v>61</v>
      </c>
      <c r="F186" s="22" t="s">
        <v>152</v>
      </c>
      <c r="G186" s="22" t="s">
        <v>60</v>
      </c>
      <c r="H186" s="22" t="s">
        <v>293</v>
      </c>
      <c r="I186" s="22" t="s">
        <v>624</v>
      </c>
      <c r="J186" s="22" t="s">
        <v>211</v>
      </c>
      <c r="M186" s="22" t="s">
        <v>1</v>
      </c>
      <c r="N186" s="22" t="s">
        <v>228</v>
      </c>
      <c r="O186" s="22" t="s">
        <v>158</v>
      </c>
      <c r="P186" s="21">
        <v>11311</v>
      </c>
      <c r="Q186" s="21">
        <v>2</v>
      </c>
      <c r="R186" s="21">
        <v>1</v>
      </c>
      <c r="S186" s="21">
        <v>1</v>
      </c>
      <c r="T186" s="21" t="s">
        <v>159</v>
      </c>
      <c r="U186" s="21">
        <v>1</v>
      </c>
      <c r="V186" s="22">
        <v>1</v>
      </c>
      <c r="W186" s="24">
        <f>(4*3.14*(((Q186^1.6*R186^1.6+Q186^1.6*S186^1.6+R186^1.6+S186^1.6)/3)^(1/1.6)))*(1/V186)</f>
        <v>23.299401511037011</v>
      </c>
      <c r="X186" s="24">
        <f>3.14/6*Q186*R186*S186*U186</f>
        <v>1.0466666666666666</v>
      </c>
      <c r="Y186" s="21">
        <v>1</v>
      </c>
      <c r="Z186" s="24">
        <f t="shared" si="118"/>
        <v>23.299401511037011</v>
      </c>
      <c r="AA186" s="24">
        <f t="shared" si="119"/>
        <v>1.0466666666666666</v>
      </c>
      <c r="AB186" s="21"/>
      <c r="AC186" s="21"/>
      <c r="AD186" s="21"/>
      <c r="AE186" s="21"/>
      <c r="AF186" s="21" t="s">
        <v>247</v>
      </c>
      <c r="AG186" s="21"/>
      <c r="AH186" s="24"/>
      <c r="AI186" s="24"/>
      <c r="AJ186" s="21">
        <v>1.0466666666666666</v>
      </c>
      <c r="AK186" s="21">
        <v>2</v>
      </c>
      <c r="AL186" s="22" t="s">
        <v>304</v>
      </c>
      <c r="AM186" s="22">
        <v>0.22</v>
      </c>
      <c r="AN186" s="22" t="s">
        <v>368</v>
      </c>
      <c r="AO186" s="22" t="s">
        <v>229</v>
      </c>
      <c r="AP186" s="22" t="s">
        <v>626</v>
      </c>
      <c r="AQ186" s="22" t="str">
        <f t="shared" si="122"/>
        <v>Nanophytoplankton</v>
      </c>
      <c r="AR186" s="22">
        <v>0</v>
      </c>
      <c r="AS186" s="22">
        <v>0</v>
      </c>
      <c r="AT186" s="22">
        <v>0</v>
      </c>
      <c r="AU186" s="22">
        <v>0</v>
      </c>
      <c r="AV186" s="22">
        <v>0</v>
      </c>
      <c r="AW186" s="22">
        <v>0</v>
      </c>
      <c r="AX186" s="22">
        <v>0</v>
      </c>
      <c r="AY186" s="22">
        <v>1</v>
      </c>
      <c r="BH186" s="22">
        <f t="shared" si="47"/>
        <v>4.4922470054471433E-2</v>
      </c>
    </row>
    <row r="187" spans="1:60">
      <c r="BH187" s="22"/>
    </row>
    <row r="188" spans="1:60">
      <c r="BH188" s="22"/>
    </row>
    <row r="189" spans="1:60" s="22" customFormat="1" ht="13">
      <c r="A189" s="22" t="s">
        <v>1021</v>
      </c>
      <c r="B189" s="22" t="s">
        <v>663</v>
      </c>
      <c r="C189" s="23" t="s">
        <v>822</v>
      </c>
      <c r="D189" s="23" t="s">
        <v>965</v>
      </c>
      <c r="E189" s="22" t="s">
        <v>991</v>
      </c>
      <c r="F189" s="23" t="s">
        <v>992</v>
      </c>
      <c r="G189" s="23" t="s">
        <v>1005</v>
      </c>
      <c r="H189" s="22" t="s">
        <v>1022</v>
      </c>
      <c r="I189" s="22" t="s">
        <v>1023</v>
      </c>
      <c r="J189" s="22" t="s">
        <v>211</v>
      </c>
      <c r="N189" s="22" t="s">
        <v>1024</v>
      </c>
      <c r="O189" s="22" t="s">
        <v>962</v>
      </c>
      <c r="P189" s="22">
        <v>52101</v>
      </c>
      <c r="Q189" s="22">
        <v>12</v>
      </c>
      <c r="R189" s="22">
        <v>12</v>
      </c>
      <c r="S189" s="22">
        <v>12</v>
      </c>
      <c r="T189" s="22" t="s">
        <v>281</v>
      </c>
      <c r="U189" s="21">
        <v>1</v>
      </c>
      <c r="V189" s="22">
        <v>1</v>
      </c>
      <c r="W189" s="24">
        <f t="shared" ref="W189:W190" si="123">(4*3.14*(((Q189^1.6*R189^1.6+Q189^1.6*S189^1.6+R189^1.6+S189^1.6)/3)^(1/1.6)))*(1/V189)</f>
        <v>1420.171885313606</v>
      </c>
      <c r="X189" s="24">
        <f t="shared" ref="X189:X190" si="124">3.14/6*Q189*R189*S189*U189</f>
        <v>904.31999999999982</v>
      </c>
      <c r="Y189" s="21">
        <v>1</v>
      </c>
      <c r="Z189" s="24">
        <f t="shared" ref="Z189:Z192" si="125">Y189*W189</f>
        <v>1420.171885313606</v>
      </c>
      <c r="AA189" s="24">
        <f t="shared" ref="AA189:AA192" si="126">Y189*X189</f>
        <v>904.31999999999982</v>
      </c>
      <c r="AE189" s="21"/>
      <c r="AF189" s="21" t="s">
        <v>247</v>
      </c>
      <c r="AG189" s="21"/>
      <c r="AH189" s="24"/>
      <c r="AI189" s="24"/>
      <c r="AJ189" s="21">
        <v>904.31999999999982</v>
      </c>
      <c r="AK189" s="21">
        <v>12</v>
      </c>
      <c r="AL189" s="22" t="s">
        <v>161</v>
      </c>
      <c r="AM189" s="22">
        <v>0.11</v>
      </c>
      <c r="AO189" s="22" t="s">
        <v>1015</v>
      </c>
      <c r="AP189" s="22" t="s">
        <v>963</v>
      </c>
      <c r="AQ189" s="22" t="str">
        <f t="shared" ref="AQ189:AQ192" si="127">IF(AND($AK189&lt;20,AJ189&lt;10000),"Nanophytoplankton","Microphytoplankton")</f>
        <v>Nanophytoplankton</v>
      </c>
      <c r="AR189" s="22">
        <v>1</v>
      </c>
      <c r="AS189" s="22">
        <v>1</v>
      </c>
      <c r="AT189" s="22">
        <v>0</v>
      </c>
      <c r="AU189" s="22">
        <v>0</v>
      </c>
      <c r="AV189" s="22">
        <v>0</v>
      </c>
      <c r="AW189" s="22">
        <v>0</v>
      </c>
      <c r="AX189" s="22">
        <v>1</v>
      </c>
      <c r="AY189" s="22">
        <v>0</v>
      </c>
      <c r="BH189" s="22">
        <f t="shared" si="47"/>
        <v>0.63676799220701763</v>
      </c>
    </row>
    <row r="190" spans="1:60" s="22" customFormat="1" ht="13">
      <c r="A190" s="21" t="s">
        <v>3072</v>
      </c>
      <c r="B190" s="22" t="s">
        <v>663</v>
      </c>
      <c r="C190" s="22" t="s">
        <v>2223</v>
      </c>
      <c r="D190" s="22" t="s">
        <v>2224</v>
      </c>
      <c r="E190" s="23" t="s">
        <v>63</v>
      </c>
      <c r="F190" s="23" t="s">
        <v>2225</v>
      </c>
      <c r="G190" s="23" t="s">
        <v>2226</v>
      </c>
      <c r="H190" s="22" t="s">
        <v>2457</v>
      </c>
      <c r="I190" s="22" t="s">
        <v>3071</v>
      </c>
      <c r="J190" s="22" t="s">
        <v>268</v>
      </c>
      <c r="N190" s="22" t="s">
        <v>3073</v>
      </c>
      <c r="O190" s="22" t="s">
        <v>2229</v>
      </c>
      <c r="P190" s="21">
        <v>83912</v>
      </c>
      <c r="Q190" s="21">
        <v>6</v>
      </c>
      <c r="R190" s="21">
        <v>3</v>
      </c>
      <c r="S190" s="21">
        <v>3</v>
      </c>
      <c r="T190" s="21" t="s">
        <v>159</v>
      </c>
      <c r="U190" s="21">
        <v>1</v>
      </c>
      <c r="V190" s="21">
        <v>1</v>
      </c>
      <c r="W190" s="24">
        <f t="shared" si="123"/>
        <v>181.64401962190658</v>
      </c>
      <c r="X190" s="24">
        <f t="shared" si="124"/>
        <v>28.259999999999994</v>
      </c>
      <c r="Y190" s="21">
        <v>4</v>
      </c>
      <c r="Z190" s="24">
        <f t="shared" si="125"/>
        <v>726.57607848762632</v>
      </c>
      <c r="AA190" s="24">
        <f t="shared" si="126"/>
        <v>113.03999999999998</v>
      </c>
      <c r="AB190" s="21">
        <v>10</v>
      </c>
      <c r="AC190" s="21">
        <v>10</v>
      </c>
      <c r="AD190" s="21">
        <v>3</v>
      </c>
      <c r="AE190" s="21" t="s">
        <v>246</v>
      </c>
      <c r="AF190" s="21">
        <v>0.7</v>
      </c>
      <c r="AG190" s="21">
        <v>0.7</v>
      </c>
      <c r="AH190" s="25">
        <f>4*3.14*(AC190/2)*(AB190/2)/AG190</f>
        <v>448.57142857142861</v>
      </c>
      <c r="AI190" s="25">
        <f>(3.14/6*(AD190*AB190*AC190))*AF190</f>
        <v>109.89999999999999</v>
      </c>
      <c r="AJ190" s="21">
        <v>113.03999999999999</v>
      </c>
      <c r="AK190" s="21">
        <v>12</v>
      </c>
      <c r="AL190" s="22" t="s">
        <v>161</v>
      </c>
      <c r="AM190" s="22">
        <v>0.16</v>
      </c>
      <c r="AP190" s="22" t="s">
        <v>162</v>
      </c>
      <c r="AQ190" s="22" t="str">
        <f t="shared" si="127"/>
        <v>Nanophytoplankton</v>
      </c>
      <c r="AR190" s="22">
        <v>0</v>
      </c>
      <c r="AS190" s="22">
        <v>0</v>
      </c>
      <c r="AT190" s="22">
        <v>0</v>
      </c>
      <c r="AU190" s="22">
        <v>1</v>
      </c>
      <c r="AV190" s="22">
        <v>0</v>
      </c>
      <c r="AW190" s="22">
        <v>0</v>
      </c>
      <c r="AX190" s="22">
        <v>0</v>
      </c>
      <c r="AY190" s="22">
        <v>1</v>
      </c>
      <c r="BH190" s="22">
        <f t="shared" si="47"/>
        <v>0.15557902791858164</v>
      </c>
    </row>
    <row r="191" spans="1:60" s="22" customFormat="1" ht="13">
      <c r="A191" s="22" t="s">
        <v>546</v>
      </c>
      <c r="B191" s="22" t="s">
        <v>149</v>
      </c>
      <c r="C191" s="22" t="s">
        <v>150</v>
      </c>
      <c r="D191" s="23" t="s">
        <v>151</v>
      </c>
      <c r="E191" s="22" t="s">
        <v>61</v>
      </c>
      <c r="F191" s="22" t="s">
        <v>152</v>
      </c>
      <c r="G191" s="23" t="s">
        <v>153</v>
      </c>
      <c r="H191" s="23" t="s">
        <v>543</v>
      </c>
      <c r="I191" s="22" t="s">
        <v>544</v>
      </c>
      <c r="J191" s="22" t="s">
        <v>211</v>
      </c>
      <c r="M191" s="22" t="s">
        <v>1</v>
      </c>
      <c r="N191" s="22" t="s">
        <v>547</v>
      </c>
      <c r="O191" s="22" t="s">
        <v>158</v>
      </c>
      <c r="P191" s="21">
        <v>12100</v>
      </c>
      <c r="Q191" s="22">
        <v>5</v>
      </c>
      <c r="R191" s="22">
        <v>5</v>
      </c>
      <c r="S191" s="22">
        <v>5</v>
      </c>
      <c r="T191" s="21" t="s">
        <v>160</v>
      </c>
      <c r="U191" s="21">
        <v>1</v>
      </c>
      <c r="V191" s="22">
        <v>1</v>
      </c>
      <c r="W191" s="24">
        <f t="shared" ref="W191" si="128">3.14*R191*Q191+2*3.14*(S191/2)^2/V191</f>
        <v>117.75</v>
      </c>
      <c r="X191" s="25">
        <f t="shared" ref="X191" si="129">(3.14/4*R191^2*Q191)*U191</f>
        <v>98.125</v>
      </c>
      <c r="Y191" s="22">
        <v>20</v>
      </c>
      <c r="Z191" s="24">
        <f t="shared" si="125"/>
        <v>2355</v>
      </c>
      <c r="AA191" s="24">
        <f t="shared" si="126"/>
        <v>1962.5</v>
      </c>
      <c r="AB191" s="22">
        <v>100</v>
      </c>
      <c r="AC191" s="22">
        <v>5</v>
      </c>
      <c r="AD191" s="22">
        <v>5</v>
      </c>
      <c r="AE191" s="21" t="s">
        <v>160</v>
      </c>
      <c r="AF191" s="21">
        <v>1</v>
      </c>
      <c r="AG191" s="22">
        <v>1</v>
      </c>
      <c r="AH191" s="24">
        <f t="shared" ref="AH191" si="130">3.14*AC191*AB191+2*3.14*(AD191/2)^2/AG191</f>
        <v>1609.25</v>
      </c>
      <c r="AI191" s="25">
        <f t="shared" ref="AI191" si="131">(3.14/4*AC191^2*AB191)*AF191</f>
        <v>1962.5</v>
      </c>
      <c r="AJ191" s="21">
        <v>1962.5</v>
      </c>
      <c r="AK191" s="21">
        <v>100</v>
      </c>
      <c r="AL191" s="22" t="s">
        <v>161</v>
      </c>
      <c r="AM191" s="22">
        <v>0.22</v>
      </c>
      <c r="AO191" s="22" t="s">
        <v>476</v>
      </c>
      <c r="AP191" s="22" t="s">
        <v>169</v>
      </c>
      <c r="AQ191" s="22" t="str">
        <f t="shared" si="127"/>
        <v>Microphytoplankton</v>
      </c>
      <c r="AR191" s="22">
        <v>0</v>
      </c>
      <c r="AS191" s="22">
        <v>0</v>
      </c>
      <c r="AT191" s="22">
        <v>0</v>
      </c>
      <c r="AU191" s="22">
        <v>1</v>
      </c>
      <c r="AV191" s="22">
        <v>1</v>
      </c>
      <c r="AW191" s="22">
        <v>0</v>
      </c>
      <c r="AX191" s="22">
        <v>0</v>
      </c>
      <c r="AY191" s="22">
        <v>1</v>
      </c>
      <c r="BH191" s="22">
        <f t="shared" si="47"/>
        <v>0.83333333333333337</v>
      </c>
    </row>
    <row r="192" spans="1:60" s="22" customFormat="1" ht="13">
      <c r="A192" s="21" t="s">
        <v>1421</v>
      </c>
      <c r="B192" s="22" t="s">
        <v>663</v>
      </c>
      <c r="C192" s="23" t="s">
        <v>822</v>
      </c>
      <c r="D192" s="23" t="s">
        <v>965</v>
      </c>
      <c r="E192" s="22" t="s">
        <v>991</v>
      </c>
      <c r="F192" s="22" t="s">
        <v>1347</v>
      </c>
      <c r="G192" s="22" t="s">
        <v>1354</v>
      </c>
      <c r="H192" s="22" t="s">
        <v>1355</v>
      </c>
      <c r="I192" s="22" t="s">
        <v>1413</v>
      </c>
      <c r="J192" s="22" t="s">
        <v>211</v>
      </c>
      <c r="M192" s="22" t="s">
        <v>1</v>
      </c>
      <c r="N192" s="22" t="s">
        <v>1422</v>
      </c>
      <c r="O192" s="22" t="s">
        <v>1352</v>
      </c>
      <c r="P192" s="21">
        <v>61120</v>
      </c>
      <c r="Q192" s="22">
        <v>8</v>
      </c>
      <c r="R192" s="22">
        <v>3.8</v>
      </c>
      <c r="S192" s="22">
        <v>3.8</v>
      </c>
      <c r="T192" s="21" t="s">
        <v>160</v>
      </c>
      <c r="U192" s="21">
        <v>1</v>
      </c>
      <c r="V192" s="22">
        <v>1</v>
      </c>
      <c r="W192" s="24">
        <f>3.14*R192*Q192+2*3.14*(S192/2)^2/V192</f>
        <v>118.1268</v>
      </c>
      <c r="X192" s="25">
        <f>(3.14/4*R192^2*Q192)*U192</f>
        <v>90.683199999999999</v>
      </c>
      <c r="Y192" s="22">
        <v>12.5</v>
      </c>
      <c r="Z192" s="24">
        <f t="shared" si="125"/>
        <v>1476.585</v>
      </c>
      <c r="AA192" s="24">
        <f t="shared" si="126"/>
        <v>1133.54</v>
      </c>
      <c r="AB192" s="22">
        <v>100</v>
      </c>
      <c r="AC192" s="22">
        <v>3.8</v>
      </c>
      <c r="AD192" s="22">
        <v>3.8</v>
      </c>
      <c r="AE192" s="21" t="s">
        <v>160</v>
      </c>
      <c r="AF192" s="21">
        <v>1</v>
      </c>
      <c r="AG192" s="21">
        <v>1</v>
      </c>
      <c r="AH192" s="24">
        <f>3.14*AC192*AB192+2*3.14*(AD192/2)^2/AG192</f>
        <v>1215.8708000000001</v>
      </c>
      <c r="AI192" s="25">
        <f>(3.14/4*AC192^2*AB192)*AF192</f>
        <v>1133.54</v>
      </c>
      <c r="AJ192" s="21">
        <v>1133.5</v>
      </c>
      <c r="AK192" s="21">
        <v>100</v>
      </c>
      <c r="AL192" s="22" t="s">
        <v>161</v>
      </c>
      <c r="AM192" s="22">
        <v>0.11</v>
      </c>
      <c r="AN192" s="22" t="s">
        <v>1357</v>
      </c>
      <c r="AO192" s="22" t="s">
        <v>1357</v>
      </c>
      <c r="AP192" s="22" t="s">
        <v>162</v>
      </c>
      <c r="AQ192" s="22" t="str">
        <f t="shared" si="127"/>
        <v>Microphytoplankton</v>
      </c>
      <c r="AR192" s="22">
        <v>0</v>
      </c>
      <c r="AS192" s="22">
        <v>0</v>
      </c>
      <c r="AT192" s="22">
        <v>0</v>
      </c>
      <c r="AU192" s="22">
        <v>1</v>
      </c>
      <c r="AV192" s="22">
        <v>1</v>
      </c>
      <c r="AW192" s="22">
        <v>0</v>
      </c>
      <c r="AX192" s="22">
        <v>0</v>
      </c>
      <c r="AY192" s="22">
        <v>1</v>
      </c>
      <c r="BH192" s="22">
        <f t="shared" si="47"/>
        <v>0.76767676767676762</v>
      </c>
    </row>
    <row r="193" spans="1:60">
      <c r="BH193" s="22"/>
    </row>
    <row r="194" spans="1:60" s="22" customFormat="1" ht="13">
      <c r="A194" s="21" t="s">
        <v>1627</v>
      </c>
      <c r="B194" s="22" t="s">
        <v>663</v>
      </c>
      <c r="C194" s="23" t="s">
        <v>822</v>
      </c>
      <c r="D194" s="23" t="s">
        <v>965</v>
      </c>
      <c r="E194" s="22" t="s">
        <v>62</v>
      </c>
      <c r="F194" s="22" t="s">
        <v>1424</v>
      </c>
      <c r="G194" s="23" t="s">
        <v>1553</v>
      </c>
      <c r="H194" s="23" t="s">
        <v>1554</v>
      </c>
      <c r="I194" s="22" t="s">
        <v>42</v>
      </c>
      <c r="J194" s="21" t="s">
        <v>1628</v>
      </c>
      <c r="K194" s="21"/>
      <c r="L194" s="21"/>
      <c r="N194" s="22" t="s">
        <v>1629</v>
      </c>
      <c r="O194" s="22" t="s">
        <v>1430</v>
      </c>
      <c r="P194" s="21">
        <v>70295</v>
      </c>
      <c r="Q194" s="22">
        <v>10</v>
      </c>
      <c r="R194" s="22">
        <v>10</v>
      </c>
      <c r="S194" s="22">
        <v>4</v>
      </c>
      <c r="T194" s="21" t="s">
        <v>160</v>
      </c>
      <c r="U194" s="21">
        <v>1</v>
      </c>
      <c r="V194" s="22">
        <v>1</v>
      </c>
      <c r="W194" s="24">
        <f t="shared" ref="W194" si="132">3.14*R194*Q194+2*3.14*(S194/2)^2/V194</f>
        <v>339.12</v>
      </c>
      <c r="X194" s="25">
        <f t="shared" ref="X194" si="133">(3.14/4*R194^2*Q194)*U194</f>
        <v>785</v>
      </c>
      <c r="Y194" s="22">
        <v>1</v>
      </c>
      <c r="Z194" s="24">
        <f t="shared" ref="Z194:Z196" si="134">Y194*W194</f>
        <v>339.12</v>
      </c>
      <c r="AA194" s="24">
        <f t="shared" ref="AA194:AA196" si="135">Y194*X194</f>
        <v>785</v>
      </c>
      <c r="AF194" s="21" t="s">
        <v>247</v>
      </c>
      <c r="AH194" s="25"/>
      <c r="AI194" s="25"/>
      <c r="AJ194" s="21">
        <v>314.2</v>
      </c>
      <c r="AK194" s="21">
        <v>10</v>
      </c>
      <c r="AL194" s="22" t="s">
        <v>161</v>
      </c>
      <c r="AM194" s="22">
        <v>0.11</v>
      </c>
      <c r="AO194" s="22" t="s">
        <v>1529</v>
      </c>
      <c r="AP194" s="22" t="s">
        <v>1432</v>
      </c>
      <c r="AQ194" s="22" t="str">
        <f t="shared" ref="AQ194:AQ196" si="136">IF(AND($AK194&lt;20,AJ194&lt;10000),"Nanophytoplankton","Microphytoplankton")</f>
        <v>Nanophytoplankton</v>
      </c>
      <c r="AR194" s="22">
        <v>0</v>
      </c>
      <c r="AS194" s="22">
        <v>0</v>
      </c>
      <c r="AT194" s="22">
        <v>0</v>
      </c>
      <c r="AU194" s="22">
        <v>0</v>
      </c>
      <c r="AV194" s="22">
        <v>0</v>
      </c>
      <c r="AW194" s="22">
        <v>0</v>
      </c>
      <c r="AX194" s="22">
        <v>1</v>
      </c>
      <c r="AY194" s="22">
        <v>0</v>
      </c>
      <c r="AZ194" s="22">
        <v>0</v>
      </c>
      <c r="BA194" s="22">
        <v>0</v>
      </c>
      <c r="BB194" s="22">
        <v>0</v>
      </c>
      <c r="BC194" s="22">
        <v>3</v>
      </c>
      <c r="BD194" s="22">
        <v>5</v>
      </c>
      <c r="BE194" s="22">
        <v>2</v>
      </c>
      <c r="BH194" s="22">
        <f t="shared" si="47"/>
        <v>2.3148148148148149</v>
      </c>
    </row>
    <row r="195" spans="1:60" s="29" customFormat="1" ht="13">
      <c r="A195" s="21" t="s">
        <v>1860</v>
      </c>
      <c r="B195" s="22" t="s">
        <v>663</v>
      </c>
      <c r="C195" s="23" t="s">
        <v>822</v>
      </c>
      <c r="D195" s="23" t="s">
        <v>965</v>
      </c>
      <c r="E195" s="22" t="s">
        <v>62</v>
      </c>
      <c r="F195" s="23" t="s">
        <v>1499</v>
      </c>
      <c r="G195" s="23" t="s">
        <v>1500</v>
      </c>
      <c r="H195" s="23" t="s">
        <v>1501</v>
      </c>
      <c r="I195" s="22" t="s">
        <v>1805</v>
      </c>
      <c r="J195" s="21" t="s">
        <v>211</v>
      </c>
      <c r="K195" s="21"/>
      <c r="L195" s="21"/>
      <c r="M195" s="22" t="s">
        <v>1</v>
      </c>
      <c r="N195" s="22" t="s">
        <v>1861</v>
      </c>
      <c r="O195" s="22" t="s">
        <v>1430</v>
      </c>
      <c r="P195" s="21">
        <v>70600</v>
      </c>
      <c r="Q195" s="21">
        <v>15</v>
      </c>
      <c r="R195" s="21">
        <v>4</v>
      </c>
      <c r="S195" s="21">
        <v>2.5</v>
      </c>
      <c r="T195" s="22" t="s">
        <v>330</v>
      </c>
      <c r="U195" s="21">
        <v>0.6</v>
      </c>
      <c r="V195" s="21">
        <v>0.6</v>
      </c>
      <c r="W195" s="25">
        <f t="shared" ref="W195:W196" si="137">(Q195*R195*2+Q195*S195*2+R195*S195*2)/V195</f>
        <v>358.33333333333337</v>
      </c>
      <c r="X195" s="25">
        <f t="shared" ref="X195:X196" si="138">Q195*R195*S195*U195</f>
        <v>90</v>
      </c>
      <c r="Y195" s="21">
        <v>1</v>
      </c>
      <c r="Z195" s="24">
        <f t="shared" si="134"/>
        <v>358.33333333333337</v>
      </c>
      <c r="AA195" s="24">
        <f t="shared" si="135"/>
        <v>90</v>
      </c>
      <c r="AB195" s="21"/>
      <c r="AC195" s="21"/>
      <c r="AD195" s="21"/>
      <c r="AE195" s="21"/>
      <c r="AF195" s="21" t="s">
        <v>247</v>
      </c>
      <c r="AG195" s="21"/>
      <c r="AH195" s="24"/>
      <c r="AI195" s="24"/>
      <c r="AJ195" s="21">
        <v>90</v>
      </c>
      <c r="AK195" s="21">
        <v>15</v>
      </c>
      <c r="AL195" s="22" t="s">
        <v>161</v>
      </c>
      <c r="AM195" s="22">
        <v>0.11</v>
      </c>
      <c r="AN195" s="22"/>
      <c r="AO195" s="22" t="s">
        <v>1762</v>
      </c>
      <c r="AP195" s="22" t="s">
        <v>1432</v>
      </c>
      <c r="AQ195" s="22" t="str">
        <f t="shared" si="136"/>
        <v>Nanophytoplankton</v>
      </c>
      <c r="AR195" s="22">
        <v>0</v>
      </c>
      <c r="AS195" s="22">
        <v>0</v>
      </c>
      <c r="AT195" s="22">
        <v>0</v>
      </c>
      <c r="AU195" s="22">
        <v>1</v>
      </c>
      <c r="AV195" s="22">
        <v>0</v>
      </c>
      <c r="AW195" s="22">
        <v>0</v>
      </c>
      <c r="AX195" s="22">
        <v>1</v>
      </c>
      <c r="AY195" s="22">
        <v>0</v>
      </c>
      <c r="AZ195" s="22"/>
      <c r="BA195" s="22"/>
      <c r="BB195" s="22"/>
      <c r="BC195" s="22"/>
      <c r="BD195" s="22"/>
      <c r="BE195" s="22"/>
      <c r="BH195" s="22">
        <f t="shared" si="47"/>
        <v>0.25116279069767439</v>
      </c>
    </row>
    <row r="196" spans="1:60" s="22" customFormat="1" ht="13">
      <c r="A196" s="21" t="s">
        <v>1727</v>
      </c>
      <c r="B196" s="22" t="s">
        <v>663</v>
      </c>
      <c r="C196" s="23" t="s">
        <v>822</v>
      </c>
      <c r="D196" s="23" t="s">
        <v>965</v>
      </c>
      <c r="E196" s="22" t="s">
        <v>62</v>
      </c>
      <c r="F196" s="23" t="s">
        <v>1499</v>
      </c>
      <c r="G196" s="23" t="s">
        <v>1500</v>
      </c>
      <c r="H196" s="23" t="s">
        <v>1501</v>
      </c>
      <c r="I196" s="22" t="s">
        <v>1723</v>
      </c>
      <c r="J196" s="22" t="s">
        <v>1728</v>
      </c>
      <c r="N196" s="22" t="s">
        <v>486</v>
      </c>
      <c r="O196" s="22" t="s">
        <v>1430</v>
      </c>
      <c r="P196" s="21">
        <v>70450</v>
      </c>
      <c r="Q196" s="21">
        <v>30</v>
      </c>
      <c r="R196" s="21">
        <v>10</v>
      </c>
      <c r="S196" s="21">
        <v>3</v>
      </c>
      <c r="T196" s="22" t="s">
        <v>330</v>
      </c>
      <c r="U196" s="21">
        <v>1</v>
      </c>
      <c r="V196" s="22">
        <v>1</v>
      </c>
      <c r="W196" s="25">
        <f t="shared" si="137"/>
        <v>840</v>
      </c>
      <c r="X196" s="25">
        <f t="shared" si="138"/>
        <v>900</v>
      </c>
      <c r="Y196" s="21">
        <v>1</v>
      </c>
      <c r="Z196" s="24">
        <f t="shared" si="134"/>
        <v>840</v>
      </c>
      <c r="AA196" s="24">
        <f t="shared" si="135"/>
        <v>900</v>
      </c>
      <c r="AB196" s="21"/>
      <c r="AC196" s="21"/>
      <c r="AD196" s="21"/>
      <c r="AE196" s="21"/>
      <c r="AF196" s="21" t="s">
        <v>247</v>
      </c>
      <c r="AG196" s="21"/>
      <c r="AH196" s="24"/>
      <c r="AI196" s="24"/>
      <c r="AJ196" s="21">
        <v>900</v>
      </c>
      <c r="AK196" s="21">
        <v>30</v>
      </c>
      <c r="AL196" s="22" t="s">
        <v>161</v>
      </c>
      <c r="AM196" s="22">
        <v>0.11</v>
      </c>
      <c r="AO196" s="22" t="s">
        <v>383</v>
      </c>
      <c r="AP196" s="22" t="s">
        <v>1432</v>
      </c>
      <c r="AQ196" s="22" t="str">
        <f t="shared" si="136"/>
        <v>Microphytoplankton</v>
      </c>
      <c r="AR196" s="22">
        <v>0</v>
      </c>
      <c r="AS196" s="22">
        <v>0</v>
      </c>
      <c r="AT196" s="22">
        <v>0</v>
      </c>
      <c r="AU196" s="22">
        <v>1</v>
      </c>
      <c r="AV196" s="22">
        <v>0</v>
      </c>
      <c r="AW196" s="22">
        <v>0</v>
      </c>
      <c r="AX196" s="22">
        <v>1</v>
      </c>
      <c r="AY196" s="22">
        <v>0</v>
      </c>
      <c r="BH196" s="22">
        <f t="shared" ref="BH196:BH212" si="139">X196/W196</f>
        <v>1.0714285714285714</v>
      </c>
    </row>
    <row r="197" spans="1:60">
      <c r="BH197" s="22"/>
    </row>
    <row r="198" spans="1:60" s="22" customFormat="1" ht="28">
      <c r="A198" s="21" t="s">
        <v>590</v>
      </c>
      <c r="B198" s="22" t="s">
        <v>149</v>
      </c>
      <c r="C198" s="22" t="s">
        <v>150</v>
      </c>
      <c r="D198" s="23" t="s">
        <v>151</v>
      </c>
      <c r="E198" s="22" t="s">
        <v>61</v>
      </c>
      <c r="F198" s="22" t="s">
        <v>152</v>
      </c>
      <c r="G198" s="20" t="s">
        <v>153</v>
      </c>
      <c r="H198" s="22" t="s">
        <v>154</v>
      </c>
      <c r="I198" s="22" t="s">
        <v>563</v>
      </c>
      <c r="J198" s="22" t="s">
        <v>211</v>
      </c>
      <c r="M198" s="22" t="s">
        <v>1</v>
      </c>
      <c r="N198" s="22" t="s">
        <v>574</v>
      </c>
      <c r="O198" s="22" t="s">
        <v>158</v>
      </c>
      <c r="P198" s="21">
        <v>11000</v>
      </c>
      <c r="Q198" s="21">
        <v>3</v>
      </c>
      <c r="R198" s="21">
        <v>2</v>
      </c>
      <c r="S198" s="21">
        <v>2</v>
      </c>
      <c r="T198" s="21" t="s">
        <v>160</v>
      </c>
      <c r="U198" s="21">
        <v>1</v>
      </c>
      <c r="V198" s="22">
        <v>1</v>
      </c>
      <c r="W198" s="24">
        <f t="shared" ref="W198" si="140">3.14*R198*Q198+2*3.14*(S198/2)^2/V198</f>
        <v>25.12</v>
      </c>
      <c r="X198" s="25">
        <f t="shared" ref="X198" si="141">(3.14/4*R198^2*Q198)*U198</f>
        <v>9.42</v>
      </c>
      <c r="Y198" s="21">
        <v>33.299999999999997</v>
      </c>
      <c r="Z198" s="24">
        <f t="shared" ref="Z198" si="142">Y198*W198</f>
        <v>836.49599999999998</v>
      </c>
      <c r="AA198" s="24">
        <f t="shared" ref="AA198" si="143">Y198*X198</f>
        <v>313.68599999999998</v>
      </c>
      <c r="AB198" s="21">
        <v>100</v>
      </c>
      <c r="AC198" s="21">
        <v>2</v>
      </c>
      <c r="AD198" s="21">
        <v>2</v>
      </c>
      <c r="AE198" s="21" t="s">
        <v>160</v>
      </c>
      <c r="AF198" s="21">
        <v>1</v>
      </c>
      <c r="AG198" s="22">
        <v>1</v>
      </c>
      <c r="AH198" s="24">
        <f t="shared" ref="AH198" si="144">3.14*AC198*AB198+2*3.14*(AD198/2)^2/AG198</f>
        <v>634.28</v>
      </c>
      <c r="AI198" s="25">
        <f t="shared" ref="AI198" si="145">(3.14/4*AC198^2*AB198)*AF198</f>
        <v>314</v>
      </c>
      <c r="AJ198" s="21">
        <v>314.2</v>
      </c>
      <c r="AK198" s="21">
        <v>100</v>
      </c>
      <c r="AL198" s="22" t="s">
        <v>161</v>
      </c>
      <c r="AM198" s="22">
        <v>0.22</v>
      </c>
      <c r="AN198" s="22" t="s">
        <v>388</v>
      </c>
      <c r="AO198" s="22" t="s">
        <v>388</v>
      </c>
      <c r="AP198" s="22" t="s">
        <v>162</v>
      </c>
      <c r="AQ198" s="22" t="str">
        <f t="shared" ref="AQ198" si="146">IF(AND($AK198&lt;20,AJ198&lt;10000),"Nanophytoplankton","Microphytoplankton")</f>
        <v>Microphytoplankton</v>
      </c>
      <c r="AR198" s="22">
        <v>0</v>
      </c>
      <c r="AS198" s="22">
        <v>0</v>
      </c>
      <c r="AT198" s="22">
        <v>0</v>
      </c>
      <c r="AU198" s="22">
        <v>1</v>
      </c>
      <c r="AV198" s="22">
        <v>1</v>
      </c>
      <c r="AW198" s="22">
        <v>0</v>
      </c>
      <c r="AX198" s="22">
        <v>0</v>
      </c>
      <c r="AY198" s="22">
        <v>1</v>
      </c>
      <c r="BH198" s="22">
        <f t="shared" si="139"/>
        <v>0.375</v>
      </c>
    </row>
    <row r="199" spans="1:60" s="22" customFormat="1" ht="13">
      <c r="A199" s="21" t="s">
        <v>503</v>
      </c>
      <c r="B199" s="22" t="s">
        <v>149</v>
      </c>
      <c r="C199" s="22" t="s">
        <v>150</v>
      </c>
      <c r="D199" s="23" t="s">
        <v>151</v>
      </c>
      <c r="E199" s="22" t="s">
        <v>61</v>
      </c>
      <c r="F199" s="22" t="s">
        <v>152</v>
      </c>
      <c r="G199" s="22" t="s">
        <v>60</v>
      </c>
      <c r="H199" s="22" t="s">
        <v>226</v>
      </c>
      <c r="I199" s="22" t="s">
        <v>484</v>
      </c>
      <c r="J199" s="22" t="s">
        <v>504</v>
      </c>
      <c r="N199" s="22" t="s">
        <v>167</v>
      </c>
      <c r="O199" s="22" t="s">
        <v>158</v>
      </c>
      <c r="P199" s="21">
        <v>10140</v>
      </c>
      <c r="Q199" s="21">
        <v>1</v>
      </c>
      <c r="R199" s="21">
        <v>1</v>
      </c>
      <c r="S199" s="21">
        <v>1</v>
      </c>
      <c r="T199" s="21" t="s">
        <v>281</v>
      </c>
      <c r="U199" s="21">
        <v>1</v>
      </c>
      <c r="V199" s="21">
        <v>1</v>
      </c>
      <c r="W199" s="24">
        <f>(4*3.14*(((Q199^1.6*R199^1.6+Q199^1.6*S199^1.6+R199^1.6+S199^1.6)/3)^(1/1.6)))*(1/V199)</f>
        <v>15.034062444858044</v>
      </c>
      <c r="X199" s="24">
        <f>3.14/6*Q199*R199*S199*U199</f>
        <v>0.52333333333333332</v>
      </c>
      <c r="Y199" s="21">
        <v>32</v>
      </c>
      <c r="Z199" s="24">
        <f>Y199*W199</f>
        <v>481.08999823545741</v>
      </c>
      <c r="AA199" s="24">
        <f>Y199*X199</f>
        <v>16.746666666666666</v>
      </c>
      <c r="AB199" s="21">
        <v>20</v>
      </c>
      <c r="AC199" s="21">
        <v>20</v>
      </c>
      <c r="AD199" s="21">
        <v>1</v>
      </c>
      <c r="AE199" s="21" t="s">
        <v>330</v>
      </c>
      <c r="AF199" s="21">
        <v>0.4</v>
      </c>
      <c r="AG199" s="21">
        <v>1</v>
      </c>
      <c r="AH199" s="25">
        <f>(AB199*AC199*2+AB199*AD199*2+AC199*AD199*2)/AG199</f>
        <v>880</v>
      </c>
      <c r="AI199" s="25">
        <f>AB199*AC199*AD199*AF199</f>
        <v>160</v>
      </c>
      <c r="AJ199" s="21">
        <v>16.746666666666666</v>
      </c>
      <c r="AK199" s="21">
        <v>20</v>
      </c>
      <c r="AL199" s="22" t="s">
        <v>505</v>
      </c>
      <c r="AM199" s="22">
        <v>0.22</v>
      </c>
      <c r="AN199" s="22" t="s">
        <v>331</v>
      </c>
      <c r="AO199" s="22" t="s">
        <v>331</v>
      </c>
      <c r="AP199" s="22" t="s">
        <v>230</v>
      </c>
      <c r="AQ199" s="22" t="str">
        <f>IF(AND($AK199&lt;20,AJ199&lt;10000),"Nanophytoplankton","Microphytoplankton")</f>
        <v>Microphytoplankton</v>
      </c>
      <c r="AR199" s="22">
        <v>0</v>
      </c>
      <c r="AS199" s="22">
        <v>0</v>
      </c>
      <c r="AT199" s="22">
        <v>0</v>
      </c>
      <c r="AU199" s="22">
        <v>1</v>
      </c>
      <c r="AV199" s="22">
        <v>0</v>
      </c>
      <c r="AW199" s="22">
        <v>0</v>
      </c>
      <c r="AX199" s="22">
        <v>0</v>
      </c>
      <c r="AY199" s="22">
        <v>1</v>
      </c>
      <c r="BH199" s="22">
        <f t="shared" si="139"/>
        <v>3.4809841668066506E-2</v>
      </c>
    </row>
    <row r="200" spans="1:60" s="22" customFormat="1" ht="13">
      <c r="A200" s="21" t="s">
        <v>1524</v>
      </c>
      <c r="B200" s="22" t="s">
        <v>663</v>
      </c>
      <c r="C200" s="23" t="s">
        <v>822</v>
      </c>
      <c r="D200" s="23" t="s">
        <v>965</v>
      </c>
      <c r="E200" s="22" t="s">
        <v>62</v>
      </c>
      <c r="F200" s="22" t="s">
        <v>1424</v>
      </c>
      <c r="G200" s="23" t="s">
        <v>1507</v>
      </c>
      <c r="H200" s="23" t="s">
        <v>1508</v>
      </c>
      <c r="I200" s="22" t="s">
        <v>40</v>
      </c>
      <c r="J200" s="22" t="s">
        <v>1525</v>
      </c>
      <c r="K200" s="22" t="s">
        <v>1526</v>
      </c>
      <c r="L200" s="22" t="s">
        <v>1527</v>
      </c>
      <c r="N200" s="22" t="s">
        <v>1528</v>
      </c>
      <c r="O200" s="22" t="s">
        <v>1430</v>
      </c>
      <c r="P200" s="21">
        <v>70120</v>
      </c>
      <c r="Q200" s="21">
        <v>30</v>
      </c>
      <c r="R200" s="21">
        <v>12</v>
      </c>
      <c r="S200" s="21">
        <v>12</v>
      </c>
      <c r="T200" s="21" t="s">
        <v>160</v>
      </c>
      <c r="U200" s="21">
        <v>1</v>
      </c>
      <c r="V200" s="22">
        <v>1</v>
      </c>
      <c r="W200" s="24">
        <f t="shared" ref="W200:W201" si="147">3.14*R200*Q200+2*3.14*(S200/2)^2/V200</f>
        <v>1356.48</v>
      </c>
      <c r="X200" s="25">
        <f t="shared" ref="X200:X201" si="148">(3.14/4*R200^2*Q200)*U200</f>
        <v>3391.2000000000003</v>
      </c>
      <c r="Y200" s="22">
        <v>1</v>
      </c>
      <c r="Z200" s="24">
        <f t="shared" ref="Z200:Z201" si="149">Y200*W200</f>
        <v>1356.48</v>
      </c>
      <c r="AA200" s="24">
        <f t="shared" ref="AA200:AA201" si="150">Y200*X200</f>
        <v>3391.2000000000003</v>
      </c>
      <c r="AB200" s="21"/>
      <c r="AC200" s="21"/>
      <c r="AD200" s="21"/>
      <c r="AF200" s="21" t="s">
        <v>247</v>
      </c>
      <c r="AH200" s="25"/>
      <c r="AI200" s="25"/>
      <c r="AJ200" s="21">
        <v>3392.9</v>
      </c>
      <c r="AK200" s="21">
        <v>100</v>
      </c>
      <c r="AL200" s="22" t="s">
        <v>161</v>
      </c>
      <c r="AM200" s="22">
        <v>0.11</v>
      </c>
      <c r="AN200" s="22" t="s">
        <v>1529</v>
      </c>
      <c r="AO200" s="22" t="s">
        <v>1529</v>
      </c>
      <c r="AP200" s="22" t="s">
        <v>1432</v>
      </c>
      <c r="AQ200" s="22" t="str">
        <f t="shared" ref="AQ200:AQ201" si="151">IF(AND($AK200&lt;20,AJ200&lt;10000),"Nanophytoplankton","Microphytoplankton")</f>
        <v>Microphytoplankton</v>
      </c>
      <c r="AR200" s="22">
        <v>0</v>
      </c>
      <c r="AS200" s="22">
        <v>0</v>
      </c>
      <c r="AT200" s="22">
        <v>0</v>
      </c>
      <c r="AU200" s="22">
        <v>1</v>
      </c>
      <c r="AV200" s="22">
        <v>1</v>
      </c>
      <c r="AW200" s="22">
        <v>0</v>
      </c>
      <c r="AX200" s="22">
        <v>1</v>
      </c>
      <c r="AY200" s="22">
        <v>0</v>
      </c>
      <c r="AZ200" s="22">
        <v>0</v>
      </c>
      <c r="BA200" s="22">
        <v>0</v>
      </c>
      <c r="BB200" s="22">
        <v>2</v>
      </c>
      <c r="BC200" s="22">
        <v>2</v>
      </c>
      <c r="BD200" s="22">
        <v>3</v>
      </c>
      <c r="BE200" s="22">
        <v>3</v>
      </c>
      <c r="BF200" s="22">
        <v>0</v>
      </c>
      <c r="BG200" s="22">
        <v>1</v>
      </c>
      <c r="BH200" s="22">
        <f t="shared" si="139"/>
        <v>2.5</v>
      </c>
    </row>
    <row r="201" spans="1:60" s="22" customFormat="1" ht="13">
      <c r="A201" s="21" t="s">
        <v>1583</v>
      </c>
      <c r="B201" s="22" t="s">
        <v>663</v>
      </c>
      <c r="C201" s="23" t="s">
        <v>822</v>
      </c>
      <c r="D201" s="23" t="s">
        <v>965</v>
      </c>
      <c r="E201" s="22" t="s">
        <v>62</v>
      </c>
      <c r="F201" s="22" t="s">
        <v>1424</v>
      </c>
      <c r="G201" s="23" t="s">
        <v>1553</v>
      </c>
      <c r="H201" s="23" t="s">
        <v>1554</v>
      </c>
      <c r="I201" s="22" t="s">
        <v>42</v>
      </c>
      <c r="J201" s="21" t="s">
        <v>1584</v>
      </c>
      <c r="K201" s="21" t="s">
        <v>175</v>
      </c>
      <c r="L201" s="21" t="s">
        <v>1584</v>
      </c>
      <c r="N201" s="22" t="s">
        <v>1585</v>
      </c>
      <c r="O201" s="22" t="s">
        <v>1430</v>
      </c>
      <c r="P201" s="21">
        <v>70271</v>
      </c>
      <c r="Q201" s="21">
        <v>40</v>
      </c>
      <c r="R201" s="21">
        <v>40</v>
      </c>
      <c r="S201" s="21">
        <v>10</v>
      </c>
      <c r="T201" s="21" t="s">
        <v>160</v>
      </c>
      <c r="U201" s="21">
        <v>1</v>
      </c>
      <c r="V201" s="22">
        <v>1</v>
      </c>
      <c r="W201" s="24">
        <f t="shared" si="147"/>
        <v>5181</v>
      </c>
      <c r="X201" s="25">
        <f t="shared" si="148"/>
        <v>50240</v>
      </c>
      <c r="Y201" s="22">
        <v>1</v>
      </c>
      <c r="Z201" s="24">
        <f t="shared" si="149"/>
        <v>5181</v>
      </c>
      <c r="AA201" s="24">
        <f t="shared" si="150"/>
        <v>50240</v>
      </c>
      <c r="AB201" s="21"/>
      <c r="AC201" s="21"/>
      <c r="AD201" s="21"/>
      <c r="AF201" s="21" t="s">
        <v>247</v>
      </c>
      <c r="AH201" s="25"/>
      <c r="AI201" s="25"/>
      <c r="AJ201" s="21">
        <v>16000</v>
      </c>
      <c r="AK201" s="21">
        <v>40</v>
      </c>
      <c r="AL201" s="22" t="s">
        <v>161</v>
      </c>
      <c r="AM201" s="22">
        <v>0.11</v>
      </c>
      <c r="AO201" s="22" t="s">
        <v>1529</v>
      </c>
      <c r="AP201" s="22" t="s">
        <v>1432</v>
      </c>
      <c r="AQ201" s="22" t="str">
        <f t="shared" si="151"/>
        <v>Microphytoplankton</v>
      </c>
      <c r="AR201" s="22">
        <v>0</v>
      </c>
      <c r="AS201" s="22">
        <v>0</v>
      </c>
      <c r="AT201" s="22">
        <v>0</v>
      </c>
      <c r="AU201" s="22">
        <v>0</v>
      </c>
      <c r="AV201" s="22">
        <v>0</v>
      </c>
      <c r="AW201" s="22">
        <v>0</v>
      </c>
      <c r="AX201" s="22">
        <v>1</v>
      </c>
      <c r="AY201" s="22">
        <v>0</v>
      </c>
      <c r="AZ201" s="22">
        <v>4</v>
      </c>
      <c r="BA201" s="22">
        <v>4</v>
      </c>
      <c r="BB201" s="22">
        <v>1</v>
      </c>
      <c r="BC201" s="22">
        <v>1</v>
      </c>
      <c r="BD201" s="22">
        <v>0</v>
      </c>
      <c r="BE201" s="22">
        <v>0</v>
      </c>
      <c r="BH201" s="22">
        <f t="shared" si="139"/>
        <v>9.6969696969696972</v>
      </c>
    </row>
    <row r="202" spans="1:60">
      <c r="BH202" s="22"/>
    </row>
    <row r="203" spans="1:60" s="22" customFormat="1" ht="13">
      <c r="A203" s="21" t="s">
        <v>362</v>
      </c>
      <c r="B203" s="22" t="s">
        <v>149</v>
      </c>
      <c r="C203" s="22" t="s">
        <v>150</v>
      </c>
      <c r="D203" s="23" t="s">
        <v>151</v>
      </c>
      <c r="E203" s="22" t="s">
        <v>61</v>
      </c>
      <c r="F203" s="22" t="s">
        <v>152</v>
      </c>
      <c r="G203" s="22" t="s">
        <v>60</v>
      </c>
      <c r="H203" s="22" t="s">
        <v>226</v>
      </c>
      <c r="I203" s="22" t="s">
        <v>363</v>
      </c>
      <c r="J203" s="22" t="s">
        <v>364</v>
      </c>
      <c r="N203" s="22" t="s">
        <v>228</v>
      </c>
      <c r="O203" s="22" t="s">
        <v>158</v>
      </c>
      <c r="P203" s="21">
        <v>10510</v>
      </c>
      <c r="Q203" s="21">
        <v>2.5</v>
      </c>
      <c r="R203" s="21">
        <v>2.5</v>
      </c>
      <c r="S203" s="21">
        <v>2.5</v>
      </c>
      <c r="T203" s="21" t="s">
        <v>281</v>
      </c>
      <c r="U203" s="21">
        <v>1</v>
      </c>
      <c r="V203" s="21">
        <v>1</v>
      </c>
      <c r="W203" s="24">
        <f>(4*3.14*(((Q203^1.6*R203^1.6+Q203^1.6*S203^1.6+R203^1.6+S203^1.6)/3)^(1/1.6)))*(1/V203)</f>
        <v>69.372421357191953</v>
      </c>
      <c r="X203" s="24">
        <f>3.14/6*Q203*R203*S203*U203</f>
        <v>8.1770833333333339</v>
      </c>
      <c r="Y203" s="21">
        <v>80</v>
      </c>
      <c r="Z203" s="24">
        <f t="shared" ref="Z203:Z206" si="152">Y203*W203</f>
        <v>5549.7937085753565</v>
      </c>
      <c r="AA203" s="24">
        <f t="shared" ref="AA203:AA206" si="153">Y203*X203</f>
        <v>654.16666666666674</v>
      </c>
      <c r="AB203" s="21">
        <v>50</v>
      </c>
      <c r="AC203" s="21">
        <v>50</v>
      </c>
      <c r="AD203" s="21">
        <v>50</v>
      </c>
      <c r="AE203" s="21" t="s">
        <v>281</v>
      </c>
      <c r="AF203" s="21">
        <v>0.01</v>
      </c>
      <c r="AG203" s="21">
        <v>1</v>
      </c>
      <c r="AH203" s="24">
        <f>(4*3.14*(((AB203^1.6*AC203^1.6+AB203^1.6*AD203^1.6+AC203^1.6+AD203^1.6)/3)^(1/1.6)))*(1/AG203)</f>
        <v>24400.082151651244</v>
      </c>
      <c r="AI203" s="24">
        <f>3.14/6*AB203*AC203*AD203*AF203</f>
        <v>654.16666666666663</v>
      </c>
      <c r="AJ203" s="21">
        <v>654.5</v>
      </c>
      <c r="AK203" s="21">
        <v>50</v>
      </c>
      <c r="AL203" s="22" t="s">
        <v>161</v>
      </c>
      <c r="AM203" s="22">
        <v>0.22</v>
      </c>
      <c r="AO203" s="22" t="s">
        <v>331</v>
      </c>
      <c r="AP203" s="22" t="s">
        <v>230</v>
      </c>
      <c r="AQ203" s="22" t="str">
        <f t="shared" ref="AQ203:AQ206" si="154">IF(AND($AK203&lt;20,AJ203&lt;10000),"Nanophytoplankton","Microphytoplankton")</f>
        <v>Microphytoplankton</v>
      </c>
      <c r="AR203" s="22">
        <v>0</v>
      </c>
      <c r="AS203" s="22">
        <v>0</v>
      </c>
      <c r="AT203" s="22">
        <v>0</v>
      </c>
      <c r="AU203" s="22">
        <v>1</v>
      </c>
      <c r="AV203" s="22">
        <v>0</v>
      </c>
      <c r="AW203" s="22">
        <v>0</v>
      </c>
      <c r="AX203" s="22">
        <v>0</v>
      </c>
      <c r="AY203" s="22">
        <v>1</v>
      </c>
      <c r="BH203" s="22">
        <f t="shared" si="139"/>
        <v>0.11787224913529132</v>
      </c>
    </row>
    <row r="204" spans="1:60" s="22" customFormat="1" ht="13">
      <c r="A204" s="22" t="s">
        <v>291</v>
      </c>
      <c r="B204" s="22" t="s">
        <v>149</v>
      </c>
      <c r="C204" s="22" t="s">
        <v>150</v>
      </c>
      <c r="D204" s="23" t="s">
        <v>151</v>
      </c>
      <c r="E204" s="22" t="s">
        <v>61</v>
      </c>
      <c r="F204" s="22" t="s">
        <v>152</v>
      </c>
      <c r="G204" s="22" t="s">
        <v>60</v>
      </c>
      <c r="H204" s="22" t="s">
        <v>226</v>
      </c>
      <c r="I204" s="22" t="s">
        <v>34</v>
      </c>
      <c r="J204" s="22" t="s">
        <v>211</v>
      </c>
      <c r="M204" s="22" t="s">
        <v>1</v>
      </c>
      <c r="N204" s="22" t="s">
        <v>228</v>
      </c>
      <c r="O204" s="22" t="s">
        <v>158</v>
      </c>
      <c r="P204" s="21">
        <v>10262</v>
      </c>
      <c r="Q204" s="22">
        <v>2</v>
      </c>
      <c r="R204" s="22">
        <v>2</v>
      </c>
      <c r="S204" s="22">
        <v>2</v>
      </c>
      <c r="T204" s="21" t="s">
        <v>159</v>
      </c>
      <c r="U204" s="21">
        <v>1</v>
      </c>
      <c r="V204" s="21">
        <v>1</v>
      </c>
      <c r="W204" s="24">
        <f t="shared" ref="W204" si="155">(4*3.14*(((Q204^1.6*R204^1.6+Q204^1.6*S204^1.6+R204^1.6+S204^1.6)/3)^(1/1.6)))*(1/V204)</f>
        <v>46.59880302207403</v>
      </c>
      <c r="X204" s="24">
        <f t="shared" ref="X204" si="156">3.14/6*Q204*R204*S204*U204</f>
        <v>4.1866666666666665</v>
      </c>
      <c r="Y204" s="22">
        <v>50</v>
      </c>
      <c r="Z204" s="24">
        <f t="shared" si="152"/>
        <v>2329.9401511037013</v>
      </c>
      <c r="AA204" s="24">
        <f t="shared" si="153"/>
        <v>209.33333333333331</v>
      </c>
      <c r="AB204" s="22">
        <v>15</v>
      </c>
      <c r="AC204" s="22">
        <v>15</v>
      </c>
      <c r="AD204" s="22">
        <v>15</v>
      </c>
      <c r="AE204" s="21" t="s">
        <v>159</v>
      </c>
      <c r="AF204" s="21">
        <v>0.1</v>
      </c>
      <c r="AG204" s="22">
        <v>1</v>
      </c>
      <c r="AH204" s="24">
        <f t="shared" ref="AH204" si="157">(4*3.14*(((AB204^1.6*AC204^1.6+AB204^1.6*AD204^1.6+AC204^1.6+AD204^1.6)/3)^(1/1.6)))*(1/AG204)</f>
        <v>2211.3412553863004</v>
      </c>
      <c r="AI204" s="24">
        <f t="shared" ref="AI204" si="158">3.14/6*AB204*AC204*AD204*AF204</f>
        <v>176.625</v>
      </c>
      <c r="AJ204" s="21">
        <v>209.33333333333331</v>
      </c>
      <c r="AK204" s="21">
        <v>50</v>
      </c>
      <c r="AL204" s="22" t="s">
        <v>161</v>
      </c>
      <c r="AM204" s="22">
        <v>0.22</v>
      </c>
      <c r="AN204" s="22" t="s">
        <v>229</v>
      </c>
      <c r="AO204" s="22" t="s">
        <v>229</v>
      </c>
      <c r="AP204" s="22" t="s">
        <v>230</v>
      </c>
      <c r="AQ204" s="22" t="str">
        <f t="shared" si="154"/>
        <v>Microphytoplankton</v>
      </c>
      <c r="AR204" s="22">
        <v>0</v>
      </c>
      <c r="AS204" s="22">
        <v>0</v>
      </c>
      <c r="AT204" s="22">
        <v>0</v>
      </c>
      <c r="AU204" s="22">
        <v>1</v>
      </c>
      <c r="AV204" s="22">
        <v>0</v>
      </c>
      <c r="AW204" s="22">
        <v>0</v>
      </c>
      <c r="AX204" s="22">
        <v>0</v>
      </c>
      <c r="AY204" s="22">
        <v>1</v>
      </c>
      <c r="BH204" s="22">
        <f t="shared" si="139"/>
        <v>8.9844940108942853E-2</v>
      </c>
    </row>
    <row r="205" spans="1:60" s="22" customFormat="1" ht="28">
      <c r="A205" s="22" t="s">
        <v>451</v>
      </c>
      <c r="B205" s="22" t="s">
        <v>149</v>
      </c>
      <c r="C205" s="22" t="s">
        <v>150</v>
      </c>
      <c r="D205" s="23" t="s">
        <v>151</v>
      </c>
      <c r="E205" s="22" t="s">
        <v>61</v>
      </c>
      <c r="F205" s="22" t="s">
        <v>152</v>
      </c>
      <c r="G205" s="20" t="s">
        <v>153</v>
      </c>
      <c r="H205" s="22" t="s">
        <v>154</v>
      </c>
      <c r="I205" s="22" t="s">
        <v>447</v>
      </c>
      <c r="J205" s="22" t="s">
        <v>211</v>
      </c>
      <c r="M205" s="22" t="s">
        <v>1</v>
      </c>
      <c r="N205" s="22" t="s">
        <v>434</v>
      </c>
      <c r="O205" s="22" t="s">
        <v>158</v>
      </c>
      <c r="P205" s="21">
        <v>11307</v>
      </c>
      <c r="Q205" s="22">
        <v>2</v>
      </c>
      <c r="R205" s="22">
        <v>2</v>
      </c>
      <c r="S205" s="22">
        <v>2</v>
      </c>
      <c r="T205" s="21" t="s">
        <v>160</v>
      </c>
      <c r="U205" s="21">
        <v>1</v>
      </c>
      <c r="V205" s="21">
        <v>1</v>
      </c>
      <c r="W205" s="24">
        <f t="shared" ref="W205" si="159">3.14*R205*Q205+2*3.14*(S205/2)^2/V205</f>
        <v>18.84</v>
      </c>
      <c r="X205" s="25">
        <f t="shared" ref="X205" si="160">(3.14/4*R205^2*Q205)*U205</f>
        <v>6.28</v>
      </c>
      <c r="Y205" s="21">
        <f>AB205/Q205</f>
        <v>50</v>
      </c>
      <c r="Z205" s="24">
        <f t="shared" si="152"/>
        <v>942</v>
      </c>
      <c r="AA205" s="24">
        <f t="shared" si="153"/>
        <v>314</v>
      </c>
      <c r="AB205" s="22">
        <v>100</v>
      </c>
      <c r="AC205" s="22">
        <v>2</v>
      </c>
      <c r="AD205" s="22">
        <v>2</v>
      </c>
      <c r="AE205" s="21" t="s">
        <v>160</v>
      </c>
      <c r="AF205" s="21">
        <v>1</v>
      </c>
      <c r="AG205" s="21">
        <v>1</v>
      </c>
      <c r="AH205" s="24">
        <f t="shared" ref="AH205" si="161">3.14*AC205*AB205+2*3.14*(AD205/2)^2/AG205</f>
        <v>634.28</v>
      </c>
      <c r="AI205" s="25">
        <f t="shared" ref="AI205" si="162">(3.14/4*AC205^2*AB205)*AF205</f>
        <v>314</v>
      </c>
      <c r="AJ205" s="21">
        <v>314</v>
      </c>
      <c r="AK205" s="21">
        <v>100</v>
      </c>
      <c r="AL205" s="22" t="s">
        <v>161</v>
      </c>
      <c r="AM205" s="22">
        <v>0.22</v>
      </c>
      <c r="AP205" s="22" t="s">
        <v>162</v>
      </c>
      <c r="AQ205" s="22" t="str">
        <f t="shared" si="154"/>
        <v>Microphytoplankton</v>
      </c>
      <c r="AR205" s="22">
        <v>0</v>
      </c>
      <c r="AS205" s="22">
        <v>0</v>
      </c>
      <c r="AT205" s="22">
        <v>0</v>
      </c>
      <c r="AU205" s="22">
        <v>1</v>
      </c>
      <c r="AV205" s="22">
        <v>1</v>
      </c>
      <c r="AW205" s="22">
        <v>0</v>
      </c>
      <c r="AX205" s="22">
        <v>0</v>
      </c>
      <c r="AY205" s="22">
        <v>1</v>
      </c>
      <c r="BH205" s="22">
        <f t="shared" si="139"/>
        <v>0.33333333333333337</v>
      </c>
    </row>
    <row r="206" spans="1:60" s="22" customFormat="1" ht="13">
      <c r="A206" s="21" t="s">
        <v>1335</v>
      </c>
      <c r="B206" s="22" t="s">
        <v>663</v>
      </c>
      <c r="C206" s="23" t="s">
        <v>822</v>
      </c>
      <c r="D206" s="23" t="s">
        <v>965</v>
      </c>
      <c r="E206" s="22" t="s">
        <v>991</v>
      </c>
      <c r="F206" s="23" t="s">
        <v>1200</v>
      </c>
      <c r="G206" s="23" t="s">
        <v>1201</v>
      </c>
      <c r="H206" s="22" t="s">
        <v>1202</v>
      </c>
      <c r="I206" s="22" t="s">
        <v>1336</v>
      </c>
      <c r="J206" s="22" t="s">
        <v>211</v>
      </c>
      <c r="M206" s="22" t="s">
        <v>1</v>
      </c>
      <c r="N206" s="22" t="s">
        <v>694</v>
      </c>
      <c r="O206" s="22" t="s">
        <v>962</v>
      </c>
      <c r="P206" s="21">
        <v>55000</v>
      </c>
      <c r="Q206" s="22">
        <v>9</v>
      </c>
      <c r="R206" s="22">
        <v>9</v>
      </c>
      <c r="S206" s="22">
        <v>9</v>
      </c>
      <c r="T206" s="22" t="s">
        <v>246</v>
      </c>
      <c r="U206" s="21">
        <v>1</v>
      </c>
      <c r="V206" s="22">
        <v>1</v>
      </c>
      <c r="W206" s="25">
        <f>4*3.14*(R206/2)*(Q206/2)/V206</f>
        <v>254.34</v>
      </c>
      <c r="X206" s="25">
        <f>(3.14/6*(Q206*S206*R206))*U206</f>
        <v>381.51</v>
      </c>
      <c r="Y206" s="22">
        <v>12</v>
      </c>
      <c r="Z206" s="24">
        <f t="shared" si="152"/>
        <v>3052.08</v>
      </c>
      <c r="AA206" s="24">
        <f t="shared" si="153"/>
        <v>4578.12</v>
      </c>
      <c r="AB206" s="22">
        <v>35</v>
      </c>
      <c r="AC206" s="22">
        <v>35</v>
      </c>
      <c r="AD206" s="22">
        <v>35</v>
      </c>
      <c r="AE206" s="22" t="s">
        <v>159</v>
      </c>
      <c r="AF206" s="21">
        <v>0.8</v>
      </c>
      <c r="AG206" s="22">
        <v>1.2</v>
      </c>
      <c r="AH206" s="24">
        <f>(4*3.14*(((AB206^1.6*AC206^1.6+AB206^1.6*AD206^1.6+AC206^1.6+AD206^1.6)/3)^(1/1.6)))*(1/AG206)</f>
        <v>9972.5117211215875</v>
      </c>
      <c r="AI206" s="24">
        <f>3.14/6*AB206*AC206*AD206*AF206</f>
        <v>17950.333333333336</v>
      </c>
      <c r="AJ206" s="21">
        <v>17959.400000000001</v>
      </c>
      <c r="AK206" s="21">
        <v>35</v>
      </c>
      <c r="AL206" s="22" t="s">
        <v>161</v>
      </c>
      <c r="AM206" s="22">
        <v>0.11</v>
      </c>
      <c r="AN206" s="22" t="s">
        <v>876</v>
      </c>
      <c r="AO206" s="22" t="s">
        <v>1337</v>
      </c>
      <c r="AP206" s="22" t="s">
        <v>963</v>
      </c>
      <c r="AQ206" s="22" t="str">
        <f t="shared" si="154"/>
        <v>Microphytoplankton</v>
      </c>
      <c r="AR206" s="22">
        <v>1</v>
      </c>
      <c r="AS206" s="22">
        <v>1</v>
      </c>
      <c r="AT206" s="22">
        <v>0</v>
      </c>
      <c r="AU206" s="22">
        <v>1</v>
      </c>
      <c r="AV206" s="22">
        <v>0</v>
      </c>
      <c r="AW206" s="22">
        <v>0</v>
      </c>
      <c r="AX206" s="22">
        <v>1</v>
      </c>
      <c r="AY206" s="22">
        <v>0</v>
      </c>
      <c r="BH206" s="22">
        <f t="shared" si="139"/>
        <v>1.5</v>
      </c>
    </row>
    <row r="207" spans="1:60">
      <c r="BH207" s="22"/>
    </row>
    <row r="208" spans="1:60">
      <c r="BH208" s="22"/>
    </row>
    <row r="209" spans="1:60">
      <c r="BH209" s="22"/>
    </row>
    <row r="210" spans="1:60" s="22" customFormat="1" ht="13">
      <c r="A210" s="21" t="s">
        <v>1001</v>
      </c>
      <c r="B210" s="22" t="s">
        <v>663</v>
      </c>
      <c r="C210" s="23" t="s">
        <v>822</v>
      </c>
      <c r="D210" s="23" t="s">
        <v>965</v>
      </c>
      <c r="E210" s="22" t="s">
        <v>991</v>
      </c>
      <c r="F210" s="23" t="s">
        <v>992</v>
      </c>
      <c r="G210" s="22" t="s">
        <v>993</v>
      </c>
      <c r="H210" s="22" t="s">
        <v>994</v>
      </c>
      <c r="I210" s="22" t="s">
        <v>995</v>
      </c>
      <c r="J210" s="22" t="s">
        <v>1002</v>
      </c>
      <c r="N210" s="22" t="s">
        <v>1003</v>
      </c>
      <c r="O210" s="22" t="s">
        <v>962</v>
      </c>
      <c r="P210" s="22">
        <v>50111</v>
      </c>
      <c r="Q210" s="21">
        <v>8</v>
      </c>
      <c r="R210" s="21">
        <v>8</v>
      </c>
      <c r="S210" s="21">
        <v>8</v>
      </c>
      <c r="T210" s="22" t="s">
        <v>281</v>
      </c>
      <c r="U210" s="21">
        <v>1</v>
      </c>
      <c r="V210" s="22">
        <v>1</v>
      </c>
      <c r="W210" s="24">
        <f t="shared" ref="W210" si="163">(4*3.14*(((Q210^1.6*R210^1.6+Q210^1.6*S210^1.6+R210^1.6+S210^1.6)/3)^(1/1.6)))*(1/V210)</f>
        <v>637.80128491389792</v>
      </c>
      <c r="X210" s="24">
        <f t="shared" ref="X210" si="164">3.14/6*Q210*R210*S210*U210</f>
        <v>267.94666666666666</v>
      </c>
      <c r="Y210" s="21">
        <v>1</v>
      </c>
      <c r="Z210" s="24">
        <f t="shared" ref="Z210" si="165">Y210*W210</f>
        <v>637.80128491389792</v>
      </c>
      <c r="AA210" s="24">
        <f t="shared" ref="AA210" si="166">Y210*X210</f>
        <v>267.94666666666666</v>
      </c>
      <c r="AB210" s="21"/>
      <c r="AC210" s="21"/>
      <c r="AD210" s="21"/>
      <c r="AE210" s="21"/>
      <c r="AF210" s="21" t="s">
        <v>247</v>
      </c>
      <c r="AG210" s="21"/>
      <c r="AH210" s="24"/>
      <c r="AI210" s="24"/>
      <c r="AJ210" s="21">
        <v>268</v>
      </c>
      <c r="AK210" s="21">
        <v>45</v>
      </c>
      <c r="AL210" s="22" t="s">
        <v>161</v>
      </c>
      <c r="AM210" s="22">
        <v>0.11</v>
      </c>
      <c r="AP210" s="22" t="s">
        <v>963</v>
      </c>
      <c r="AQ210" s="22" t="str">
        <f>IF(AND($AK210&lt;20,AJ210&lt;10000),"Nanophytoplankton","Microphytoplankton")</f>
        <v>Microphytoplankton</v>
      </c>
      <c r="AR210" s="22">
        <v>0</v>
      </c>
      <c r="AS210" s="22">
        <v>0</v>
      </c>
      <c r="AT210" s="22">
        <v>0</v>
      </c>
      <c r="AU210" s="22">
        <v>0</v>
      </c>
      <c r="AV210" s="22">
        <v>0</v>
      </c>
      <c r="AW210" s="22">
        <v>0</v>
      </c>
      <c r="AX210" s="22">
        <v>1</v>
      </c>
      <c r="AY210" s="22">
        <v>0</v>
      </c>
      <c r="BH210" s="22">
        <f t="shared" si="139"/>
        <v>0.42010995117835015</v>
      </c>
    </row>
    <row r="211" spans="1:60">
      <c r="BH211" s="22"/>
    </row>
    <row r="212" spans="1:60" s="22" customFormat="1" ht="13">
      <c r="A212" s="21" t="s">
        <v>947</v>
      </c>
      <c r="B212" s="22" t="s">
        <v>663</v>
      </c>
      <c r="C212" s="23" t="s">
        <v>664</v>
      </c>
      <c r="D212" s="23" t="s">
        <v>665</v>
      </c>
      <c r="E212" s="23" t="s">
        <v>867</v>
      </c>
      <c r="F212" s="22" t="s">
        <v>868</v>
      </c>
      <c r="G212" s="23" t="s">
        <v>869</v>
      </c>
      <c r="H212" s="22" t="s">
        <v>870</v>
      </c>
      <c r="I212" s="22" t="s">
        <v>933</v>
      </c>
      <c r="J212" s="22" t="s">
        <v>211</v>
      </c>
      <c r="M212" s="22" t="s">
        <v>1</v>
      </c>
      <c r="N212" s="22" t="s">
        <v>694</v>
      </c>
      <c r="O212" s="22" t="s">
        <v>873</v>
      </c>
      <c r="P212" s="21">
        <v>40300</v>
      </c>
      <c r="Q212" s="21">
        <v>12</v>
      </c>
      <c r="R212" s="21">
        <v>12</v>
      </c>
      <c r="S212" s="21">
        <v>12</v>
      </c>
      <c r="T212" s="22" t="s">
        <v>281</v>
      </c>
      <c r="U212" s="21">
        <v>1</v>
      </c>
      <c r="V212" s="22">
        <v>1</v>
      </c>
      <c r="W212" s="24">
        <f t="shared" ref="W212" si="167">(4*3.14*(((Q212^1.6*R212^1.6+Q212^1.6*S212^1.6+R212^1.6+S212^1.6)/3)^(1/1.6)))*(1/V212)</f>
        <v>1420.171885313606</v>
      </c>
      <c r="X212" s="24">
        <f t="shared" ref="X212" si="168">3.14/6*Q212*R212*S212*U212</f>
        <v>904.31999999999982</v>
      </c>
      <c r="Y212" s="21">
        <v>1</v>
      </c>
      <c r="Z212" s="24">
        <f t="shared" ref="Z212" si="169">Y212*W212</f>
        <v>1420.171885313606</v>
      </c>
      <c r="AA212" s="24">
        <f t="shared" ref="AA212" si="170">Y212*X212</f>
        <v>904.31999999999982</v>
      </c>
      <c r="AB212" s="21"/>
      <c r="AC212" s="21"/>
      <c r="AD212" s="21"/>
      <c r="AE212" s="21"/>
      <c r="AF212" s="21" t="s">
        <v>247</v>
      </c>
      <c r="AG212" s="21"/>
      <c r="AH212" s="24"/>
      <c r="AI212" s="24"/>
      <c r="AJ212" s="21">
        <v>904.8</v>
      </c>
      <c r="AK212" s="21">
        <v>12</v>
      </c>
      <c r="AL212" s="22" t="s">
        <v>161</v>
      </c>
      <c r="AM212" s="22">
        <v>0.11</v>
      </c>
      <c r="AN212" s="22" t="s">
        <v>931</v>
      </c>
      <c r="AO212" s="22" t="s">
        <v>931</v>
      </c>
      <c r="AP212" s="22" t="s">
        <v>673</v>
      </c>
      <c r="AQ212" s="22" t="str">
        <f t="shared" ref="AQ212" si="171">IF(AND($AK212&lt;20,AJ212&lt;10000),"Nanophytoplankton","Microphytoplankton")</f>
        <v>Nanophytoplankton</v>
      </c>
      <c r="AR212" s="22">
        <v>1</v>
      </c>
      <c r="AS212" s="22">
        <v>1</v>
      </c>
      <c r="AT212" s="22">
        <v>0</v>
      </c>
      <c r="AU212" s="22">
        <v>0</v>
      </c>
      <c r="AV212" s="22">
        <v>0</v>
      </c>
      <c r="AW212" s="22">
        <v>0</v>
      </c>
      <c r="AX212" s="22">
        <v>1</v>
      </c>
      <c r="AY212" s="22">
        <v>0</v>
      </c>
      <c r="BH212" s="22">
        <f t="shared" si="139"/>
        <v>0.63676799220701763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ACE3E-FD30-814C-9B70-5489817EC67C}">
  <dimension ref="A1:AF20"/>
  <sheetViews>
    <sheetView zoomScale="81" workbookViewId="0">
      <selection activeCell="AC10" sqref="AC10"/>
    </sheetView>
  </sheetViews>
  <sheetFormatPr baseColWidth="10" defaultRowHeight="16"/>
  <cols>
    <col min="2" max="2" width="16.33203125" customWidth="1"/>
    <col min="3" max="3" width="15.5" style="53" customWidth="1"/>
    <col min="4" max="4" width="10.83203125" style="56"/>
  </cols>
  <sheetData>
    <row r="1" spans="1:32" ht="33">
      <c r="D1" s="50" t="s">
        <v>2</v>
      </c>
      <c r="E1" s="83" t="s">
        <v>68</v>
      </c>
      <c r="F1" s="83"/>
      <c r="G1" s="83"/>
      <c r="H1" s="83"/>
      <c r="I1" s="83" t="s">
        <v>73</v>
      </c>
      <c r="J1" s="83"/>
      <c r="K1" s="83"/>
      <c r="L1" s="83"/>
      <c r="M1" s="83" t="s">
        <v>82</v>
      </c>
      <c r="N1" s="83"/>
      <c r="O1" s="83"/>
      <c r="P1" s="83"/>
      <c r="Q1" s="83" t="s">
        <v>97</v>
      </c>
      <c r="R1" s="83"/>
      <c r="S1" s="83"/>
      <c r="T1" s="83"/>
      <c r="U1" s="83" t="s">
        <v>90</v>
      </c>
      <c r="V1" s="83"/>
      <c r="W1" s="83" t="s">
        <v>92</v>
      </c>
      <c r="X1" s="83"/>
      <c r="Y1" s="83"/>
      <c r="Z1" s="83" t="s">
        <v>3509</v>
      </c>
      <c r="AA1" s="83"/>
      <c r="AB1" s="83"/>
      <c r="AC1" s="84" t="s">
        <v>3568</v>
      </c>
      <c r="AD1" s="84"/>
      <c r="AE1" s="83" t="s">
        <v>3576</v>
      </c>
      <c r="AF1" s="83"/>
    </row>
    <row r="2" spans="1:32" ht="64">
      <c r="D2" s="51" t="s">
        <v>3</v>
      </c>
      <c r="E2" s="4" t="s">
        <v>69</v>
      </c>
      <c r="F2" s="4" t="s">
        <v>72</v>
      </c>
      <c r="G2" s="4" t="s">
        <v>3504</v>
      </c>
      <c r="H2" s="5" t="s">
        <v>70</v>
      </c>
      <c r="I2" s="4" t="s">
        <v>78</v>
      </c>
      <c r="J2" s="4" t="s">
        <v>79</v>
      </c>
      <c r="K2" s="4" t="s">
        <v>80</v>
      </c>
      <c r="L2" s="5" t="s">
        <v>81</v>
      </c>
      <c r="M2" s="4" t="s">
        <v>78</v>
      </c>
      <c r="N2" s="4" t="s">
        <v>87</v>
      </c>
      <c r="O2" s="4" t="s">
        <v>88</v>
      </c>
      <c r="P2" s="5" t="s">
        <v>89</v>
      </c>
      <c r="Q2" s="5">
        <v>0.11</v>
      </c>
      <c r="R2" s="5">
        <v>0.13</v>
      </c>
      <c r="S2" s="4">
        <v>0.16</v>
      </c>
      <c r="T2" s="5">
        <v>0.22</v>
      </c>
      <c r="U2" s="4" t="s">
        <v>91</v>
      </c>
      <c r="V2" s="4" t="s">
        <v>3507</v>
      </c>
      <c r="W2" s="4" t="s">
        <v>93</v>
      </c>
      <c r="X2" s="4" t="s">
        <v>3506</v>
      </c>
      <c r="Y2" s="4" t="s">
        <v>3505</v>
      </c>
      <c r="Z2" s="4" t="s">
        <v>94</v>
      </c>
      <c r="AA2" s="4" t="s">
        <v>95</v>
      </c>
      <c r="AB2" s="4" t="s">
        <v>96</v>
      </c>
      <c r="AC2" s="4" t="s">
        <v>3568</v>
      </c>
      <c r="AD2" s="4" t="s">
        <v>3571</v>
      </c>
      <c r="AE2" s="4" t="s">
        <v>3575</v>
      </c>
      <c r="AF2" s="4" t="s">
        <v>3578</v>
      </c>
    </row>
    <row r="3" spans="1:32" ht="17">
      <c r="A3" t="s">
        <v>59</v>
      </c>
      <c r="B3" s="3" t="s">
        <v>0</v>
      </c>
      <c r="C3" s="52" t="s">
        <v>3542</v>
      </c>
      <c r="D3" s="54" t="s">
        <v>3555</v>
      </c>
      <c r="E3" t="s">
        <v>65</v>
      </c>
      <c r="F3" t="s">
        <v>66</v>
      </c>
      <c r="G3" t="s">
        <v>67</v>
      </c>
      <c r="H3" t="s">
        <v>71</v>
      </c>
      <c r="I3" t="s">
        <v>74</v>
      </c>
      <c r="J3" t="s">
        <v>75</v>
      </c>
      <c r="K3" t="s">
        <v>76</v>
      </c>
      <c r="L3" t="s">
        <v>77</v>
      </c>
      <c r="M3" t="s">
        <v>83</v>
      </c>
      <c r="N3" t="s">
        <v>84</v>
      </c>
      <c r="O3" t="s">
        <v>85</v>
      </c>
      <c r="P3" t="s">
        <v>86</v>
      </c>
      <c r="Q3" t="s">
        <v>3543</v>
      </c>
      <c r="R3" t="s">
        <v>3544</v>
      </c>
      <c r="S3" t="s">
        <v>3545</v>
      </c>
      <c r="T3" t="s">
        <v>3546</v>
      </c>
      <c r="U3" t="s">
        <v>3547</v>
      </c>
      <c r="V3" t="s">
        <v>3548</v>
      </c>
      <c r="W3" t="s">
        <v>3549</v>
      </c>
      <c r="X3" t="s">
        <v>3550</v>
      </c>
      <c r="Y3" t="s">
        <v>3551</v>
      </c>
      <c r="Z3" t="s">
        <v>3552</v>
      </c>
      <c r="AA3" t="s">
        <v>3553</v>
      </c>
      <c r="AB3" t="s">
        <v>3554</v>
      </c>
      <c r="AC3" t="s">
        <v>3569</v>
      </c>
      <c r="AD3" t="s">
        <v>3570</v>
      </c>
      <c r="AE3" t="s">
        <v>3579</v>
      </c>
      <c r="AF3" t="s">
        <v>3580</v>
      </c>
    </row>
    <row r="4" spans="1:32" ht="27">
      <c r="A4" t="s">
        <v>62</v>
      </c>
      <c r="B4" t="s">
        <v>1502</v>
      </c>
      <c r="C4" s="53" t="s">
        <v>1502</v>
      </c>
      <c r="D4" s="55" t="s">
        <v>1498</v>
      </c>
      <c r="E4">
        <f>COUNTIF('remet-wind'!Q2,"&lt;=10")</f>
        <v>0</v>
      </c>
      <c r="F4">
        <f>COUNTIFS('remet-wind'!Q2,"&gt;10",'remet-wind'!Q2,"&lt;=25")</f>
        <v>0</v>
      </c>
      <c r="G4">
        <f>COUNTIFS('remet-wind'!Q2,"&gt;25",'remet-wind'!Q2,"&lt;=100")</f>
        <v>1</v>
      </c>
      <c r="H4">
        <f>COUNTIFS('remet-wind'!Q2,"&gt;100")</f>
        <v>0</v>
      </c>
      <c r="I4">
        <f>COUNTIF('remet-wind'!W2,"&lt;=100")</f>
        <v>0</v>
      </c>
      <c r="J4">
        <f>COUNTIFS('remet-wind'!W2,"&gt;100",'remet-wind'!W2,"&lt;=500")</f>
        <v>0</v>
      </c>
      <c r="K4">
        <f>COUNTIFS('remet-wind'!W2,"&gt;500",'remet-wind'!W2,"&lt;=1000")</f>
        <v>1</v>
      </c>
      <c r="L4">
        <f>COUNTIFS('remet-wind'!W2,"&gt;1000")</f>
        <v>0</v>
      </c>
      <c r="M4">
        <f>COUNTIF('remet-wind'!X2,"&lt;=100")</f>
        <v>0</v>
      </c>
      <c r="N4">
        <f>COUNTIFS('remet-wind'!X2,"&gt;100",'remet-wind'!X2,"&lt;=1000")</f>
        <v>1</v>
      </c>
      <c r="O4">
        <f>COUNTIFS('remet-wind'!X2,"&gt;1000",'remet-wind'!X2,"&lt;=10000")</f>
        <v>0</v>
      </c>
      <c r="P4">
        <f>COUNTIFS('remet-wind'!X2,"&gt;10000")</f>
        <v>0</v>
      </c>
      <c r="Q4">
        <f>COUNTIF('remet-wind'!AM2,"=0.11")</f>
        <v>1</v>
      </c>
      <c r="R4">
        <f>COUNTIFS('remet-wind'!AM2,"0.13")</f>
        <v>0</v>
      </c>
      <c r="S4">
        <f>COUNTIFS('remet-wind'!AM2,"0.16")</f>
        <v>0</v>
      </c>
      <c r="T4">
        <f>COUNTIFS('remet-wind'!AM2,"=0.22")</f>
        <v>0</v>
      </c>
      <c r="U4">
        <f>COUNTIF('remet-wind'!Y2,"=1")</f>
        <v>1</v>
      </c>
      <c r="V4">
        <f>COUNTIF('remet-wind'!Y2,"&gt;1")</f>
        <v>0</v>
      </c>
      <c r="W4">
        <f>COUNTIF('remet-wind'!AS2,"=1")</f>
        <v>0</v>
      </c>
      <c r="X4">
        <f>COUNTIF('remet-wind'!AT2,"=1")</f>
        <v>0</v>
      </c>
      <c r="Y4">
        <f>1-W4-X4</f>
        <v>1</v>
      </c>
      <c r="Z4">
        <f>COUNTIF('remet-wind'!AW2,"=1")</f>
        <v>0</v>
      </c>
      <c r="AA4">
        <f>COUNTIF('remet-wind'!AX2,"=1")</f>
        <v>1</v>
      </c>
      <c r="AB4">
        <f>COUNTIF('remet-wind'!AY2,"=1")</f>
        <v>0</v>
      </c>
      <c r="AC4">
        <f>COUNTIF('remet-wind'!BF2,"=1")</f>
        <v>0</v>
      </c>
      <c r="AD4">
        <f>1-AC4</f>
        <v>1</v>
      </c>
      <c r="AE4">
        <f>COUNTIF('remet-wind'!BG2,"=1")</f>
        <v>1</v>
      </c>
      <c r="AF4">
        <f>1-AE4</f>
        <v>0</v>
      </c>
    </row>
    <row r="5" spans="1:32" ht="118">
      <c r="A5" t="s">
        <v>62</v>
      </c>
      <c r="B5" t="s">
        <v>40</v>
      </c>
      <c r="C5" s="53" t="s">
        <v>40</v>
      </c>
      <c r="D5" s="55" t="s">
        <v>3560</v>
      </c>
      <c r="E5">
        <f>COUNTIF('remet-wind'!Q4:'remet-wind'!Q8,"&lt;=10")/COUNT('remet-wind'!Q4:'remet-wind'!Q8)</f>
        <v>0.2</v>
      </c>
      <c r="F5">
        <f>COUNTIFS('remet-wind'!Q4:'remet-wind'!Q8,"&gt;10",'remet-wind'!Q4:'remet-wind'!Q8,"&lt;=25")/COUNT('remet-wind'!Q4:'remet-wind'!Q8)</f>
        <v>0.2</v>
      </c>
      <c r="G5">
        <f>COUNTIFS('remet-wind'!Q4:'remet-wind'!Q8,"&gt;25",'remet-wind'!Q4:'remet-wind'!Q8,"&lt;=100")/COUNT('remet-wind'!Q4:'remet-wind'!Q8)</f>
        <v>0.6</v>
      </c>
      <c r="H5">
        <f>COUNTIFS('remet-wind'!Q4:'remet-wind'!Q8,"&gt;100")/COUNT('remet-wind'!Q4:'remet-wind'!Q8)</f>
        <v>0</v>
      </c>
      <c r="I5">
        <f>COUNTIF('remet-wind'!W4:'remet-wind'!W8,"&lt;=100")/COUNT('remet-wind'!W4:'remet-wind'!W8)</f>
        <v>0</v>
      </c>
      <c r="J5">
        <f>COUNTIFS('remet-wind'!W4:'remet-wind'!W8,"&gt;100",'remet-wind'!W4:'remet-wind'!W8,"&lt;=500")/COUNT('remet-wind'!W4:'remet-wind'!W8)</f>
        <v>0.6</v>
      </c>
      <c r="K5">
        <f>COUNTIFS('remet-wind'!W4:'remet-wind'!W8,"&gt;500",'remet-wind'!W4:'remet-wind'!W8,"&lt;=1000")/COUNT('remet-wind'!W4:'remet-wind'!W8)</f>
        <v>0.2</v>
      </c>
      <c r="L5">
        <f>COUNTIFS('remet-wind'!W4:'remet-wind'!W8,"&gt;1000")/COUNT('remet-wind'!W4:'remet-wind'!W8)</f>
        <v>0.2</v>
      </c>
      <c r="M5">
        <f>COUNTIF('remet-wind'!X4:'remet-wind'!X8,"&lt;=100")/COUNT('remet-wind'!X4:'remet-wind'!X8)</f>
        <v>0</v>
      </c>
      <c r="N5">
        <f>COUNTIFS('remet-wind'!X4:'remet-wind'!X8,"&gt;100",'remet-wind'!X4:'remet-wind'!X8,"&lt;=1000")/COUNT('remet-wind'!X4:'remet-wind'!X8)</f>
        <v>0.6</v>
      </c>
      <c r="O5">
        <f>COUNTIFS('remet-wind'!X4:'remet-wind'!X8,"&gt;1000",'remet-wind'!X4:'remet-wind'!X8,"&lt;=10000")/COUNT('remet-wind'!X4:'remet-wind'!X8)</f>
        <v>0.4</v>
      </c>
      <c r="P5">
        <f>COUNTIFS('remet-wind'!X3:'remet-wind'!X6,"&gt;10000")/COUNT('remet-wind'!X3:'remet-wind'!X6)</f>
        <v>0</v>
      </c>
      <c r="Q5">
        <f>COUNTIF('remet-wind'!AM4:'remet-wind'!AM8,"=0.11")/COUNT('remet-wind'!AM4:'remet-wind'!AM8)</f>
        <v>1</v>
      </c>
      <c r="R5">
        <f>COUNTIF('remet-wind'!AM4:'remet-wind'!AM8,"=0.13")/COUNT('remet-wind'!AM4:'remet-wind'!AM8)</f>
        <v>0</v>
      </c>
      <c r="S5">
        <f>COUNTIF('remet-wind'!AM4:'remet-wind'!AM8,"=0.16")/COUNT('remet-wind'!AM4:'remet-wind'!AM8)</f>
        <v>0</v>
      </c>
      <c r="T5">
        <f>COUNTIF('remet-wind'!AM4:'remet-wind'!AM8,"=0.22")/COUNT('remet-wind'!AM4:'remet-wind'!AM8)</f>
        <v>0</v>
      </c>
      <c r="U5">
        <f>COUNTIF('remet-wind'!Y4:'remet-wind'!Y8,"=1")/COUNT('remet-wind'!Y4:'remet-wind'!Y8)</f>
        <v>1</v>
      </c>
      <c r="V5">
        <f>COUNTIF('remet-wind'!Y4:'remet-wind'!Y8,"&gt;1")/COUNT('remet-wind'!Y4:'remet-wind'!Y8)</f>
        <v>0</v>
      </c>
      <c r="W5">
        <f>COUNTIF('remet-wind'!AS4:'remet-wind'!AS8,"=1")/COUNT('remet-wind'!AS4:'remet-wind'!AS8)</f>
        <v>0</v>
      </c>
      <c r="X5">
        <f>COUNTIF('remet-wind'!AT4:'remet-wind'!AT8,"=1")/COUNT('remet-wind'!AT4:'remet-wind'!AT8)</f>
        <v>0</v>
      </c>
      <c r="Y5">
        <f>1-W5-X5</f>
        <v>1</v>
      </c>
      <c r="Z5">
        <f>COUNTIF('remet-wind'!AW4:'remet-wind'!AW8,"=1")/COUNT('remet-wind'!AW4:'remet-wind'!AW8)</f>
        <v>0</v>
      </c>
      <c r="AA5">
        <f>COUNTIF('remet-wind'!AX4:'remet-wind'!AX8,"=1")/COUNT('remet-wind'!AX4:'remet-wind'!AX8)</f>
        <v>1</v>
      </c>
      <c r="AB5">
        <f>COUNTIF('remet-wind'!AY4:'remet-wind'!AY8,"=1")/COUNT('remet-wind'!AY4:'remet-wind'!AY8)</f>
        <v>0</v>
      </c>
      <c r="AC5">
        <f>COUNTIF('remet-wind'!BF4:'remet-wind'!BF8,"=1")/COUNT('remet-wind'!BF4:'remet-wind'!BF8)</f>
        <v>0</v>
      </c>
      <c r="AD5">
        <f t="shared" ref="AD5:AD20" si="0">1-AC5</f>
        <v>1</v>
      </c>
      <c r="AE5">
        <f>COUNTIF('remet-wind'!BG4:'remet-wind'!BG8,"=1")/COUNT('remet-wind'!BG4:'remet-wind'!BG8)</f>
        <v>1</v>
      </c>
      <c r="AF5">
        <f t="shared" ref="AF5:AF17" si="1">1-AE5</f>
        <v>0</v>
      </c>
    </row>
    <row r="6" spans="1:32" ht="34">
      <c r="A6" t="s">
        <v>63</v>
      </c>
      <c r="B6" t="s">
        <v>46</v>
      </c>
      <c r="C6" s="53" t="s">
        <v>46</v>
      </c>
      <c r="D6" s="57" t="s">
        <v>3559</v>
      </c>
      <c r="E6">
        <f>COUNTIF('remet-wind'!Q10:'remet-wind'!Q11,"&lt;=10")/COUNT('remet-wind'!Q10:'remet-wind'!Q11)</f>
        <v>1</v>
      </c>
      <c r="F6">
        <f>COUNTIFS('remet-wind'!Q10:'remet-wind'!Q11,"&gt;10",'remet-wind'!Q10:'remet-wind'!Q11,"&lt;=25")/COUNT('remet-wind'!Q10:'remet-wind'!Q11)</f>
        <v>0</v>
      </c>
      <c r="G6">
        <f>COUNTIFS('remet-wind'!Q10:'remet-wind'!Q11,"&gt;25",'remet-wind'!Q10:'remet-wind'!Q11,"&lt;=100")/COUNT('remet-wind'!Q10:'remet-wind'!Q11)</f>
        <v>0</v>
      </c>
      <c r="H6">
        <f>COUNTIFS('remet-wind'!Q10:'remet-wind'!Q11,"&gt;100")/COUNT('remet-wind'!Q10:'remet-wind'!Q11)</f>
        <v>0</v>
      </c>
      <c r="I6">
        <f>COUNTIF('remet-wind'!W10:'remet-wind'!W11,"&lt;=100")/COUNT('remet-wind'!W10:'remet-wind'!W11)</f>
        <v>0.5</v>
      </c>
      <c r="J6">
        <f>COUNTIFS('remet-wind'!W10:'remet-wind'!W11,"&gt;100",'remet-wind'!W10:'remet-wind'!W11,"&lt;=500")/COUNT('remet-wind'!W10:'remet-wind'!W11)</f>
        <v>0.5</v>
      </c>
      <c r="K6">
        <f>COUNTIFS('remet-wind'!W10:'remet-wind'!W11,"&gt;500",'remet-wind'!W10:'remet-wind'!W11,"&lt;=1000")/COUNT('remet-wind'!W10:'remet-wind'!W11)</f>
        <v>0</v>
      </c>
      <c r="L6">
        <f>COUNTIFS('remet-wind'!W10:'remet-wind'!W11,"&gt;1000")/COUNT('remet-wind'!W10:'remet-wind'!W11)</f>
        <v>0</v>
      </c>
      <c r="M6">
        <f>COUNTIF('remet-wind'!X10:'remet-wind'!X11,"&lt;=100")/COUNT('remet-wind'!X10:'remet-wind'!X11)</f>
        <v>0.5</v>
      </c>
      <c r="N6">
        <f>COUNTIFS('remet-wind'!X10:'remet-wind'!X11,"&gt;100",'remet-wind'!X10:'remet-wind'!X11,"&lt;=1000")/COUNT('remet-wind'!X10:'remet-wind'!X11)</f>
        <v>0.5</v>
      </c>
      <c r="O6">
        <f>COUNTIFS('remet-wind'!X10:'remet-wind'!X11,"&gt;1000",'remet-wind'!X10:'remet-wind'!X11,"&lt;=10000")/COUNT('remet-wind'!X10:'remet-wind'!X11)</f>
        <v>0</v>
      </c>
      <c r="P6">
        <f>COUNTIFS('remet-wind'!X10:'remet-wind'!X11,"&gt;10000")/COUNT('remet-wind'!X10:'remet-wind'!X11)</f>
        <v>0</v>
      </c>
      <c r="Q6">
        <f>COUNTIF('remet-wind'!AM10:'remet-wind'!AM11,"=0.11")/COUNT('remet-wind'!AM10:'remet-wind'!AM11)</f>
        <v>0</v>
      </c>
      <c r="R6">
        <f>COUNTIF('remet-wind'!AM10:'remet-wind'!AM11,"=0.13")/COUNT('remet-wind'!AM10:'remet-wind'!AM11)</f>
        <v>0</v>
      </c>
      <c r="S6">
        <f>COUNTIF('remet-wind'!AM10:'remet-wind'!AM11,"=0.16")/COUNT('remet-wind'!AM10:'remet-wind'!AM11)</f>
        <v>1</v>
      </c>
      <c r="T6">
        <f>COUNTIF('remet-wind'!AM10:'remet-wind'!AM11,"=0.22")/COUNT('remet-wind'!AM10:'remet-wind'!AM11)</f>
        <v>0</v>
      </c>
      <c r="U6">
        <f>COUNTIF('remet-wind'!Y10:'remet-wind'!Y11,"=1")/COUNT('remet-wind'!Y10:'remet-wind'!Y11)</f>
        <v>1</v>
      </c>
      <c r="V6">
        <f>COUNTIF('remet-wind'!Y10:'remet-wind'!Y11,"&gt;1")/COUNT('remet-wind'!Y10:'remet-wind'!Y11)</f>
        <v>0</v>
      </c>
      <c r="W6">
        <f>COUNTIF('remet-wind'!AS10:'remet-wind'!AS11,"=1")/COUNT('remet-wind'!AS10:'remet-wind'!AS11)</f>
        <v>0</v>
      </c>
      <c r="X6">
        <f>COUNTIF('remet-wind'!AT10:'remet-wind'!AT11,"=1")/COUNT('remet-wind'!AT10:'remet-wind'!AT11)</f>
        <v>0</v>
      </c>
      <c r="Y6">
        <f>1-W6-X6</f>
        <v>1</v>
      </c>
      <c r="Z6">
        <f>COUNTIF('remet-wind'!AW10:'remet-wind'!AW11,"=1")/COUNT('remet-wind'!AW10:'remet-wind'!AW11)</f>
        <v>0</v>
      </c>
      <c r="AA6">
        <f>COUNTIF('remet-wind'!AX10:'remet-wind'!AX11,"=1")/COUNT('remet-wind'!AX10:'remet-wind'!AX11)</f>
        <v>0</v>
      </c>
      <c r="AB6">
        <f>COUNTIF('remet-wind'!AY10:'remet-wind'!AY11,"=1")/COUNT('remet-wind'!AY10:'remet-wind'!AY11)</f>
        <v>1</v>
      </c>
      <c r="AC6">
        <f>COUNTIF('remet-wind'!BF10:'remet-wind'!BF11,"=1")/COUNT('remet-wind'!BF10:'remet-wind'!BF11)</f>
        <v>0</v>
      </c>
      <c r="AD6">
        <f t="shared" si="0"/>
        <v>1</v>
      </c>
      <c r="AE6">
        <f>COUNTIF('remet-wind'!BG10:'remet-wind'!BG11,"=1")/COUNT('remet-wind'!BG10:'remet-wind'!BG11)</f>
        <v>0</v>
      </c>
      <c r="AF6">
        <f t="shared" si="1"/>
        <v>1</v>
      </c>
    </row>
    <row r="7" spans="1:32" ht="27">
      <c r="A7" t="s">
        <v>62</v>
      </c>
      <c r="B7" t="s">
        <v>2203</v>
      </c>
      <c r="C7" s="53" t="s">
        <v>2203</v>
      </c>
      <c r="D7" s="55" t="s">
        <v>2207</v>
      </c>
      <c r="E7">
        <f>COUNTIF('remet-wind'!Q13,"&lt;=10")</f>
        <v>0</v>
      </c>
      <c r="F7">
        <f>COUNTIFS('remet-wind'!Q13,"&gt;10",'remet-wind'!Q13,"&lt;=25")</f>
        <v>0</v>
      </c>
      <c r="G7">
        <f>COUNTIFS('remet-wind'!Q13,"&gt;25",'remet-wind'!Q13,"&lt;=100")</f>
        <v>1</v>
      </c>
      <c r="H7">
        <f>COUNTIFS('remet-wind'!Q13,"&gt;100")</f>
        <v>0</v>
      </c>
      <c r="I7">
        <f>COUNTIF('remet-wind'!W13,"&lt;=100")</f>
        <v>0</v>
      </c>
      <c r="J7">
        <f>COUNTIFS('remet-wind'!W13,"&gt;100",'remet-wind'!W13,"&lt;=500")</f>
        <v>0</v>
      </c>
      <c r="K7">
        <f>COUNTIFS('remet-wind'!W13,"&gt;500",'remet-wind'!W13,"&lt;=1000")</f>
        <v>1</v>
      </c>
      <c r="L7">
        <f>COUNTIFS('remet-wind'!W13,"&gt;1000")</f>
        <v>0</v>
      </c>
      <c r="M7">
        <f>COUNTIF('remet-wind'!X13,"&lt;=100")</f>
        <v>0</v>
      </c>
      <c r="N7">
        <f>COUNTIFS('remet-wind'!X13,"&gt;100",'remet-wind'!X13,"&lt;=1000")</f>
        <v>0</v>
      </c>
      <c r="O7">
        <f>COUNTIFS('remet-wind'!X13,"&gt;1000",'remet-wind'!X13,"&lt;=10000")</f>
        <v>1</v>
      </c>
      <c r="P7">
        <f>COUNTIFS('remet-wind'!X13,"&gt;10000")</f>
        <v>0</v>
      </c>
      <c r="Q7">
        <f>COUNTIF('remet-wind'!AM13,"=0.11")</f>
        <v>1</v>
      </c>
      <c r="R7">
        <f>COUNTIFS('remet-wind'!AM13,"0.13")</f>
        <v>0</v>
      </c>
      <c r="S7">
        <f>COUNTIFS('remet-wind'!AM13,"0.16")</f>
        <v>0</v>
      </c>
      <c r="T7">
        <f>COUNTIFS('remet-wind'!AM13,"=0.22")</f>
        <v>0</v>
      </c>
      <c r="U7">
        <f>COUNTIF('remet-wind'!Y13,"=1")</f>
        <v>1</v>
      </c>
      <c r="V7">
        <f>COUNTIF('remet-wind'!Y13,"&gt;1")</f>
        <v>0</v>
      </c>
      <c r="W7">
        <f>COUNTIF('remet-wind'!AS13,"=1")</f>
        <v>0</v>
      </c>
      <c r="X7">
        <f>COUNTIF('remet-wind'!AT13,"=1")</f>
        <v>0</v>
      </c>
      <c r="Y7">
        <f>1-W7-X7</f>
        <v>1</v>
      </c>
      <c r="Z7">
        <f>COUNTIF('remet-wind'!AW13,"=1")</f>
        <v>0</v>
      </c>
      <c r="AA7">
        <f>COUNTIF('remet-wind'!AX13,"=1")</f>
        <v>1</v>
      </c>
      <c r="AB7">
        <f>COUNTIF('remet-wind'!AY13,"=1")</f>
        <v>0</v>
      </c>
      <c r="AC7">
        <f>COUNTIF('remet-wind'!BF13,"=1")</f>
        <v>0</v>
      </c>
      <c r="AD7">
        <f t="shared" si="0"/>
        <v>1</v>
      </c>
      <c r="AE7">
        <f>COUNTIF('remet-wind'!BG13,"=1")</f>
        <v>1</v>
      </c>
      <c r="AF7">
        <f t="shared" si="1"/>
        <v>0</v>
      </c>
    </row>
    <row r="8" spans="1:32" ht="27">
      <c r="A8" t="s">
        <v>3567</v>
      </c>
      <c r="B8" t="s">
        <v>677</v>
      </c>
      <c r="C8" s="53" t="s">
        <v>677</v>
      </c>
      <c r="D8" s="55" t="s">
        <v>674</v>
      </c>
      <c r="E8">
        <f>COUNTIF('remet-wind'!Q15,"&lt;=10")</f>
        <v>0</v>
      </c>
      <c r="F8">
        <f>COUNTIFS('remet-wind'!Q15,"&gt;10",'remet-wind'!Q15,"&lt;=25")</f>
        <v>0</v>
      </c>
      <c r="G8">
        <f>COUNTIFS('remet-wind'!Q15,"&gt;25",'remet-wind'!Q15,"&lt;=100")</f>
        <v>1</v>
      </c>
      <c r="H8">
        <f>COUNTIFS('remet-wind'!Q15,"&gt;100")</f>
        <v>0</v>
      </c>
      <c r="I8">
        <f>COUNTIF('remet-wind'!W15,"&lt;=100")</f>
        <v>0</v>
      </c>
      <c r="J8">
        <f>COUNTIFS('remet-wind'!W15,"&gt;100",'remet-wind'!W15,"&lt;=500")</f>
        <v>0</v>
      </c>
      <c r="K8">
        <f>COUNTIFS('remet-wind'!W15,"&gt;500",'remet-wind'!W15,"&lt;=1000")</f>
        <v>0</v>
      </c>
      <c r="L8">
        <f>COUNTIFS('remet-wind'!W15,"&gt;1000")</f>
        <v>1</v>
      </c>
      <c r="M8">
        <f>COUNTIF('remet-wind'!X15,"&lt;=100")</f>
        <v>0</v>
      </c>
      <c r="N8">
        <f>COUNTIFS('remet-wind'!X15,"&gt;100",'remet-wind'!X15,"&lt;=1000")</f>
        <v>0</v>
      </c>
      <c r="O8">
        <f>COUNTIFS('remet-wind'!X15,"&gt;1000",'remet-wind'!X15,"&lt;=10000")</f>
        <v>0</v>
      </c>
      <c r="P8">
        <f>COUNTIFS('remet-wind'!X15,"&gt;10000")</f>
        <v>1</v>
      </c>
      <c r="Q8">
        <f>COUNTIF('remet-wind'!AM15,"=0.11")</f>
        <v>0</v>
      </c>
      <c r="R8">
        <f>COUNTIFS('remet-wind'!AM15,"0.13")</f>
        <v>1</v>
      </c>
      <c r="S8">
        <f>COUNTIFS('remet-wind'!AM15,"0.16")</f>
        <v>0</v>
      </c>
      <c r="T8">
        <f>COUNTIFS('remet-wind'!AM15,"=0.22")</f>
        <v>0</v>
      </c>
      <c r="U8">
        <f>COUNTIF('remet-wind'!Y15,"=1")</f>
        <v>1</v>
      </c>
      <c r="V8">
        <f>COUNTIF('remet-wind'!Y15,"&gt;1")</f>
        <v>0</v>
      </c>
      <c r="W8">
        <f>COUNTIF('remet-wind'!AS15,"=1")</f>
        <v>1</v>
      </c>
      <c r="X8">
        <f>COUNTIF('remet-wind'!AT15,"=1")</f>
        <v>0</v>
      </c>
      <c r="Y8">
        <f>1-W8-X8</f>
        <v>0</v>
      </c>
      <c r="Z8">
        <f>COUNTIF('remet-wind'!AW15,"=1")</f>
        <v>0</v>
      </c>
      <c r="AA8">
        <f>COUNTIF('remet-wind'!AX15,"=1")</f>
        <v>1</v>
      </c>
      <c r="AB8">
        <f>COUNTIF('remet-wind'!AY15,"=1")</f>
        <v>0</v>
      </c>
      <c r="AC8">
        <f>COUNTIF('remet-wind'!BF15,"=1")</f>
        <v>0</v>
      </c>
      <c r="AD8">
        <f t="shared" si="0"/>
        <v>1</v>
      </c>
      <c r="AE8">
        <f>COUNTIF('remet-wind'!BG15,"=1")</f>
        <v>0</v>
      </c>
      <c r="AF8">
        <f t="shared" si="1"/>
        <v>1</v>
      </c>
    </row>
    <row r="9" spans="1:32" ht="17">
      <c r="A9" t="s">
        <v>63</v>
      </c>
      <c r="B9" t="s">
        <v>3253</v>
      </c>
      <c r="C9" s="53" t="s">
        <v>3253</v>
      </c>
    </row>
    <row r="10" spans="1:32" ht="153">
      <c r="A10" t="s">
        <v>63</v>
      </c>
      <c r="B10" t="s">
        <v>48</v>
      </c>
      <c r="C10" s="53" t="s">
        <v>48</v>
      </c>
      <c r="D10" s="53" t="s">
        <v>3562</v>
      </c>
      <c r="E10">
        <f>COUNTIF('remet-wind'!Q17:'remet-wind'!Q18,"&lt;=10")/COUNT('remet-wind'!Q17:'remet-wind'!Q18)</f>
        <v>0</v>
      </c>
      <c r="F10">
        <f>COUNTIFS('remet-wind'!Q17:'remet-wind'!Q18,"&gt;10",'remet-wind'!Q17:'remet-wind'!Q18,"&lt;=25")/COUNT('remet-wind'!Q17:'remet-wind'!Q18)</f>
        <v>0</v>
      </c>
      <c r="G10">
        <f>COUNTIFS('remet-wind'!Q17:'remet-wind'!Q18,"&gt;25",'remet-wind'!Q17:'remet-wind'!Q18,"&lt;=100")/COUNT('remet-wind'!Q17:'remet-wind'!Q18)</f>
        <v>1</v>
      </c>
      <c r="H10">
        <f>COUNTIFS('remet-wind'!Q17:'remet-wind'!Q18,"&gt;100")/COUNT('remet-wind'!Q17:'remet-wind'!Q18)</f>
        <v>0</v>
      </c>
      <c r="I10">
        <f>COUNTIF('remet-wind'!W17:'remet-wind'!W18,"&lt;=100")/COUNT('remet-wind'!W17:'remet-wind'!W18)</f>
        <v>0</v>
      </c>
      <c r="J10">
        <f>COUNTIFS('remet-wind'!W17:'remet-wind'!W18,"&gt;100",'remet-wind'!W17:'remet-wind'!W18,"&lt;=500")/COUNT('remet-wind'!W17:'remet-wind'!W18)</f>
        <v>0</v>
      </c>
      <c r="K10">
        <f>COUNTIFS('remet-wind'!W17:'remet-wind'!W18,"&gt;500",'remet-wind'!W17:'remet-wind'!W18,"&lt;=1000")/COUNT('remet-wind'!W17:'remet-wind'!W18)</f>
        <v>0</v>
      </c>
      <c r="L10">
        <f>COUNTIFS('remet-wind'!W17:'remet-wind'!W18,"&gt;1000")/COUNT('remet-wind'!W17:'remet-wind'!W18)</f>
        <v>1</v>
      </c>
      <c r="M10">
        <f>COUNTIF('remet-wind'!X17:'remet-wind'!X18,"&lt;=100")/COUNT('remet-wind'!X17:'remet-wind'!X18)</f>
        <v>0</v>
      </c>
      <c r="N10">
        <f>COUNTIFS('remet-wind'!X17:'remet-wind'!X18,"&gt;100",'remet-wind'!X17:'remet-wind'!X18,"&lt;=1000")/COUNT('remet-wind'!X17:'remet-wind'!X18)</f>
        <v>0</v>
      </c>
      <c r="O10">
        <f>COUNTIFS('remet-wind'!X17:'remet-wind'!X18,"&gt;1000",'remet-wind'!X17:'remet-wind'!X18,"&lt;=10000")/COUNT('remet-wind'!X17:'remet-wind'!X18)</f>
        <v>1</v>
      </c>
      <c r="P10">
        <f>COUNTIFS('remet-wind'!X17:'remet-wind'!X18,"&gt;10000")/COUNT('remet-wind'!X17:'remet-wind'!X18)</f>
        <v>0</v>
      </c>
      <c r="Q10">
        <f>COUNTIF('remet-wind'!AM17:'remet-wind'!AM18,"=0.11")/COUNT('remet-wind'!AM17:'remet-wind'!AM18)</f>
        <v>1</v>
      </c>
      <c r="R10">
        <f>COUNTIF('remet-wind'!AM17:'remet-wind'!AM18,"=0.13")/COUNT('remet-wind'!AM17:'remet-wind'!AM18)</f>
        <v>0</v>
      </c>
      <c r="S10">
        <f>COUNTIF('remet-wind'!AM17:'remet-wind'!AM18,"=0.16")/COUNT('remet-wind'!AM17:'remet-wind'!AM18)</f>
        <v>0</v>
      </c>
      <c r="T10">
        <f>COUNTIF('remet-wind'!AM17:'remet-wind'!AM18,"=0.22")/COUNT('remet-wind'!AM17:'remet-wind'!AM18)</f>
        <v>0</v>
      </c>
      <c r="U10">
        <f>COUNTIF('remet-wind'!Y17:'remet-wind'!Y18,"=1")/COUNT('remet-wind'!Y17:'remet-wind'!Y18)</f>
        <v>1</v>
      </c>
      <c r="V10">
        <f>COUNTIF('remet-wind'!Y17:'remet-wind'!Y18,"&gt;1")/COUNT('remet-wind'!Y17:'remet-wind'!Y18)</f>
        <v>0</v>
      </c>
      <c r="W10">
        <f>COUNTIF('remet-wind'!AS17:'remet-wind'!AS18,"=1")/COUNT('remet-wind'!AS17:'remet-wind'!AS18)</f>
        <v>1</v>
      </c>
      <c r="X10">
        <f>COUNTIF('remet-wind'!AT17:'remet-wind'!AT18,"=1")/COUNT('remet-wind'!AT17:'remet-wind'!AT18)</f>
        <v>0</v>
      </c>
      <c r="Y10">
        <f>1-W10-X10</f>
        <v>0</v>
      </c>
      <c r="Z10">
        <f>COUNTIF('remet-wind'!AW17:'remet-wind'!AW18,"=1")/COUNT('remet-wind'!AW17:'remet-wind'!AW18)</f>
        <v>0</v>
      </c>
      <c r="AA10">
        <f>COUNTIF('remet-wind'!AX17:'remet-wind'!AX18,"=1")/COUNT('remet-wind'!AX17:'remet-wind'!AX18)</f>
        <v>1</v>
      </c>
      <c r="AB10">
        <f>COUNTIF('remet-wind'!AY17:'remet-wind'!AY18,"=1")/COUNT('remet-wind'!AY17:'remet-wind'!AY18)</f>
        <v>0</v>
      </c>
      <c r="AC10" t="e">
        <f>COUNTIF('remet-wind'!BF17:'remet-wind'!BF18,"=1")/COUNT('remet-wind'!BF17:'remet-wind'!BF18)</f>
        <v>#DIV/0!</v>
      </c>
      <c r="AD10" t="e">
        <f t="shared" si="0"/>
        <v>#DIV/0!</v>
      </c>
      <c r="AE10" t="e">
        <f>COUNTIF('remet-wind'!BG17:'remet-wind'!BG18,"=1")/COUNT('remet-wind'!BG17:'remet-wind'!BG18)</f>
        <v>#DIV/0!</v>
      </c>
      <c r="AF10" t="e">
        <f t="shared" si="1"/>
        <v>#DIV/0!</v>
      </c>
    </row>
    <row r="11" spans="1:32" ht="102">
      <c r="A11" t="s">
        <v>64</v>
      </c>
      <c r="B11" t="s">
        <v>57</v>
      </c>
      <c r="C11" s="53" t="s">
        <v>57</v>
      </c>
      <c r="D11" s="53" t="s">
        <v>3561</v>
      </c>
      <c r="E11">
        <f>COUNTIF('remet-wind'!Q20:'remet-wind'!Q21,"&lt;=10")/COUNT('remet-wind'!Q20:'remet-wind'!Q21)</f>
        <v>0</v>
      </c>
      <c r="F11">
        <f>COUNTIFS('remet-wind'!Q20:'remet-wind'!Q21,"&gt;10",'remet-wind'!Q20:'remet-wind'!Q21,"&lt;=25")/COUNT('remet-wind'!Q20:'remet-wind'!Q21)</f>
        <v>1</v>
      </c>
      <c r="G11">
        <f>COUNTIFS('remet-wind'!Q20:'remet-wind'!Q21,"&gt;25",'remet-wind'!Q20:'remet-wind'!Q21,"&lt;=100")/COUNT('remet-wind'!Q20:'remet-wind'!Q21)</f>
        <v>0</v>
      </c>
      <c r="H11">
        <f>COUNTIFS('remet-wind'!Q20:'remet-wind'!Q21,"&gt;100")/COUNT('remet-wind'!Q20:'remet-wind'!Q21)</f>
        <v>0</v>
      </c>
      <c r="I11">
        <f>COUNTIF('remet-wind'!W20:'remet-wind'!W21,"&lt;=100")/COUNT('remet-wind'!W20:'remet-wind'!W21)</f>
        <v>0</v>
      </c>
      <c r="J11">
        <f>COUNTIFS('remet-wind'!W20:'remet-wind'!W21,"&gt;100",'remet-wind'!W20:'remet-wind'!W21,"&lt;=500")/COUNT('remet-wind'!W20:'remet-wind'!W21)</f>
        <v>0</v>
      </c>
      <c r="K11">
        <f>COUNTIFS('remet-wind'!W20:'remet-wind'!W21,"&gt;500",'remet-wind'!W20:'remet-wind'!W21,"&lt;=1000")/COUNT('remet-wind'!W20:'remet-wind'!W21)</f>
        <v>0</v>
      </c>
      <c r="L11">
        <f>COUNTIFS('remet-wind'!W20:'remet-wind'!W21,"&gt;1000")/COUNT('remet-wind'!W20:'remet-wind'!W21)</f>
        <v>1</v>
      </c>
      <c r="M11">
        <f>COUNTIF('remet-wind'!X20:'remet-wind'!X21,"&lt;=100")/COUNT('remet-wind'!X20:'remet-wind'!X21)</f>
        <v>0</v>
      </c>
      <c r="N11">
        <f>COUNTIFS('remet-wind'!X20:'remet-wind'!X21,"&gt;100",'remet-wind'!X20:'remet-wind'!X21,"&lt;=1000")/COUNT('remet-wind'!X20:'remet-wind'!X21)</f>
        <v>0</v>
      </c>
      <c r="O11">
        <f>COUNTIFS('remet-wind'!X20:'remet-wind'!X21,"&gt;1000",'remet-wind'!X20:'remet-wind'!X21,"&lt;=10000")/COUNT('remet-wind'!X20:'remet-wind'!X21)</f>
        <v>1</v>
      </c>
      <c r="P11">
        <f>COUNTIFS('remet-wind'!X20:'remet-wind'!X21,"&gt;10000")/COUNT('remet-wind'!X20:'remet-wind'!X21)</f>
        <v>0</v>
      </c>
      <c r="Q11">
        <f>COUNTIF('remet-wind'!AM20:'remet-wind'!AM21,"=0.11")/COUNT('remet-wind'!AM20:'remet-wind'!AM21)</f>
        <v>1</v>
      </c>
      <c r="R11">
        <f>COUNTIF('remet-wind'!AM20:'remet-wind'!AM21,"=0.13")/COUNT('remet-wind'!AM20:'remet-wind'!AM21)</f>
        <v>0</v>
      </c>
      <c r="S11">
        <f>COUNTIF('remet-wind'!AM20:'remet-wind'!AM21,"=0.16")/COUNT('remet-wind'!AM20:'remet-wind'!AM21)</f>
        <v>0</v>
      </c>
      <c r="T11">
        <f>COUNTIF('remet-wind'!AM20:'remet-wind'!AM21,"=0.22")/COUNT('remet-wind'!AM20:'remet-wind'!AM21)</f>
        <v>0</v>
      </c>
      <c r="U11">
        <f>COUNTIF('remet-wind'!Y20:'remet-wind'!Y21,"=1")/COUNT('remet-wind'!Y20:'remet-wind'!Y21)</f>
        <v>1</v>
      </c>
      <c r="V11">
        <f>COUNTIF('remet-wind'!Y20:'remet-wind'!Y21,"&gt;1")/COUNT('remet-wind'!Y20:'remet-wind'!Y21)</f>
        <v>0</v>
      </c>
      <c r="W11">
        <f>COUNTIF('remet-wind'!AS20:'remet-wind'!AS21,"=1")/COUNT('remet-wind'!AS20:'remet-wind'!AS21)</f>
        <v>1</v>
      </c>
      <c r="X11">
        <f>COUNTIF('remet-wind'!AT20:'remet-wind'!AT21,"=1")/COUNT('remet-wind'!AT20:'remet-wind'!AT21)</f>
        <v>0</v>
      </c>
      <c r="Y11">
        <f>1-W11-X11</f>
        <v>0</v>
      </c>
      <c r="Z11">
        <f>COUNTIF('remet-wind'!AW20:'remet-wind'!AW21,"=1")/COUNT('remet-wind'!AW20:'remet-wind'!AW21)</f>
        <v>0</v>
      </c>
      <c r="AA11">
        <f>COUNTIF('remet-wind'!AX20:'remet-wind'!AX21,"=1")/COUNT('remet-wind'!AX20:'remet-wind'!AX21)</f>
        <v>1</v>
      </c>
      <c r="AB11">
        <f>COUNTIF('remet-wind'!AY20:'remet-wind'!AY21,"=1")/COUNT('remet-wind'!AY20:'remet-wind'!AY21)</f>
        <v>0</v>
      </c>
      <c r="AC11">
        <f>COUNTIF('remet-wind'!BF20:'remet-wind'!BF21,"=1")/COUNT('remet-wind'!BF20:'remet-wind'!BF21)</f>
        <v>0</v>
      </c>
      <c r="AD11">
        <f t="shared" si="0"/>
        <v>1</v>
      </c>
      <c r="AE11">
        <f>COUNTIF('remet-wind'!BG20:'remet-wind'!BG21,"=1")/COUNT('remet-wind'!BG20:'remet-wind'!BG21)</f>
        <v>0</v>
      </c>
      <c r="AF11">
        <f t="shared" si="1"/>
        <v>1</v>
      </c>
    </row>
    <row r="12" spans="1:32" ht="17">
      <c r="A12" t="s">
        <v>3567</v>
      </c>
      <c r="B12" t="s">
        <v>702</v>
      </c>
      <c r="C12" s="53" t="s">
        <v>702</v>
      </c>
    </row>
    <row r="13" spans="1:32" ht="34">
      <c r="A13" s="22" t="s">
        <v>991</v>
      </c>
      <c r="B13" t="s">
        <v>1203</v>
      </c>
      <c r="C13" s="53" t="s">
        <v>1203</v>
      </c>
      <c r="D13" s="53" t="s">
        <v>1225</v>
      </c>
      <c r="E13">
        <f>COUNTIF('remet-wind'!Q97:'remet-wind'!Q99,"&lt;=10")/COUNT('remet-wind'!Q97:'remet-wind'!Q99)</f>
        <v>0.33333333333333331</v>
      </c>
      <c r="F13">
        <f>COUNTIFS('remet-wind'!Q97:'remet-wind'!Q99,"&gt;10",'remet-wind'!Q97:'remet-wind'!Q99,"&lt;=25")/COUNT('remet-wind'!Q97:'remet-wind'!Q99)</f>
        <v>0.33333333333333331</v>
      </c>
      <c r="G13">
        <f>COUNTIFS('remet-wind'!Q97:'remet-wind'!Q99,"&gt;25",'remet-wind'!Q97:'remet-wind'!Q99,"&lt;=100")/COUNT('remet-wind'!Q97:'remet-wind'!Q99)</f>
        <v>0.33333333333333331</v>
      </c>
      <c r="H13">
        <f>COUNTIFS('remet-wind'!Q97:'remet-wind'!Q99,"&gt;100")/COUNT('remet-wind'!Q97:'remet-wind'!Q99)</f>
        <v>0</v>
      </c>
      <c r="I13">
        <f>COUNTIF('remet-wind'!W97:'remet-wind'!W99,"&lt;=100")/COUNT('remet-wind'!W97:'remet-wind'!W99)</f>
        <v>0</v>
      </c>
      <c r="J13">
        <f>COUNTIFS('remet-wind'!W97:'remet-wind'!W99,"&gt;100",'remet-wind'!W97:'remet-wind'!W99,"&lt;=500")/COUNT('remet-wind'!W97:'remet-wind'!W99)</f>
        <v>0</v>
      </c>
      <c r="K13">
        <f>COUNTIFS('remet-wind'!W97:'remet-wind'!W99,"&gt;500",'remet-wind'!W97:'remet-wind'!W99,"&lt;=1000")/COUNT('remet-wind'!W97:'remet-wind'!W99)</f>
        <v>0.33333333333333331</v>
      </c>
      <c r="L13">
        <f>COUNTIFS('remet-wind'!W97:'remet-wind'!W99,"&gt;1000")/COUNT('remet-wind'!W97:'remet-wind'!W99)</f>
        <v>0.66666666666666663</v>
      </c>
      <c r="M13">
        <f>COUNTIF('remet-wind'!X97:'remet-wind'!X99,"&lt;=100")/COUNT('remet-wind'!X97:'remet-wind'!X99)</f>
        <v>0</v>
      </c>
      <c r="N13">
        <f>COUNTIFS('remet-wind'!X97:'remet-wind'!X99,"&gt;100",'remet-wind'!X97:'remet-wind'!X99,"&lt;=1000")/COUNT('remet-wind'!X97:'remet-wind'!X99)</f>
        <v>0.66666666666666663</v>
      </c>
      <c r="O13">
        <f>COUNTIFS('remet-wind'!X97:'remet-wind'!X99,"&gt;1000",'remet-wind'!X97:'remet-wind'!X99,"&lt;=10000")/COUNT('remet-wind'!X97:'remet-wind'!X99)</f>
        <v>0.33333333333333331</v>
      </c>
      <c r="P13">
        <f>COUNTIFS('remet-wind'!X97:'remet-wind'!X99,"&gt;10000")/COUNT('remet-wind'!X97:'remet-wind'!X99)</f>
        <v>0</v>
      </c>
      <c r="Q13">
        <f>COUNTIF('remet-wind'!AM97:'remet-wind'!AM99,"=0.11")/COUNT('remet-wind'!AM97:'remet-wind'!AM99)</f>
        <v>1</v>
      </c>
      <c r="R13">
        <f>COUNTIF('remet-wind'!AM97:'remet-wind'!AM99,"=0.13")/COUNT('remet-wind'!AM97:'remet-wind'!AM99)</f>
        <v>0</v>
      </c>
      <c r="S13">
        <f>COUNTIF('remet-wind'!AM97:'remet-wind'!AM99,"=0.16")/COUNT('remet-wind'!AM97:'remet-wind'!AM99)</f>
        <v>0</v>
      </c>
      <c r="T13">
        <f>COUNTIF('remet-wind'!AM97:'remet-wind'!AM99,"=0.22")/COUNT('remet-wind'!AM97:'remet-wind'!AM99)</f>
        <v>0</v>
      </c>
      <c r="U13">
        <f>COUNTIF('remet-wind'!Y97:'remet-wind'!Y99,"=1")/COUNT('remet-wind'!Y97:'remet-wind'!Y99)</f>
        <v>1</v>
      </c>
      <c r="V13">
        <f>COUNTIF('remet-wind'!Y97:'remet-wind'!Y99,"&gt;1")/COUNT('remet-wind'!Y97:'remet-wind'!Y99)</f>
        <v>0</v>
      </c>
      <c r="W13">
        <f>COUNTIF('remet-wind'!AS97:'remet-wind'!AS99,"=1")/COUNT('remet-wind'!AS97:'remet-wind'!AS99)</f>
        <v>1</v>
      </c>
      <c r="X13">
        <f>COUNTIF('remet-wind'!AT97:'remet-wind'!AT99,"=1")/COUNT('remet-wind'!AT97:'remet-wind'!AT99)</f>
        <v>0</v>
      </c>
      <c r="Y13">
        <f>1-W13-X13</f>
        <v>0</v>
      </c>
      <c r="Z13">
        <f>COUNTIF('remet-wind'!AW97:'remet-wind'!AW99,"=1")/COUNT('remet-wind'!AW97:'remet-wind'!AW99)</f>
        <v>0</v>
      </c>
      <c r="AA13">
        <f>COUNTIF('remet-wind'!AX97:'remet-wind'!AX99,"=1")/COUNT('remet-wind'!AX97:'remet-wind'!AX99)</f>
        <v>1</v>
      </c>
      <c r="AB13">
        <f>COUNTIF('remet-wind'!AY97:'remet-wind'!AY99,"=1")/COUNT('remet-wind'!AY97:'remet-wind'!AY99)</f>
        <v>0</v>
      </c>
      <c r="AC13">
        <f>COUNTIF('remet-wind'!BF97:'remet-wind'!BF99,"=1")/COUNT('remet-wind'!BF97:'remet-wind'!BF99)</f>
        <v>0</v>
      </c>
      <c r="AD13">
        <f t="shared" si="0"/>
        <v>1</v>
      </c>
      <c r="AE13">
        <f>COUNTIF('remet-wind'!BG97:'remet-wind'!BG99,"=1")/COUNT('remet-wind'!BG97:'remet-wind'!BG99)</f>
        <v>1</v>
      </c>
      <c r="AF13">
        <f t="shared" si="1"/>
        <v>0</v>
      </c>
    </row>
    <row r="14" spans="1:32" ht="68">
      <c r="A14" t="s">
        <v>3567</v>
      </c>
      <c r="B14" t="s">
        <v>56</v>
      </c>
      <c r="C14" s="53" t="s">
        <v>56</v>
      </c>
      <c r="D14" s="53" t="s">
        <v>3563</v>
      </c>
      <c r="E14">
        <f>COUNTIF('remet-wind'!Q32:'remet-wind'!Q34,"&lt;=10")/COUNT('remet-wind'!Q32:'remet-wind'!Q34)</f>
        <v>0</v>
      </c>
      <c r="F14">
        <f>COUNTIFS('remet-wind'!Q32:'remet-wind'!Q34,"&gt;10",'remet-wind'!Q32:'remet-wind'!Q34,"&lt;=25")/COUNT('remet-wind'!Q32:'remet-wind'!Q34)</f>
        <v>0.33333333333333331</v>
      </c>
      <c r="G14">
        <f>COUNTIFS('remet-wind'!Q32:'remet-wind'!Q34,"&gt;25",'remet-wind'!Q32:'remet-wind'!Q34,"&lt;=100")/COUNT('remet-wind'!Q32:'remet-wind'!Q34)</f>
        <v>0.66666666666666663</v>
      </c>
      <c r="H14">
        <f>COUNTIFS('remet-wind'!Q32:'remet-wind'!Q34,"&gt;100")/COUNT('remet-wind'!Q32:'remet-wind'!Q34)</f>
        <v>0</v>
      </c>
      <c r="I14">
        <f>COUNTIF('remet-wind'!W32:'remet-wind'!W34,"&lt;=100")/COUNT('remet-wind'!W32:'remet-wind'!W34)</f>
        <v>0</v>
      </c>
      <c r="J14">
        <f>COUNTIFS('remet-wind'!W32:'remet-wind'!W34,"&gt;100",'remet-wind'!W32:'remet-wind'!W34,"&lt;=500")/COUNT('remet-wind'!W32:'remet-wind'!W34)</f>
        <v>0</v>
      </c>
      <c r="K14">
        <f>COUNTIFS('remet-wind'!W32:'remet-wind'!W34,"&gt;500",'remet-wind'!W32:'remet-wind'!W34,"&lt;=1000")/COUNT('remet-wind'!W32:'remet-wind'!W34)</f>
        <v>0.33333333333333331</v>
      </c>
      <c r="L14">
        <f>COUNTIFS('remet-wind'!W32:'remet-wind'!W34,"&gt;1000")/COUNT('remet-wind'!W32:'remet-wind'!W34)</f>
        <v>0.66666666666666663</v>
      </c>
      <c r="M14">
        <f>COUNTIF('remet-wind'!X32:'remet-wind'!X34,"&lt;=100")/COUNT('remet-wind'!X32:'remet-wind'!X34)</f>
        <v>0</v>
      </c>
      <c r="N14">
        <f>COUNTIFS('remet-wind'!X32:'remet-wind'!X34,"&gt;100",'remet-wind'!X32:'remet-wind'!X34,"&lt;=1000")/COUNT('remet-wind'!X32:'remet-wind'!X34)</f>
        <v>0.33333333333333331</v>
      </c>
      <c r="O14">
        <f>COUNTIFS('remet-wind'!X32:'remet-wind'!X34,"&gt;1000",'remet-wind'!X32:'remet-wind'!X34,"&lt;=10000")/COUNT('remet-wind'!X32:'remet-wind'!X34)</f>
        <v>0.33333333333333331</v>
      </c>
      <c r="P14">
        <f>COUNTIFS('remet-wind'!X32:'remet-wind'!X34,"&gt;10000")/COUNT('remet-wind'!X32:'remet-wind'!X34)</f>
        <v>0.33333333333333331</v>
      </c>
      <c r="Q14">
        <f>COUNTIF('remet-wind'!AM32:'remet-wind'!AM34,"=0.11")/COUNT('remet-wind'!AM32:'remet-wind'!AM34)</f>
        <v>0</v>
      </c>
      <c r="R14">
        <f>COUNTIF('remet-wind'!AM32:'remet-wind'!AM34,"=0.13")/COUNT('remet-wind'!AM32:'remet-wind'!AM34)</f>
        <v>1</v>
      </c>
      <c r="S14">
        <f>COUNTIF('remet-wind'!AM32:'remet-wind'!AM34,"=0.16")/COUNT('remet-wind'!AM32:'remet-wind'!AM34)</f>
        <v>0</v>
      </c>
      <c r="T14">
        <f>COUNTIF('remet-wind'!AM32:'remet-wind'!AM34,"=0.22")/COUNT('remet-wind'!AM32:'remet-wind'!AM34)</f>
        <v>0</v>
      </c>
      <c r="U14">
        <f>COUNTIF('remet-wind'!Y32:'remet-wind'!Y34,"=1")/COUNT('remet-wind'!Y32:'remet-wind'!Y34)</f>
        <v>1</v>
      </c>
      <c r="V14">
        <f>COUNTIF('remet-wind'!Y32:'remet-wind'!Y34,"&gt;1")/COUNT('remet-wind'!Y32:'remet-wind'!Y34)</f>
        <v>0</v>
      </c>
      <c r="W14">
        <f>COUNTIF('remet-wind'!AS32:'remet-wind'!AS34,"=1")/COUNT('remet-wind'!AS32:'remet-wind'!AS34)</f>
        <v>1</v>
      </c>
      <c r="X14">
        <f>COUNTIF('remet-wind'!AT32:'remet-wind'!AT34,"=1")/COUNT('remet-wind'!AT32:'remet-wind'!AT34)</f>
        <v>0</v>
      </c>
      <c r="Y14">
        <f>1-W14-X14</f>
        <v>0</v>
      </c>
      <c r="Z14">
        <f>COUNTIF('remet-wind'!AW32:'remet-wind'!AW34,"=1")/COUNT('remet-wind'!AW32:'remet-wind'!AW34)</f>
        <v>0</v>
      </c>
      <c r="AA14">
        <f>COUNTIF('remet-wind'!AX32:'remet-wind'!AX34,"=1")/COUNT('remet-wind'!AX32:'remet-wind'!AX34)</f>
        <v>1</v>
      </c>
      <c r="AB14">
        <f>COUNTIF('remet-wind'!AY32:'remet-wind'!AY34,"=1")/COUNT('remet-wind'!AY32:'remet-wind'!AY34)</f>
        <v>0</v>
      </c>
      <c r="AC14">
        <f>COUNTIF('remet-wind'!BF32:'remet-wind'!BF34,"=1")/COUNT('remet-wind'!BF32:'remet-wind'!BF34)</f>
        <v>0</v>
      </c>
      <c r="AD14">
        <f t="shared" si="0"/>
        <v>1</v>
      </c>
      <c r="AE14">
        <f>COUNTIF('remet-wind'!BG32:'remet-wind'!BG34,"=1")/COUNT('remet-wind'!BG32:'remet-wind'!BG34)</f>
        <v>0</v>
      </c>
      <c r="AF14">
        <f t="shared" si="1"/>
        <v>1</v>
      </c>
    </row>
    <row r="15" spans="1:32" ht="118">
      <c r="A15" t="s">
        <v>3189</v>
      </c>
      <c r="B15" t="s">
        <v>3418</v>
      </c>
      <c r="C15" s="53" t="s">
        <v>3418</v>
      </c>
      <c r="D15" s="55" t="s">
        <v>3564</v>
      </c>
      <c r="E15">
        <f>COUNTIF('remet-wind'!Q107:'remet-wind'!Q110,"&lt;=10")/COUNT('remet-wind'!Q107:'remet-wind'!Q110)</f>
        <v>0</v>
      </c>
      <c r="F15">
        <f>COUNTIFS('remet-wind'!Q107:'remet-wind'!Q110,"&gt;10",'remet-wind'!Q107:'remet-wind'!Q110,"&lt;=25")/COUNT('remet-wind'!Q107:'remet-wind'!Q110)</f>
        <v>0.75</v>
      </c>
      <c r="G15">
        <f>COUNTIFS('remet-wind'!Q107:'remet-wind'!Q110,"&gt;25",'remet-wind'!Q107:'remet-wind'!Q110,"&lt;=100")/COUNT('remet-wind'!Q107:'remet-wind'!Q110)</f>
        <v>0.25</v>
      </c>
      <c r="H15">
        <f>COUNTIFS('remet-wind'!Q107:'remet-wind'!Q110,"&gt;100")/COUNT('remet-wind'!Q107:'remet-wind'!Q110)</f>
        <v>0</v>
      </c>
      <c r="I15">
        <f>COUNTIF('remet-wind'!W107:'remet-wind'!W110,"&lt;=100")/COUNT('remet-wind'!W107:'remet-wind'!W110)</f>
        <v>0</v>
      </c>
      <c r="J15">
        <f>COUNTIFS('remet-wind'!W107:'remet-wind'!W110,"&gt;100",'remet-wind'!W107:'remet-wind'!W110,"&lt;=500")/COUNT('remet-wind'!W107:'remet-wind'!W110)</f>
        <v>0</v>
      </c>
      <c r="K15">
        <f>COUNTIFS('remet-wind'!W107:'remet-wind'!W110,"&gt;500",'remet-wind'!W107:'remet-wind'!W110,"&lt;=1000")/COUNT('remet-wind'!W107:'remet-wind'!W110)</f>
        <v>0</v>
      </c>
      <c r="L15">
        <f>COUNTIFS('remet-wind'!W107:'remet-wind'!W110,"&gt;1000")/COUNT('remet-wind'!W107:'remet-wind'!W110)</f>
        <v>1</v>
      </c>
      <c r="M15">
        <f>COUNTIF('remet-wind'!X107:'remet-wind'!X110,"&lt;=100")/COUNT('remet-wind'!X107:'remet-wind'!X110)</f>
        <v>0</v>
      </c>
      <c r="N15">
        <f>COUNTIFS('remet-wind'!X107:'remet-wind'!X110,"&gt;100",'remet-wind'!X107:'remet-wind'!X110,"&lt;=1000")/COUNT('remet-wind'!X107:'remet-wind'!X110)</f>
        <v>0</v>
      </c>
      <c r="O15">
        <f>COUNTIFS('remet-wind'!X107:'remet-wind'!X110,"&gt;1000",'remet-wind'!X107:'remet-wind'!X110,"&lt;=10000")/COUNT('remet-wind'!X107:'remet-wind'!X110)</f>
        <v>0.5</v>
      </c>
      <c r="P15">
        <f>COUNTIFS('remet-wind'!X107:'remet-wind'!X110,"&gt;10000")/COUNT('remet-wind'!X107:'remet-wind'!X110)</f>
        <v>0.5</v>
      </c>
      <c r="Q15">
        <f>COUNTIF('remet-wind'!AM107:'remet-wind'!AM110,"=0.11")/COUNT('remet-wind'!AM107:'remet-wind'!AM110)</f>
        <v>1</v>
      </c>
      <c r="R15">
        <f>COUNTIF('remet-wind'!AM107:'remet-wind'!AM110,"=0.13")/COUNT('remet-wind'!AM107:'remet-wind'!AM110)</f>
        <v>0</v>
      </c>
      <c r="S15">
        <f>COUNTIF('remet-wind'!AM107:'remet-wind'!AM110,"=0.16")/COUNT('remet-wind'!AM107:'remet-wind'!AM110)</f>
        <v>0</v>
      </c>
      <c r="T15">
        <f>COUNTIF('remet-wind'!AM107:'remet-wind'!AM110,"=0.22")/COUNT('remet-wind'!AM107:'remet-wind'!AM110)</f>
        <v>0</v>
      </c>
      <c r="U15">
        <f>COUNTIF('remet-wind'!Y107:'remet-wind'!Y110,"=1")/COUNT('remet-wind'!Y107:'remet-wind'!Y110)</f>
        <v>1</v>
      </c>
      <c r="V15">
        <f>COUNTIF('remet-wind'!Y107:'remet-wind'!Y110,"&gt;1")/COUNT('remet-wind'!Y107:'remet-wind'!Y110)</f>
        <v>0</v>
      </c>
      <c r="W15">
        <f>COUNTIF('remet-wind'!AS107:'remet-wind'!AS110,"=1")/COUNT('remet-wind'!AS107:'remet-wind'!AS110)</f>
        <v>0</v>
      </c>
      <c r="X15">
        <f>COUNTIF('remet-wind'!AT107:'remet-wind'!AT110,"=1")/COUNT('remet-wind'!AT107:'remet-wind'!AT110)</f>
        <v>0</v>
      </c>
      <c r="Y15">
        <f>1-W15-X15</f>
        <v>1</v>
      </c>
      <c r="Z15">
        <f>COUNTIF('remet-wind'!AW107:'remet-wind'!AW110,"=1")/COUNT('remet-wind'!AW107:'remet-wind'!AW110)</f>
        <v>0</v>
      </c>
      <c r="AA15">
        <f>COUNTIF('remet-wind'!AX107:'remet-wind'!AX110,"=1")/COUNT('remet-wind'!AX107:'remet-wind'!AX110)</f>
        <v>0</v>
      </c>
      <c r="AB15">
        <f>COUNTIF('remet-wind'!AY107:'remet-wind'!AY110,"=1")/COUNT('remet-wind'!AY107:'remet-wind'!AY110)</f>
        <v>1</v>
      </c>
      <c r="AC15">
        <f>COUNTIF('remet-wind'!BF107:'remet-wind'!BF110,"=1")/COUNT('remet-wind'!BF107:'remet-wind'!BF110)</f>
        <v>0</v>
      </c>
      <c r="AD15">
        <f t="shared" si="0"/>
        <v>1</v>
      </c>
      <c r="AE15">
        <f>COUNTIF('remet-wind'!BG107:'remet-wind'!BG110,"=1")/COUNT('remet-wind'!BG107:'remet-wind'!BG110)</f>
        <v>0</v>
      </c>
      <c r="AF15">
        <f t="shared" si="1"/>
        <v>1</v>
      </c>
    </row>
    <row r="16" spans="1:32" ht="99">
      <c r="A16" t="s">
        <v>3566</v>
      </c>
      <c r="B16" t="s">
        <v>933</v>
      </c>
      <c r="C16" s="53" t="s">
        <v>933</v>
      </c>
      <c r="D16" s="20" t="s">
        <v>3565</v>
      </c>
      <c r="E16">
        <f>COUNTIF('remet-wind'!Q39:'remet-wind'!Q42,"&lt;=10")/COUNT('remet-wind'!Q39:'remet-wind'!Q42)</f>
        <v>0</v>
      </c>
      <c r="F16">
        <f>COUNTIFS('remet-wind'!Q39:'remet-wind'!Q42,"&gt;10",'remet-wind'!Q39:'remet-wind'!Q42,"&lt;=25")/COUNT('remet-wind'!Q39:'remet-wind'!Q42)</f>
        <v>0.75</v>
      </c>
      <c r="G16">
        <f>COUNTIFS('remet-wind'!Q39:'remet-wind'!Q42,"&gt;25",'remet-wind'!Q39:'remet-wind'!Q42,"&lt;=100")/COUNT('remet-wind'!Q39:'remet-wind'!Q42)</f>
        <v>0.25</v>
      </c>
      <c r="H16">
        <f>COUNTIFS('remet-wind'!Q39:'remet-wind'!Q42,"&gt;100")/COUNT('remet-wind'!Q39:'remet-wind'!Q42)</f>
        <v>0</v>
      </c>
      <c r="I16">
        <f>COUNTIF('remet-wind'!W39:'remet-wind'!W42,"&lt;=100")/COUNT('remet-wind'!W39:'remet-wind'!W42)</f>
        <v>0</v>
      </c>
      <c r="J16">
        <f>COUNTIFS('remet-wind'!W39:'remet-wind'!W42,"&gt;100",'remet-wind'!W39:'remet-wind'!W42,"&lt;=500")/COUNT('remet-wind'!W39:'remet-wind'!W42)</f>
        <v>0</v>
      </c>
      <c r="K16">
        <f>COUNTIFS('remet-wind'!W39:'remet-wind'!W42,"&gt;500",'remet-wind'!W39:'remet-wind'!W42,"&lt;=1000")/COUNT('remet-wind'!W39:'remet-wind'!W42)</f>
        <v>0</v>
      </c>
      <c r="L16">
        <f>COUNTIFS('remet-wind'!W39:'remet-wind'!W42,"&gt;1000")/COUNT('remet-wind'!W39:'remet-wind'!W42)</f>
        <v>1</v>
      </c>
      <c r="M16">
        <f>COUNTIF('remet-wind'!X39:'remet-wind'!X42,"&lt;=100")/COUNT('remet-wind'!X39:'remet-wind'!X42)</f>
        <v>0</v>
      </c>
      <c r="N16">
        <f>COUNTIFS('remet-wind'!X39:'remet-wind'!X42,"&gt;100",'remet-wind'!X39:'remet-wind'!X42,"&lt;=1000")/COUNT('remet-wind'!X39:'remet-wind'!X42)</f>
        <v>0.25</v>
      </c>
      <c r="O16">
        <f>COUNTIFS('remet-wind'!X39:'remet-wind'!X42,"&gt;1000",'remet-wind'!X39:'remet-wind'!X42,"&lt;=10000")/COUNT('remet-wind'!X39:'remet-wind'!X42)</f>
        <v>0.75</v>
      </c>
      <c r="P16">
        <f>COUNTIFS('remet-wind'!X39:'remet-wind'!X42,"&gt;10000")/COUNT('remet-wind'!X39:'remet-wind'!X42)</f>
        <v>0</v>
      </c>
      <c r="Q16">
        <f>COUNTIF('remet-wind'!AM39:'remet-wind'!AM42,"=0.11")/COUNT('remet-wind'!AM39:'remet-wind'!AM42)</f>
        <v>1</v>
      </c>
      <c r="R16">
        <f>COUNTIF('remet-wind'!AM39:'remet-wind'!AM42,"=0.13")/COUNT('remet-wind'!AM39:'remet-wind'!AM42)</f>
        <v>0</v>
      </c>
      <c r="S16">
        <f>COUNTIF('remet-wind'!AM39:'remet-wind'!AM42,"=0.16")/COUNT('remet-wind'!AM39:'remet-wind'!AM42)</f>
        <v>0</v>
      </c>
      <c r="T16">
        <f>COUNTIF('remet-wind'!AM39:'remet-wind'!AM42,"=0.22")/COUNT('remet-wind'!AM39:'remet-wind'!AM42)</f>
        <v>0</v>
      </c>
      <c r="U16">
        <f>COUNTIF('remet-wind'!Y39:'remet-wind'!Y42,"=1")/COUNT('remet-wind'!Y39:'remet-wind'!Y42)</f>
        <v>1</v>
      </c>
      <c r="V16">
        <f>COUNTIF('remet-wind'!Y39:'remet-wind'!Y42,"&gt;1")/COUNT('remet-wind'!Y39:'remet-wind'!Y42)</f>
        <v>0</v>
      </c>
      <c r="W16">
        <f>COUNTIF('remet-wind'!AS39:'remet-wind'!AS42,"=1")/COUNT('remet-wind'!AS39:'remet-wind'!AS42)</f>
        <v>1</v>
      </c>
      <c r="X16">
        <f>COUNTIF('remet-wind'!AT39:'remet-wind'!AT42,"=1")/COUNT('remet-wind'!AT39:'remet-wind'!AT42)</f>
        <v>0</v>
      </c>
      <c r="Y16">
        <f>1-W16-X16</f>
        <v>0</v>
      </c>
      <c r="Z16">
        <f>COUNTIF('remet-wind'!AW39:'remet-wind'!AW42,"=1")/COUNT('remet-wind'!AW39:'remet-wind'!AW42)</f>
        <v>0</v>
      </c>
      <c r="AA16">
        <f>COUNTIF('remet-wind'!AX39:'remet-wind'!AX42,"=1")/COUNT('remet-wind'!AX39:'remet-wind'!AX42)</f>
        <v>1</v>
      </c>
      <c r="AB16">
        <f>COUNTIF('remet-wind'!AY39:'remet-wind'!AY42,"=1")/COUNT('remet-wind'!AY39:'remet-wind'!AY42)</f>
        <v>0</v>
      </c>
      <c r="AC16">
        <f>COUNTIF('remet-wind'!BF39:'remet-wind'!BF42,"=1")/COUNT('remet-wind'!BF39:'remet-wind'!BF42)</f>
        <v>0</v>
      </c>
      <c r="AD16">
        <f t="shared" si="0"/>
        <v>1</v>
      </c>
      <c r="AE16">
        <f>COUNTIF('remet-wind'!BG39:'remet-wind'!BG42,"=1")/COUNT('remet-wind'!BG39:'remet-wind'!BG42)</f>
        <v>0</v>
      </c>
      <c r="AF16">
        <f t="shared" si="1"/>
        <v>1</v>
      </c>
    </row>
    <row r="17" spans="1:32" ht="27">
      <c r="A17" t="s">
        <v>61</v>
      </c>
      <c r="B17" t="s">
        <v>651</v>
      </c>
      <c r="C17" s="53" t="s">
        <v>651</v>
      </c>
      <c r="D17" s="56" t="s">
        <v>3558</v>
      </c>
      <c r="E17">
        <f>COUNTIF('remet-wind'!Q36:'remet-wind'!Q37,"&lt;=10")/COUNT('remet-wind'!Q36:'remet-wind'!Q37)</f>
        <v>1</v>
      </c>
      <c r="F17">
        <f>COUNTIFS('remet-wind'!Q36:'remet-wind'!Q37,"&gt;10",'remet-wind'!Q36:'remet-wind'!Q37,"&lt;=25")/COUNT('remet-wind'!Q36:'remet-wind'!Q37)</f>
        <v>0</v>
      </c>
      <c r="G17">
        <f>COUNTIFS('remet-wind'!Q36:'remet-wind'!Q37,"&gt;25",'remet-wind'!Q36:'remet-wind'!Q37,"&lt;=100")/COUNT('remet-wind'!Q36:'remet-wind'!Q37)</f>
        <v>0</v>
      </c>
      <c r="H17">
        <f>COUNTIFS('remet-wind'!Q36:'remet-wind'!Q37,"&gt;100")/COUNT('remet-wind'!Q36:'remet-wind'!Q37)</f>
        <v>0</v>
      </c>
      <c r="I17">
        <f>COUNTIF('remet-wind'!W36:'remet-wind'!W37,"&lt;=100")/COUNT('remet-wind'!W36:'remet-wind'!W37)</f>
        <v>0</v>
      </c>
      <c r="J17">
        <f>COUNTIFS('remet-wind'!W36:'remet-wind'!W37,"&gt;100",'remet-wind'!W36:'remet-wind'!W37,"&lt;=500")/COUNT('remet-wind'!W36:'remet-wind'!W37)</f>
        <v>1</v>
      </c>
      <c r="K17">
        <f>COUNTIFS('remet-wind'!W36:'remet-wind'!W37,"&gt;500",'remet-wind'!W36:'remet-wind'!W37,"&lt;=1000")/COUNT('remet-wind'!W36:'remet-wind'!W37)</f>
        <v>0</v>
      </c>
      <c r="L17">
        <f>COUNTIFS('remet-wind'!W36:'remet-wind'!W37,"&gt;1000")/COUNT('remet-wind'!W36:'remet-wind'!W37)</f>
        <v>0</v>
      </c>
      <c r="M17">
        <f>COUNTIF('remet-wind'!X36:'remet-wind'!X37,"&lt;=100")/COUNT('remet-wind'!X36:'remet-wind'!X37)</f>
        <v>1</v>
      </c>
      <c r="N17">
        <f>COUNTIFS('remet-wind'!X36:'remet-wind'!X37,"&gt;100",'remet-wind'!X36:'remet-wind'!X37,"&lt;=1000")/COUNT('remet-wind'!X36:'remet-wind'!X37)</f>
        <v>0</v>
      </c>
      <c r="O17">
        <f>COUNTIFS('remet-wind'!X36:'remet-wind'!X37,"&gt;1000",'remet-wind'!X36:'remet-wind'!X37,"&lt;=10000")/COUNT('remet-wind'!X36:'remet-wind'!X37)</f>
        <v>0</v>
      </c>
      <c r="P17">
        <f>COUNTIFS('remet-wind'!X36:'remet-wind'!X37,"&gt;10000")/COUNT('remet-wind'!X36:'remet-wind'!X37)</f>
        <v>0</v>
      </c>
      <c r="Q17">
        <f>COUNTIF('remet-wind'!AM36:'remet-wind'!AM37,"=0.11")/COUNT('remet-wind'!AM36:'remet-wind'!AM37)</f>
        <v>0</v>
      </c>
      <c r="R17">
        <f>COUNTIF('remet-wind'!AM36:'remet-wind'!AM37,"=0.13")/COUNT('remet-wind'!AM36:'remet-wind'!AM37)</f>
        <v>0</v>
      </c>
      <c r="S17">
        <f>COUNTIF('remet-wind'!AM36:'remet-wind'!AM37,"=0.16")/COUNT('remet-wind'!AM36:'remet-wind'!AM37)</f>
        <v>0</v>
      </c>
      <c r="T17">
        <f>COUNTIF('remet-wind'!AM36:'remet-wind'!AM37,"=0.22")/COUNT('remet-wind'!AM36:'remet-wind'!AM37)</f>
        <v>1</v>
      </c>
      <c r="U17">
        <f>COUNTIF('remet-wind'!Y36:'remet-wind'!Y37,"=1")/COUNT('remet-wind'!Y36:'remet-wind'!Y37)</f>
        <v>0.5</v>
      </c>
      <c r="V17">
        <f>COUNTIF('remet-wind'!Y36:'remet-wind'!Y37,"&gt;1")/COUNT('remet-wind'!Y36:'remet-wind'!Y37)</f>
        <v>0.5</v>
      </c>
      <c r="W17">
        <f>COUNTIF('remet-wind'!AS36:'remet-wind'!AS37,"=1")/COUNT('remet-wind'!AS36:'remet-wind'!AS37)</f>
        <v>0</v>
      </c>
      <c r="X17">
        <f>COUNTIF('remet-wind'!AT36:'remet-wind'!AT37,"=1")/COUNT('remet-wind'!AT36:'remet-wind'!AT37)</f>
        <v>0</v>
      </c>
      <c r="Y17">
        <f>1-W17-X17</f>
        <v>1</v>
      </c>
      <c r="Z17">
        <f>COUNTIF('remet-wind'!AW36:'remet-wind'!AW37,"=1")/COUNT('remet-wind'!AW36:'remet-wind'!AW37)</f>
        <v>0</v>
      </c>
      <c r="AA17">
        <f>COUNTIF('remet-wind'!AX36:'remet-wind'!AX37,"=1")/COUNT('remet-wind'!AX36:'remet-wind'!AX37)</f>
        <v>0</v>
      </c>
      <c r="AB17">
        <f>COUNTIF('remet-wind'!AY36:'remet-wind'!A37,"=1")/COUNT('remet-wind'!AY36:'remet-wind'!AY37)</f>
        <v>5</v>
      </c>
      <c r="AC17">
        <f>COUNTIF('remet-wind'!BF36:'remet-wind'!BF37,"=1")/COUNT('remet-wind'!BF36:'remet-wind'!BF37)</f>
        <v>0</v>
      </c>
      <c r="AD17">
        <f t="shared" si="0"/>
        <v>1</v>
      </c>
      <c r="AE17">
        <f>COUNTIF('remet-wind'!BG36:'remet-wind'!BG37,"=1")/COUNT('remet-wind'!BG36:'remet-wind'!BG37)</f>
        <v>0</v>
      </c>
      <c r="AF17">
        <f t="shared" si="1"/>
        <v>1</v>
      </c>
    </row>
    <row r="18" spans="1:32" ht="17">
      <c r="A18" t="s">
        <v>63</v>
      </c>
      <c r="B18" t="s">
        <v>2280</v>
      </c>
      <c r="C18" s="53" t="s">
        <v>2280</v>
      </c>
    </row>
    <row r="19" spans="1:32" ht="29">
      <c r="A19" t="s">
        <v>64</v>
      </c>
      <c r="B19" t="s">
        <v>58</v>
      </c>
      <c r="C19" s="53" t="s">
        <v>58</v>
      </c>
      <c r="D19" s="49" t="s">
        <v>855</v>
      </c>
      <c r="E19">
        <f>COUNTIF('remet-wind'!Q44:'remet-wind'!Q46,"&lt;=10")/COUNT('remet-wind'!Q44:'remet-wind'!Q46)</f>
        <v>0.66666666666666663</v>
      </c>
      <c r="F19">
        <f>COUNTIFS('remet-wind'!Q44:'remet-wind'!Q46,"&gt;10",'remet-wind'!Q44:'remet-wind'!Q46,"&lt;=25")/COUNT('remet-wind'!Q44:'remet-wind'!Q46)</f>
        <v>0.33333333333333331</v>
      </c>
      <c r="G19">
        <f>COUNTIFS('remet-wind'!Q44:'remet-wind'!Q46,"&gt;25",'remet-wind'!Q44:'remet-wind'!Q46,"&lt;=100")/COUNT('remet-wind'!Q44:'remet-wind'!Q46)</f>
        <v>0</v>
      </c>
      <c r="H19">
        <f>COUNTIFS('remet-wind'!Q44:'remet-wind'!Q46,"&gt;100")/COUNT('remet-wind'!Q44:'remet-wind'!Q46)</f>
        <v>0</v>
      </c>
      <c r="I19">
        <f>COUNTIF('remet-wind'!W44:'remet-wind'!W46,"&lt;=100")/COUNT('remet-wind'!W44:'remet-wind'!W46)</f>
        <v>0</v>
      </c>
      <c r="J19">
        <f>COUNTIFS('remet-wind'!W44:'remet-wind'!W46,"&gt;100",'remet-wind'!W44:'remet-wind'!W46,"&lt;=500")/COUNT('remet-wind'!W44:'remet-wind'!W46)</f>
        <v>0.66666666666666663</v>
      </c>
      <c r="K19">
        <f>COUNTIFS('remet-wind'!W44:'remet-wind'!W46,"&gt;500",'remet-wind'!W44:'remet-wind'!W46,"&lt;=1000")/COUNT('remet-wind'!W44:'remet-wind'!W46)</f>
        <v>0</v>
      </c>
      <c r="L19">
        <f>COUNTIFS('remet-wind'!W44:'remet-wind'!W46,"&gt;1000")/COUNT('remet-wind'!W44:'remet-wind'!W46)</f>
        <v>0.33333333333333331</v>
      </c>
      <c r="M19">
        <f>COUNTIF('remet-wind'!X44:'remet-wind'!X46,"&lt;=100")/COUNT('remet-wind'!X44:'remet-wind'!X46)</f>
        <v>0.66666666666666663</v>
      </c>
      <c r="N19">
        <f>COUNTIFS('remet-wind'!X44:'remet-wind'!X46,"&gt;100",'remet-wind'!X44:'remet-wind'!X46,"&lt;=1000")/COUNT('remet-wind'!X44:'remet-wind'!X46)</f>
        <v>0.33333333333333331</v>
      </c>
      <c r="O19">
        <f>COUNTIFS('remet-wind'!X44:'remet-wind'!X46,"&gt;1000",'remet-wind'!X44:'remet-wind'!X46,"&lt;=10000")/COUNT('remet-wind'!X44:'remet-wind'!X46)</f>
        <v>0</v>
      </c>
      <c r="P19">
        <f>COUNTIFS('remet-wind'!X44:'remet-wind'!X46,"&gt;10000")/COUNT('remet-wind'!X44:'remet-wind'!X46)</f>
        <v>0</v>
      </c>
      <c r="Q19">
        <f>COUNTIF('remet-wind'!AM44:'remet-wind'!AM46,"=0.11")/COUNT('remet-wind'!AM44:'remet-wind'!AM46)</f>
        <v>1</v>
      </c>
      <c r="R19">
        <f>COUNTIF('remet-wind'!AM44:'remet-wind'!AM46,"=0.13")/COUNT('remet-wind'!AM44:'remet-wind'!AM46)</f>
        <v>0</v>
      </c>
      <c r="S19">
        <f>COUNTIF('remet-wind'!AM44:'remet-wind'!AM46,"=0.16")/COUNT('remet-wind'!AM44:'remet-wind'!AM46)</f>
        <v>0</v>
      </c>
      <c r="T19">
        <f>COUNTIF('remet-wind'!AM44:'remet-wind'!AM46,"=0.22")/COUNT('remet-wind'!AM44:'remet-wind'!AM46)</f>
        <v>0</v>
      </c>
      <c r="U19">
        <f>COUNTIF('remet-wind'!Y44:'remet-wind'!Y46,"=1")/COUNT('remet-wind'!Y44:'remet-wind'!Y46)</f>
        <v>1</v>
      </c>
      <c r="V19">
        <f>COUNTIF('remet-wind'!Y44:'remet-wind'!Y46,"&gt;1")/COUNT('remet-wind'!Y44:'remet-wind'!Y46)</f>
        <v>0</v>
      </c>
      <c r="W19">
        <f>COUNTIF('remet-wind'!AS44:'remet-wind'!AS46,"=1")/COUNT('remet-wind'!AS44:'remet-wind'!AS46)</f>
        <v>1</v>
      </c>
      <c r="X19">
        <f>COUNTIF('remet-wind'!AT44:'remet-wind'!AT46,"=1")/COUNT('remet-wind'!AT44:'remet-wind'!AT46)</f>
        <v>0</v>
      </c>
      <c r="Y19">
        <f>1-W19-X19</f>
        <v>0</v>
      </c>
      <c r="Z19">
        <f>COUNTIF('remet-wind'!AW44:'remet-wind'!AW46,"=1")/COUNT('remet-wind'!AW44:'remet-wind'!AW46)</f>
        <v>0</v>
      </c>
      <c r="AA19">
        <f>COUNTIF('remet-wind'!AX44:'remet-wind'!AX46,"=1")/COUNT('remet-wind'!AX44:'remet-wind'!AX46)</f>
        <v>1</v>
      </c>
      <c r="AB19">
        <f>COUNTIF('remet-wind'!AY44:'remet-wind'!AY46,"=1")/COUNT('remet-wind'!AY44:'remet-wind'!AY46)</f>
        <v>0</v>
      </c>
      <c r="AC19">
        <f>COUNTIF('remet-wind'!BF44:'remet-wind'!BF46,"=1")/COUNT('remet-wind'!BF44:'remet-wind'!BF46)</f>
        <v>0</v>
      </c>
      <c r="AD19">
        <f t="shared" si="0"/>
        <v>1</v>
      </c>
      <c r="AE19">
        <f>COUNTIF('remet-wind'!BG44:'remet-wind'!BG46,"=1")/COUNT('remet-wind'!BG44:'remet-wind'!BG46)</f>
        <v>0</v>
      </c>
      <c r="AF19">
        <f>1-AE19</f>
        <v>1</v>
      </c>
    </row>
    <row r="20" spans="1:32" ht="43">
      <c r="A20" t="s">
        <v>63</v>
      </c>
      <c r="B20" t="s">
        <v>2692</v>
      </c>
      <c r="C20" s="53" t="s">
        <v>2692</v>
      </c>
      <c r="D20" s="49" t="s">
        <v>2698</v>
      </c>
      <c r="E20">
        <f>COUNTIF('remet-wind'!Q48,"&lt;=10")</f>
        <v>0</v>
      </c>
      <c r="F20">
        <f>COUNTIFS('remet-wind'!Q48,"&gt;10",'remet-wind'!Q48,"&lt;=25")</f>
        <v>1</v>
      </c>
      <c r="G20">
        <f>COUNTIFS('remet-wind'!Q48,"&gt;25",'remet-wind'!Q48,"&lt;=100")</f>
        <v>0</v>
      </c>
      <c r="H20">
        <f>COUNTIFS('remet-wind'!Q48,"&gt;100")</f>
        <v>0</v>
      </c>
      <c r="I20">
        <f>COUNTIF('remet-wind'!W48,"&lt;=100")</f>
        <v>0</v>
      </c>
      <c r="J20">
        <f>COUNTIFS('remet-wind'!W48,"&gt;100",'remet-wind'!W48,"&lt;=500")</f>
        <v>0</v>
      </c>
      <c r="K20">
        <f>COUNTIFS('remet-wind'!W48,"&gt;500",'remet-wind'!W48,"&lt;=1000")</f>
        <v>1</v>
      </c>
      <c r="L20">
        <f>COUNTIFS('remet-wind'!W48,"&gt;1000")</f>
        <v>0</v>
      </c>
      <c r="M20">
        <f>COUNTIF('remet-wind'!X48,"&lt;=100")</f>
        <v>1</v>
      </c>
      <c r="N20">
        <f>COUNTIFS('remet-wind'!X48,"&gt;100",'remet-wind'!X48,"&lt;=1000")</f>
        <v>0</v>
      </c>
      <c r="O20">
        <f>COUNTIFS('remet-wind'!X48,"&gt;1000",'remet-wind'!X48,"&lt;=10000")</f>
        <v>0</v>
      </c>
      <c r="P20">
        <f>COUNTIFS('remet-wind'!X48,"&gt;10000")</f>
        <v>0</v>
      </c>
      <c r="Q20">
        <f>COUNTIF('remet-wind'!AM48,"=0.11")</f>
        <v>0</v>
      </c>
      <c r="R20">
        <f>COUNTIFS('remet-wind'!AM48,"0.13")</f>
        <v>0</v>
      </c>
      <c r="S20">
        <f>COUNTIFS('remet-wind'!AM48,"0.16")</f>
        <v>1</v>
      </c>
      <c r="T20">
        <f>COUNTIFS('remet-wind'!AM48,"=0.22")</f>
        <v>0</v>
      </c>
      <c r="U20">
        <f>COUNTIF('remet-wind'!Y48,"=1")</f>
        <v>1</v>
      </c>
      <c r="V20">
        <f>COUNTIF('remet-wind'!Y48,"&gt;1")</f>
        <v>0</v>
      </c>
      <c r="W20">
        <f>COUNTIF('remet-wind'!AS48,"=1")</f>
        <v>0</v>
      </c>
      <c r="X20">
        <f>COUNTIF('remet-wind'!AT48,"=1")</f>
        <v>0</v>
      </c>
      <c r="Y20">
        <f>1-W20-X20</f>
        <v>1</v>
      </c>
      <c r="Z20">
        <f>COUNTIF('remet-wind'!AW48,"=1")</f>
        <v>0</v>
      </c>
      <c r="AA20">
        <f>COUNTIF('remet-wind'!AX48,"=1")</f>
        <v>0</v>
      </c>
      <c r="AB20">
        <f>COUNTIF('remet-wind'!AY48,"=1")</f>
        <v>1</v>
      </c>
      <c r="AC20">
        <f>COUNTIF('remet-wind'!BF48,"=1")</f>
        <v>0</v>
      </c>
      <c r="AD20">
        <f t="shared" si="0"/>
        <v>1</v>
      </c>
      <c r="AE20">
        <f>COUNTIF('remet-wind'!BG48,"=1")</f>
        <v>0</v>
      </c>
      <c r="AF20">
        <f>1-AE20</f>
        <v>1</v>
      </c>
    </row>
  </sheetData>
  <mergeCells count="9">
    <mergeCell ref="AC1:AD1"/>
    <mergeCell ref="AE1:AF1"/>
    <mergeCell ref="Z1:AB1"/>
    <mergeCell ref="E1:H1"/>
    <mergeCell ref="I1:L1"/>
    <mergeCell ref="M1:P1"/>
    <mergeCell ref="Q1:T1"/>
    <mergeCell ref="U1:V1"/>
    <mergeCell ref="W1:Y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44CB7-4B54-A443-913B-D355CAE5C67F}">
  <dimension ref="A1:U44"/>
  <sheetViews>
    <sheetView zoomScale="70" workbookViewId="0">
      <selection activeCell="F4" sqref="F4:H4"/>
    </sheetView>
  </sheetViews>
  <sheetFormatPr baseColWidth="10" defaultRowHeight="16"/>
  <cols>
    <col min="1" max="1" width="14.6640625" customWidth="1"/>
    <col min="4" max="4" width="13.33203125" style="53" customWidth="1"/>
    <col min="5" max="5" width="18.83203125" style="53" customWidth="1"/>
  </cols>
  <sheetData>
    <row r="1" spans="1:21" ht="17">
      <c r="E1" s="53" t="s">
        <v>2</v>
      </c>
      <c r="F1" s="83" t="s">
        <v>68</v>
      </c>
      <c r="G1" s="83"/>
      <c r="H1" s="83"/>
      <c r="I1" s="83"/>
      <c r="J1" s="83" t="s">
        <v>3723</v>
      </c>
      <c r="K1" s="83"/>
      <c r="L1" s="83"/>
      <c r="M1" s="83"/>
      <c r="N1" s="83"/>
      <c r="O1" t="s">
        <v>97</v>
      </c>
      <c r="P1" s="83" t="s">
        <v>90</v>
      </c>
      <c r="Q1" s="83"/>
      <c r="R1" t="s">
        <v>92</v>
      </c>
      <c r="S1" t="s">
        <v>3509</v>
      </c>
      <c r="T1" t="s">
        <v>3577</v>
      </c>
      <c r="U1" t="s">
        <v>3576</v>
      </c>
    </row>
    <row r="2" spans="1:21" ht="66">
      <c r="E2" s="53" t="s">
        <v>3</v>
      </c>
      <c r="F2" s="72" t="s">
        <v>69</v>
      </c>
      <c r="G2" s="72" t="s">
        <v>72</v>
      </c>
      <c r="H2" s="72" t="s">
        <v>3504</v>
      </c>
      <c r="I2" s="72" t="s">
        <v>70</v>
      </c>
      <c r="J2" s="4" t="s">
        <v>3724</v>
      </c>
      <c r="K2" s="4" t="s">
        <v>3725</v>
      </c>
      <c r="L2" s="4" t="s">
        <v>3726</v>
      </c>
      <c r="M2" s="4" t="s">
        <v>3721</v>
      </c>
      <c r="N2" s="4" t="s">
        <v>3722</v>
      </c>
      <c r="O2" s="72"/>
      <c r="P2" s="72" t="s">
        <v>91</v>
      </c>
      <c r="Q2" s="72" t="s">
        <v>3507</v>
      </c>
      <c r="R2" s="73" t="s">
        <v>92</v>
      </c>
      <c r="S2" s="74" t="s">
        <v>3509</v>
      </c>
      <c r="T2" s="72" t="s">
        <v>3568</v>
      </c>
      <c r="U2" s="72" t="s">
        <v>3575</v>
      </c>
    </row>
    <row r="3" spans="1:21" ht="17">
      <c r="A3" t="s">
        <v>59</v>
      </c>
      <c r="B3" t="s">
        <v>0</v>
      </c>
      <c r="C3" t="s">
        <v>3542</v>
      </c>
      <c r="D3" s="53" t="s">
        <v>1</v>
      </c>
      <c r="E3" s="53" t="s">
        <v>3555</v>
      </c>
      <c r="F3" t="s">
        <v>65</v>
      </c>
      <c r="G3" t="s">
        <v>66</v>
      </c>
      <c r="H3" t="s">
        <v>67</v>
      </c>
      <c r="I3" t="s">
        <v>71</v>
      </c>
      <c r="J3" t="s">
        <v>3727</v>
      </c>
      <c r="K3" t="s">
        <v>3728</v>
      </c>
      <c r="L3" t="s">
        <v>3729</v>
      </c>
      <c r="M3" t="s">
        <v>3730</v>
      </c>
      <c r="N3" t="s">
        <v>3731</v>
      </c>
      <c r="O3" t="s">
        <v>3581</v>
      </c>
      <c r="P3" t="s">
        <v>3547</v>
      </c>
      <c r="Q3" t="s">
        <v>3548</v>
      </c>
      <c r="R3" t="s">
        <v>3588</v>
      </c>
      <c r="S3" t="s">
        <v>3582</v>
      </c>
      <c r="T3" t="s">
        <v>3569</v>
      </c>
      <c r="U3" t="s">
        <v>3579</v>
      </c>
    </row>
    <row r="4" spans="1:21">
      <c r="A4" t="s">
        <v>61</v>
      </c>
      <c r="B4" t="s">
        <v>32</v>
      </c>
      <c r="C4" t="s">
        <v>3532</v>
      </c>
      <c r="F4">
        <v>1</v>
      </c>
      <c r="G4">
        <v>0</v>
      </c>
      <c r="H4">
        <v>0</v>
      </c>
      <c r="I4">
        <v>0</v>
      </c>
      <c r="J4">
        <f>COUNTIF('remet-kin'!BH2:'remet-kin'!BH5,"&lt;=0.3")/COUNT('remet-kin'!BH2:'remet-kin'!BH5)</f>
        <v>0.5</v>
      </c>
      <c r="K4">
        <f>COUNTIFS('remet-kin'!BH2:'remet-kin'!BH5,"&gt;0.3",'remet-kin'!BH2:'remet-kin'!BH5,"&lt;=0.7")/COUNT('remet-kin'!BH2:'remet-kin'!BH5)</f>
        <v>0.5</v>
      </c>
      <c r="L4">
        <f>COUNTIFS('remet-kin'!BH2:'remet-kin'!BH5,"&gt;0.7",'remet-kin'!BH2:'remet-kin'!BH5,"&lt;=1.0")/COUNT('remet-kin'!BH5:'remet-kin'!BH5)</f>
        <v>0</v>
      </c>
      <c r="M4">
        <f>COUNTIFS('remet-kin'!BH2:'remet-kin'!BH5,"&gt;1.0",'remet-kin'!BH2:'remet-kin'!BH5,"&lt;=3.0")/COUNT('remet-kin'!BH2:'remet-kin'!BH5)</f>
        <v>0</v>
      </c>
      <c r="N4">
        <f>COUNTIFS('remet-kin'!BH2:'remet-kin'!BH5,"&gt;3")/COUNT('remet-kin'!BH2:'remet-kin'!BH5)</f>
        <v>0</v>
      </c>
      <c r="O4">
        <v>0.22</v>
      </c>
      <c r="P4">
        <v>0</v>
      </c>
      <c r="Q4">
        <v>1</v>
      </c>
      <c r="R4" t="s">
        <v>3585</v>
      </c>
      <c r="S4" t="s">
        <v>3583</v>
      </c>
      <c r="T4">
        <v>1</v>
      </c>
      <c r="U4">
        <v>0</v>
      </c>
    </row>
    <row r="5" spans="1:21" ht="51">
      <c r="A5" t="s">
        <v>61</v>
      </c>
      <c r="B5" t="s">
        <v>33</v>
      </c>
      <c r="C5" t="s">
        <v>4</v>
      </c>
      <c r="D5" s="53" t="s">
        <v>4</v>
      </c>
      <c r="F5">
        <v>1</v>
      </c>
      <c r="G5">
        <v>0</v>
      </c>
      <c r="H5">
        <v>0</v>
      </c>
      <c r="I5">
        <v>0</v>
      </c>
      <c r="J5">
        <f>COUNTIF('remet-kin'!BH8:'remet-kin'!BH9,"&lt;=0.3")/COUNT('remet-kin'!BH8:'remet-kin'!BH9)</f>
        <v>1</v>
      </c>
      <c r="K5">
        <f>COUNTIFS('remet-kin'!BH8:'remet-kin'!BH9,"&gt;0.3",'remet-kin'!BH8:'remet-kin'!BH9,"&lt;=0.7")/COUNT('remet-kin'!BH8:'remet-kin'!BH9)</f>
        <v>0</v>
      </c>
      <c r="L5">
        <f>COUNTIFS('remet-kin'!BH8:'remet-kin'!BH9,"&gt;0.7",'remet-kin'!BH8:'remet-kin'!BH9,"&lt;=1.0")/COUNT('remet-kin'!BH8:'remet-kin'!BH9)</f>
        <v>0</v>
      </c>
      <c r="M5">
        <f>COUNTIFS('remet-kin'!BH8:'remet-kin'!BH9,"&gt;1.0",'remet-kin'!BH8:'remet-kin'!BH9,"&lt;=3.0")/COUNT('remet-kin'!BH8:'remet-kin'!BH9)</f>
        <v>0</v>
      </c>
      <c r="N5">
        <f>COUNTIFS('remet-kin'!BH8:'remet-kin'!BH9,"&gt;3")/COUNT('remet-kin'!BH8:'remet-kin'!BH9)</f>
        <v>0</v>
      </c>
      <c r="O5">
        <v>0.22</v>
      </c>
      <c r="P5">
        <v>0</v>
      </c>
      <c r="Q5">
        <v>1</v>
      </c>
      <c r="R5" t="s">
        <v>3585</v>
      </c>
      <c r="S5" t="s">
        <v>3583</v>
      </c>
      <c r="T5">
        <v>1</v>
      </c>
      <c r="U5">
        <v>0</v>
      </c>
    </row>
    <row r="6" spans="1:21" ht="51">
      <c r="A6" t="s">
        <v>61</v>
      </c>
      <c r="B6" t="s">
        <v>33</v>
      </c>
      <c r="C6" t="s">
        <v>5</v>
      </c>
      <c r="D6" s="53" t="s">
        <v>5</v>
      </c>
      <c r="E6" s="53" t="s">
        <v>3574</v>
      </c>
      <c r="R6" t="s">
        <v>3585</v>
      </c>
    </row>
    <row r="7" spans="1:21">
      <c r="A7" t="s">
        <v>61</v>
      </c>
      <c r="B7" t="s">
        <v>34</v>
      </c>
      <c r="C7" t="s">
        <v>3533</v>
      </c>
      <c r="F7">
        <v>1</v>
      </c>
      <c r="G7">
        <v>0</v>
      </c>
      <c r="H7">
        <v>0</v>
      </c>
      <c r="I7">
        <v>0</v>
      </c>
      <c r="J7">
        <f>COUNTIF('remet-kin'!BH11:'remet-kin'!BH19,"&lt;=0.3")/COUNT('remet-kin'!BH11:'remet-kin'!BH19)</f>
        <v>1</v>
      </c>
      <c r="K7">
        <f>COUNTIFS('remet-kin'!BH11:'remet-kin'!BH19,"&gt;0.3",'remet-kin'!BH11:'remet-kin'!BH19,"&lt;=0.7")/COUNT('remet-kin'!BH11:'remet-kin'!BH19)</f>
        <v>0</v>
      </c>
      <c r="L7">
        <f>COUNTIFS('remet-kin'!BH11:'remet-kin'!BH19,"&gt;0.7",'remet-kin'!BH11:'remet-kin'!BH19,"&lt;=1.0")/COUNT('remet-kin'!BH11:'remet-kin'!BH19)</f>
        <v>0</v>
      </c>
      <c r="M7">
        <f>COUNTIFS('remet-kin'!BH11:'remet-kin'!BH19,"&gt;1.0",'remet-kin'!BH11:'remet-kin'!BH19,"&lt;=3.0")/COUNT('remet-kin'!BH11:'remet-kin'!BH19)</f>
        <v>0</v>
      </c>
      <c r="N7">
        <f>COUNTIFS('remet-kin'!BH11:'remet-kin'!BH19,"&gt;3")/COUNT('remet-kin'!BH11:'remet-kin'!BH19)</f>
        <v>0</v>
      </c>
      <c r="O7">
        <v>0.22</v>
      </c>
      <c r="P7">
        <v>0.1111111111111111</v>
      </c>
      <c r="Q7">
        <v>0.88888888888888884</v>
      </c>
      <c r="R7" t="s">
        <v>3585</v>
      </c>
      <c r="S7" t="s">
        <v>3583</v>
      </c>
      <c r="T7">
        <v>0</v>
      </c>
      <c r="U7">
        <v>0</v>
      </c>
    </row>
    <row r="8" spans="1:21" ht="34">
      <c r="A8" t="s">
        <v>61</v>
      </c>
      <c r="B8" t="s">
        <v>35</v>
      </c>
      <c r="C8" t="s">
        <v>6</v>
      </c>
      <c r="D8" s="53" t="s">
        <v>6</v>
      </c>
      <c r="F8">
        <v>1</v>
      </c>
      <c r="G8">
        <v>0</v>
      </c>
      <c r="H8">
        <v>0</v>
      </c>
      <c r="I8">
        <v>0</v>
      </c>
      <c r="J8" s="68">
        <f>COUNTIF('remet-kin'!BH21,"&lt;=0.3")</f>
        <v>0</v>
      </c>
      <c r="K8" s="68">
        <f>COUNTIFS('remet-kin'!BH21,"&gt;0.3",'remet-kin'!BH21,"&lt;=0.7")</f>
        <v>1</v>
      </c>
      <c r="L8" s="68">
        <f>COUNTIFS('remet-kin'!BH21,"&gt;0.7",'remet-kin'!BH21,"&lt;=1.0")</f>
        <v>0</v>
      </c>
      <c r="M8" s="68">
        <f>COUNTIFS('remet-kin'!BH21,"&gt;1.0",'remet-kin'!BH21,"&lt;=3.0")</f>
        <v>0</v>
      </c>
      <c r="N8" s="68">
        <f>COUNTIF('remet-kin'!BH21,"&gt;3.0")</f>
        <v>0</v>
      </c>
      <c r="O8">
        <v>0.22</v>
      </c>
      <c r="P8">
        <v>0</v>
      </c>
      <c r="Q8">
        <v>1</v>
      </c>
      <c r="R8" t="s">
        <v>3585</v>
      </c>
      <c r="S8" t="s">
        <v>3583</v>
      </c>
      <c r="T8">
        <v>0</v>
      </c>
      <c r="U8">
        <v>0</v>
      </c>
    </row>
    <row r="9" spans="1:21" ht="34">
      <c r="A9" t="s">
        <v>61</v>
      </c>
      <c r="B9" t="s">
        <v>35</v>
      </c>
      <c r="C9" t="s">
        <v>7</v>
      </c>
      <c r="D9" s="53" t="s">
        <v>7</v>
      </c>
      <c r="F9">
        <v>0</v>
      </c>
      <c r="G9">
        <v>1</v>
      </c>
      <c r="H9">
        <v>0</v>
      </c>
      <c r="I9">
        <v>0</v>
      </c>
      <c r="J9">
        <f>COUNTIF('remet-kin'!BH22:'remet-kin'!BH23,"&lt;=0.3")/COUNT('remet-kin'!BH22:'remet-kin'!BH23)</f>
        <v>0</v>
      </c>
      <c r="K9">
        <f>COUNTIFS('remet-kin'!BH22:'remet-kin'!BH23,"&gt;0.3",'remet-kin'!BH22:'remet-kin'!BH23,"&lt;=0.7")/COUNT('remet-kin'!BH22:'remet-kin'!BH23)</f>
        <v>0</v>
      </c>
      <c r="L9">
        <f>COUNTIFS('remet-kin'!BH22:'remet-kin'!BH23,"&gt;0.7",'remet-kin'!BH22:'remet-kin'!BH23,"&lt;=1.0")/COUNT('remet-kin'!BH22:'remet-kin'!BH23)</f>
        <v>0.5</v>
      </c>
      <c r="M9">
        <f>COUNTIFS('remet-kin'!BH22:'remet-kin'!BH23,"&gt;1.0",'remet-kin'!BH22:'remet-kin'!BH23,"&lt;=3.0")/COUNT('remet-kin'!BH22:'remet-kin'!BH23)</f>
        <v>0</v>
      </c>
      <c r="N9">
        <f>COUNTIFS('remet-kin'!BH22:'remet-kin'!BH23,"&gt;3")/COUNT('remet-kin'!BH22:'remet-kin'!BH23)</f>
        <v>0.5</v>
      </c>
      <c r="O9">
        <v>0.22</v>
      </c>
      <c r="P9">
        <v>0</v>
      </c>
      <c r="Q9">
        <v>1</v>
      </c>
      <c r="R9" t="s">
        <v>3585</v>
      </c>
      <c r="S9" t="s">
        <v>3583</v>
      </c>
      <c r="T9">
        <v>0</v>
      </c>
      <c r="U9">
        <v>0</v>
      </c>
    </row>
    <row r="10" spans="1:21" ht="51">
      <c r="A10" t="s">
        <v>61</v>
      </c>
      <c r="B10" t="s">
        <v>36</v>
      </c>
      <c r="C10" t="s">
        <v>8</v>
      </c>
      <c r="D10" s="53" t="s">
        <v>8</v>
      </c>
      <c r="E10" s="53" t="s">
        <v>3530</v>
      </c>
      <c r="F10">
        <v>1</v>
      </c>
      <c r="G10">
        <v>0</v>
      </c>
      <c r="H10">
        <v>0</v>
      </c>
      <c r="I10">
        <v>0</v>
      </c>
      <c r="J10" s="68">
        <f>COUNTIF('remet-kin'!BH25,"&lt;=0.3")</f>
        <v>1</v>
      </c>
      <c r="K10" s="68">
        <f>COUNTIFS('remet-kin'!BH25,"&gt;0.3",'remet-kin'!BH25,"&lt;=0.7")</f>
        <v>0</v>
      </c>
      <c r="L10" s="68">
        <f>COUNTIFS('remet-kin'!BH25,"&gt;0.7",'remet-kin'!BH25,"&lt;=1.0")</f>
        <v>0</v>
      </c>
      <c r="M10" s="68">
        <f>COUNTIFS('remet-kin'!BH25,"&gt;1.0",'remet-kin'!BH25,"&lt;=3.0")</f>
        <v>0</v>
      </c>
      <c r="N10" s="68">
        <f>COUNTIF('remet-kin'!BH25,"&gt;3.0")</f>
        <v>0</v>
      </c>
      <c r="O10" s="62">
        <v>0.22</v>
      </c>
      <c r="P10">
        <v>0</v>
      </c>
      <c r="Q10">
        <v>1</v>
      </c>
      <c r="R10" t="s">
        <v>3585</v>
      </c>
      <c r="S10" t="s">
        <v>3583</v>
      </c>
      <c r="T10">
        <v>0</v>
      </c>
      <c r="U10">
        <v>0</v>
      </c>
    </row>
    <row r="11" spans="1:21">
      <c r="A11" t="s">
        <v>61</v>
      </c>
      <c r="B11" t="s">
        <v>37</v>
      </c>
      <c r="C11" t="s">
        <v>3534</v>
      </c>
      <c r="F11">
        <v>0</v>
      </c>
      <c r="G11">
        <v>0</v>
      </c>
      <c r="H11">
        <v>0</v>
      </c>
      <c r="I11">
        <v>1</v>
      </c>
      <c r="J11" s="68">
        <f>COUNTIF('remet-kin'!BH138,"&lt;=0.3")</f>
        <v>0</v>
      </c>
      <c r="K11" s="68">
        <f>COUNTIFS('remet-kin'!BH138,"&gt;0.3",'remet-kin'!BH138,"&lt;=0.7")</f>
        <v>1</v>
      </c>
      <c r="L11" s="68">
        <f>COUNTIFS('remet-kin'!BH138,"&gt;0.7",'remet-kin'!BH138,"&lt;=1.0")</f>
        <v>0</v>
      </c>
      <c r="M11" s="68">
        <f>COUNTIFS('remet-kin'!BH138,"&gt;1.0",'remet-kin'!BH138,"&lt;=3.0")</f>
        <v>0</v>
      </c>
      <c r="N11" s="68">
        <f>COUNTIF('remet-kin'!BH138,"&gt;3.0")</f>
        <v>0</v>
      </c>
      <c r="O11" s="62">
        <v>0.22</v>
      </c>
      <c r="P11">
        <v>1</v>
      </c>
      <c r="Q11">
        <v>0</v>
      </c>
      <c r="R11" t="s">
        <v>3585</v>
      </c>
      <c r="S11" t="s">
        <v>3583</v>
      </c>
      <c r="T11">
        <v>0</v>
      </c>
      <c r="U11">
        <v>0</v>
      </c>
    </row>
    <row r="12" spans="1:21" ht="17">
      <c r="A12" t="s">
        <v>61</v>
      </c>
      <c r="B12" t="s">
        <v>38</v>
      </c>
      <c r="C12" t="s">
        <v>3556</v>
      </c>
      <c r="D12" s="53" t="s">
        <v>3512</v>
      </c>
      <c r="F12">
        <v>1</v>
      </c>
      <c r="G12">
        <v>0</v>
      </c>
      <c r="H12">
        <v>0</v>
      </c>
      <c r="I12">
        <v>0</v>
      </c>
      <c r="J12">
        <f>COUNTIF('remet-kin'!BH27:'remet-kin'!BH28,"&lt;=0.3")/COUNT('remet-kin'!BH27:'remet-kin'!BH28)</f>
        <v>0</v>
      </c>
      <c r="K12">
        <f>COUNTIFS('remet-kin'!BH27:'remet-kin'!BH28,"&gt;0.3",'remet-kin'!BH27:'remet-kin'!BH28,"&lt;=0.7")/COUNT('remet-kin'!BH27:'remet-kin'!BH28)</f>
        <v>0</v>
      </c>
      <c r="L12">
        <f>COUNTIFS('remet-kin'!BH27:'remet-kin'!BH28,"&gt;0.7",'remet-kin'!BH27:'remet-kin'!BH28,"&lt;=1.0")/COUNT('remet-kin'!BH27:'remet-kin'!BH28)</f>
        <v>0</v>
      </c>
      <c r="M12">
        <f>COUNTIFS('remet-kin'!BH27:'remet-kin'!BH28,"&gt;1.0",'remet-kin'!BH27:'remet-kin'!BH28,"&lt;=3.0")/COUNT('remet-kin'!BH27:'remet-kin'!BH28)</f>
        <v>1</v>
      </c>
      <c r="N12">
        <f>COUNTIFS('remet-kin'!BH27:'remet-kin'!BH28,"&gt;3")/COUNT('remet-kin'!BH27:'remet-kin'!BH28)</f>
        <v>0</v>
      </c>
      <c r="O12" s="62">
        <v>0.22</v>
      </c>
      <c r="P12">
        <v>0</v>
      </c>
      <c r="Q12">
        <v>1</v>
      </c>
      <c r="R12" t="s">
        <v>3585</v>
      </c>
      <c r="S12" t="s">
        <v>3583</v>
      </c>
      <c r="T12">
        <v>0</v>
      </c>
      <c r="U12">
        <v>0</v>
      </c>
    </row>
    <row r="13" spans="1:21" ht="34">
      <c r="A13" t="s">
        <v>61</v>
      </c>
      <c r="B13" t="s">
        <v>39</v>
      </c>
      <c r="C13" t="s">
        <v>9</v>
      </c>
      <c r="D13" s="53" t="s">
        <v>9</v>
      </c>
      <c r="F13">
        <v>1</v>
      </c>
      <c r="G13">
        <v>0</v>
      </c>
      <c r="H13">
        <v>0</v>
      </c>
      <c r="I13">
        <v>0</v>
      </c>
      <c r="J13">
        <f>COUNTIF('remet-kin'!BH30:'remet-kin'!BH31,"&lt;=0.3")/COUNT('remet-kin'!BH30:'remet-kin'!BH31)</f>
        <v>0</v>
      </c>
      <c r="K13">
        <f>COUNTIFS('remet-kin'!BH30:'remet-kin'!BH31,"&gt;0.3",'remet-kin'!BH30:'remet-kin'!BH31,"&lt;=0.7")/COUNT('remet-kin'!BH30:'remet-kin'!BH31)</f>
        <v>0</v>
      </c>
      <c r="L13">
        <f>COUNTIFS('remet-kin'!BH30:'remet-kin'!BH31,"&gt;0.7",'remet-kin'!BH30:'remet-kin'!BH31,"&lt;=1.0")/COUNT('remet-kin'!BH30:'remet-kin'!BH31)</f>
        <v>1</v>
      </c>
      <c r="M13">
        <f>COUNTIFS('remet-kin'!BH30:'remet-kin'!BH31,"&gt;1.0",'remet-kin'!BH30:'remet-kin'!BH31,"&lt;=3.0")/COUNT('remet-kin'!BH30:'remet-kin'!BH31)</f>
        <v>0</v>
      </c>
      <c r="N13">
        <f>COUNTIFS('remet-kin'!BH30:'remet-kin'!BH31,"&gt;3")/COUNT('remet-kin'!BH30:'remet-kin'!BH31)</f>
        <v>0</v>
      </c>
      <c r="O13" s="62">
        <v>0.22</v>
      </c>
      <c r="P13">
        <v>0.5</v>
      </c>
      <c r="Q13">
        <v>0.5</v>
      </c>
      <c r="R13" t="s">
        <v>3585</v>
      </c>
      <c r="S13" t="s">
        <v>3583</v>
      </c>
      <c r="T13">
        <v>0</v>
      </c>
      <c r="U13">
        <v>0</v>
      </c>
    </row>
    <row r="14" spans="1:21" ht="34">
      <c r="A14" t="s">
        <v>61</v>
      </c>
      <c r="B14" t="s">
        <v>39</v>
      </c>
      <c r="C14" t="s">
        <v>10</v>
      </c>
      <c r="D14" s="53" t="s">
        <v>10</v>
      </c>
      <c r="F14">
        <v>1</v>
      </c>
      <c r="G14">
        <v>0</v>
      </c>
      <c r="H14">
        <v>0</v>
      </c>
      <c r="I14">
        <v>0</v>
      </c>
      <c r="J14" s="68">
        <f>COUNTIF('remet-kin'!BH32,"&lt;=0.3")</f>
        <v>0</v>
      </c>
      <c r="K14" s="68">
        <f>COUNTIFS('remet-kin'!BH32,"&gt;0.3",'remet-kin'!BH32,"&lt;=0.7")</f>
        <v>1</v>
      </c>
      <c r="L14" s="68">
        <f>COUNTIFS('remet-kin'!BH32,"&gt;0.7",'remet-kin'!BH32,"&lt;=1.0")</f>
        <v>0</v>
      </c>
      <c r="M14" s="68">
        <f>COUNTIFS('remet-kin'!BH32,"&gt;1.0",'remet-kin'!BH32,"&lt;=3.0")</f>
        <v>0</v>
      </c>
      <c r="N14" s="68">
        <f>COUNTIF('remet-kin'!BH32,"&gt;3.0")</f>
        <v>0</v>
      </c>
      <c r="O14" s="62">
        <v>0.22</v>
      </c>
      <c r="P14">
        <v>0</v>
      </c>
      <c r="Q14">
        <v>1</v>
      </c>
      <c r="R14" t="s">
        <v>3585</v>
      </c>
      <c r="S14" t="s">
        <v>3583</v>
      </c>
      <c r="T14">
        <v>0</v>
      </c>
      <c r="U14">
        <v>0</v>
      </c>
    </row>
    <row r="15" spans="1:21" ht="34">
      <c r="A15" t="s">
        <v>61</v>
      </c>
      <c r="B15" t="s">
        <v>39</v>
      </c>
      <c r="C15" t="s">
        <v>11</v>
      </c>
      <c r="D15" s="53" t="s">
        <v>11</v>
      </c>
      <c r="F15">
        <v>1</v>
      </c>
      <c r="G15">
        <v>0</v>
      </c>
      <c r="H15">
        <v>0</v>
      </c>
      <c r="I15">
        <v>0</v>
      </c>
      <c r="J15" s="68">
        <f>COUNTIF('remet-kin'!BH33,"&lt;=0.3")</f>
        <v>0</v>
      </c>
      <c r="K15" s="68">
        <f>COUNTIFS('remet-kin'!BH33,"&gt;0.3",'remet-kin'!BH33,"&lt;=0.7")</f>
        <v>0</v>
      </c>
      <c r="L15" s="68">
        <f>COUNTIFS('remet-kin'!BH33,"&gt;0.7",'remet-kin'!BH33,"&lt;=1.0")</f>
        <v>1</v>
      </c>
      <c r="M15" s="68">
        <f>COUNTIFS('remet-kin'!BH33,"&gt;1.0",'remet-kin'!BH33,"&lt;=3.0")</f>
        <v>0</v>
      </c>
      <c r="N15" s="68">
        <f>COUNTIF('remet-kin'!BH33,"&gt;3.0")</f>
        <v>0</v>
      </c>
      <c r="O15" s="62">
        <v>0.22</v>
      </c>
      <c r="P15">
        <v>0</v>
      </c>
      <c r="Q15">
        <v>1</v>
      </c>
      <c r="R15" t="s">
        <v>3585</v>
      </c>
      <c r="S15" t="s">
        <v>3583</v>
      </c>
      <c r="T15">
        <v>0</v>
      </c>
      <c r="U15">
        <v>0</v>
      </c>
    </row>
    <row r="16" spans="1:21" ht="34">
      <c r="A16" t="s">
        <v>61</v>
      </c>
      <c r="B16" t="s">
        <v>41</v>
      </c>
      <c r="C16" t="s">
        <v>12</v>
      </c>
      <c r="D16" s="53" t="s">
        <v>12</v>
      </c>
      <c r="F16">
        <v>1</v>
      </c>
      <c r="G16">
        <v>0</v>
      </c>
      <c r="H16">
        <v>0</v>
      </c>
      <c r="I16">
        <v>0</v>
      </c>
      <c r="J16" s="68">
        <f>COUNTIF('remet-kin'!BH35,"&lt;=0.3")</f>
        <v>1</v>
      </c>
      <c r="K16" s="68">
        <f>COUNTIFS('remet-kin'!BH35,"&gt;0.3",'remet-kin'!BH35,"&lt;=0.7")</f>
        <v>0</v>
      </c>
      <c r="L16" s="68">
        <f>COUNTIFS('remet-kin'!BH35,"&gt;0.7",'remet-kin'!BH35,"&lt;=1.0")</f>
        <v>0</v>
      </c>
      <c r="M16" s="68">
        <f>COUNTIFS('remet-kin'!BH35,"&gt;1.0",'remet-kin'!BH35,"&lt;=3.0")</f>
        <v>0</v>
      </c>
      <c r="N16" s="68">
        <f>COUNTIF('remet-kin'!BH35,"&gt;3.0")</f>
        <v>0</v>
      </c>
      <c r="O16" s="62">
        <v>0.22</v>
      </c>
      <c r="P16">
        <v>0</v>
      </c>
      <c r="Q16">
        <v>1</v>
      </c>
      <c r="R16" t="s">
        <v>3585</v>
      </c>
      <c r="S16" t="s">
        <v>3583</v>
      </c>
      <c r="T16">
        <v>1</v>
      </c>
      <c r="U16">
        <v>0</v>
      </c>
    </row>
    <row r="17" spans="1:21" ht="34">
      <c r="A17" t="s">
        <v>62</v>
      </c>
      <c r="B17" t="s">
        <v>40</v>
      </c>
      <c r="C17" t="s">
        <v>13</v>
      </c>
      <c r="D17" s="53" t="s">
        <v>13</v>
      </c>
      <c r="F17">
        <v>0</v>
      </c>
      <c r="G17">
        <v>0.33333333333333331</v>
      </c>
      <c r="H17">
        <v>0.66666666666666663</v>
      </c>
      <c r="I17">
        <v>0</v>
      </c>
      <c r="J17">
        <f>COUNTIF('remet-kin'!BH37:'remet-kin'!BH39,"&lt;=0.3")/COUNT('remet-kin'!BH37:'remet-kin'!BH39)</f>
        <v>0</v>
      </c>
      <c r="K17">
        <f>COUNTIFS('remet-kin'!BH37:'remet-kin'!BH39,"&gt;0.3",'remet-kin'!BH37:'remet-kin'!BH39,"&lt;=0.7")/COUNT('remet-kin'!BH37:'remet-kin'!BH39)</f>
        <v>0</v>
      </c>
      <c r="L17">
        <f>COUNTIFS('remet-kin'!BH37:'remet-kin'!BH39,"&gt;0.7",'remet-kin'!BH37:'remet-kin'!BH39,"&lt;=1.0")/COUNT('remet-kin'!BH37:'remet-kin'!BH39)</f>
        <v>0.66666666666666663</v>
      </c>
      <c r="M17">
        <f>COUNTIFS('remet-kin'!BH37:'remet-kin'!BH39,"&gt;1.0",'remet-kin'!BH37:'remet-kin'!BH39,"&lt;=3.0")/COUNT('remet-kin'!BH37:'remet-kin'!BH39)</f>
        <v>0.33333333333333331</v>
      </c>
      <c r="N17">
        <f>COUNTIFS('remet-kin'!BH37:'remet-kin'!BH39,"&gt;3")/COUNT('remet-kin'!BH37:'remet-kin'!BH39)</f>
        <v>0</v>
      </c>
      <c r="O17" s="62">
        <v>0.11</v>
      </c>
      <c r="P17">
        <v>1</v>
      </c>
      <c r="Q17">
        <v>0</v>
      </c>
      <c r="R17" t="s">
        <v>3585</v>
      </c>
      <c r="S17" t="s">
        <v>3584</v>
      </c>
      <c r="T17">
        <v>0</v>
      </c>
      <c r="U17">
        <v>1</v>
      </c>
    </row>
    <row r="18" spans="1:21" ht="34">
      <c r="A18" t="s">
        <v>62</v>
      </c>
      <c r="B18" t="s">
        <v>42</v>
      </c>
      <c r="C18" t="s">
        <v>14</v>
      </c>
      <c r="D18" s="53" t="s">
        <v>14</v>
      </c>
      <c r="F18">
        <v>0</v>
      </c>
      <c r="G18">
        <v>1</v>
      </c>
      <c r="H18">
        <v>0</v>
      </c>
      <c r="I18">
        <v>0</v>
      </c>
      <c r="J18" s="68">
        <f>COUNTIF('remet-kin'!BH41,"&lt;=0.3")</f>
        <v>0</v>
      </c>
      <c r="K18" s="68">
        <f>COUNTIFS('remet-kin'!BH41,"&gt;0.3",'remet-kin'!BH41,"&lt;=0.7")</f>
        <v>0</v>
      </c>
      <c r="L18" s="68">
        <f>COUNTIFS('remet-kin'!BH41,"&gt;0.7",'remet-kin'!BH41,"&lt;=1.0")</f>
        <v>0</v>
      </c>
      <c r="M18" s="68">
        <f>COUNTIFS('remet-kin'!BH41,"&gt;1.0",'remet-kin'!BH41,"&lt;=3.0")</f>
        <v>0</v>
      </c>
      <c r="N18" s="68">
        <f>COUNTIF('remet-kin'!BH41,"&gt;3.0")</f>
        <v>1</v>
      </c>
      <c r="O18" s="62">
        <v>0.11</v>
      </c>
      <c r="P18">
        <v>1</v>
      </c>
      <c r="Q18">
        <v>0</v>
      </c>
      <c r="R18" t="s">
        <v>3585</v>
      </c>
      <c r="S18" t="s">
        <v>3584</v>
      </c>
      <c r="T18">
        <v>0</v>
      </c>
      <c r="U18">
        <v>1</v>
      </c>
    </row>
    <row r="19" spans="1:21" ht="34">
      <c r="A19" t="s">
        <v>62</v>
      </c>
      <c r="B19" t="s">
        <v>42</v>
      </c>
      <c r="C19" t="s">
        <v>15</v>
      </c>
      <c r="D19" s="53" t="s">
        <v>15</v>
      </c>
      <c r="E19" s="53" t="s">
        <v>3529</v>
      </c>
      <c r="F19">
        <v>0</v>
      </c>
      <c r="G19">
        <v>1</v>
      </c>
      <c r="H19">
        <v>0</v>
      </c>
      <c r="I19">
        <v>0</v>
      </c>
      <c r="J19" s="68">
        <f>COUNTIF('remet-kin'!BH42,"&lt;=0.3")</f>
        <v>0</v>
      </c>
      <c r="K19" s="68">
        <f>COUNTIFS('remet-kin'!BH42,"&gt;0.3",'remet-kin'!BH42,"&lt;=0.7")</f>
        <v>0</v>
      </c>
      <c r="L19" s="68">
        <f>COUNTIFS('remet-kin'!BH42,"&gt;0.7",'remet-kin'!BH42,"&lt;=1.0")</f>
        <v>0</v>
      </c>
      <c r="M19" s="68">
        <f>COUNTIFS('remet-kin'!BH42,"&gt;1.0",'remet-kin'!BH42,"&lt;=3.0")</f>
        <v>0</v>
      </c>
      <c r="N19" s="68">
        <f>COUNTIF('remet-kin'!BH42,"&gt;3.0")</f>
        <v>1</v>
      </c>
      <c r="O19" s="62">
        <v>0.11</v>
      </c>
      <c r="P19">
        <v>1</v>
      </c>
      <c r="Q19">
        <v>0</v>
      </c>
      <c r="R19" t="s">
        <v>3585</v>
      </c>
      <c r="S19" t="s">
        <v>3584</v>
      </c>
      <c r="T19">
        <v>0</v>
      </c>
      <c r="U19">
        <v>1</v>
      </c>
    </row>
    <row r="20" spans="1:21">
      <c r="A20" t="s">
        <v>62</v>
      </c>
      <c r="B20" t="s">
        <v>43</v>
      </c>
      <c r="C20" t="s">
        <v>3535</v>
      </c>
      <c r="F20">
        <v>0</v>
      </c>
      <c r="G20">
        <v>0</v>
      </c>
      <c r="H20">
        <v>0.66666666666666663</v>
      </c>
      <c r="I20">
        <v>0.33333333333333331</v>
      </c>
      <c r="J20">
        <f>COUNTIF('remet-kin'!BH44:'remet-kin'!BH46,"&lt;=0.3")/COUNT('remet-kin'!BH44:'remet-kin'!BH46)</f>
        <v>0</v>
      </c>
      <c r="K20">
        <f>COUNTIFS('remet-kin'!BH44:'remet-kin'!BH46,"&gt;0.3",'remet-kin'!BH44:'remet-kin'!BH46,"&lt;=0.7")/COUNT('remet-kin'!BH44:'remet-kin'!BH46)</f>
        <v>0.66666666666666663</v>
      </c>
      <c r="L20">
        <f>COUNTIFS('remet-kin'!BH44:'remet-kin'!BH46,"&gt;0.7",'remet-kin'!BH44:'remet-kin'!BH46,"&lt;=1.0")/COUNT('remet-kin'!BH44:'remet-kin'!BH46)</f>
        <v>0</v>
      </c>
      <c r="M20">
        <f>COUNTIFS('remet-kin'!BH44:'remet-kin'!BH46,"&gt;1.0",'remet-kin'!BH44:'remet-kin'!BH46,"&lt;=3.0")/COUNT('remet-kin'!BH44:'remet-kin'!BH46)</f>
        <v>0.33333333333333331</v>
      </c>
      <c r="N20">
        <f>COUNTIFS('remet-kin'!BH44:'remet-kin'!BH46,"&gt;3")/COUNT('remet-kin'!BH44:'remet-kin'!BH46)</f>
        <v>0</v>
      </c>
      <c r="O20" s="62">
        <v>0.11</v>
      </c>
      <c r="P20">
        <v>1</v>
      </c>
      <c r="Q20">
        <v>0</v>
      </c>
      <c r="R20" t="s">
        <v>3586</v>
      </c>
      <c r="S20" t="s">
        <v>3584</v>
      </c>
      <c r="T20">
        <v>0</v>
      </c>
      <c r="U20">
        <v>1</v>
      </c>
    </row>
    <row r="21" spans="1:21" ht="17">
      <c r="A21" t="s">
        <v>62</v>
      </c>
      <c r="B21" t="s">
        <v>44</v>
      </c>
      <c r="C21" t="s">
        <v>16</v>
      </c>
      <c r="D21" s="53" t="s">
        <v>16</v>
      </c>
      <c r="F21">
        <v>0</v>
      </c>
      <c r="G21">
        <v>1</v>
      </c>
      <c r="H21">
        <v>0</v>
      </c>
      <c r="I21">
        <v>0</v>
      </c>
      <c r="J21" s="68">
        <f>COUNTIF('remet-kin'!BH50,"&lt;=0.3")</f>
        <v>0</v>
      </c>
      <c r="K21" s="68">
        <f>COUNTIFS('remet-kin'!BH50,"&gt;0.3",'remet-kin'!BH50,"&lt;=0.7")</f>
        <v>1</v>
      </c>
      <c r="L21" s="68">
        <f>COUNTIFS('remet-kin'!BH50,"&gt;0.7",'remet-kin'!BH50,"&lt;=1.0")</f>
        <v>0</v>
      </c>
      <c r="M21" s="68">
        <f>COUNTIFS('remet-kin'!BH50,"&gt;1.0",'remet-kin'!BH50,"&lt;=3.0")</f>
        <v>0</v>
      </c>
      <c r="N21" s="68">
        <f>COUNTIF('remet-kin'!BH50,"&gt;3.0")</f>
        <v>0</v>
      </c>
      <c r="O21" s="62">
        <v>0.11</v>
      </c>
      <c r="P21">
        <v>1</v>
      </c>
      <c r="Q21">
        <v>0</v>
      </c>
      <c r="R21" t="s">
        <v>3585</v>
      </c>
      <c r="S21" t="s">
        <v>3584</v>
      </c>
      <c r="T21">
        <v>0</v>
      </c>
      <c r="U21">
        <v>1</v>
      </c>
    </row>
    <row r="22" spans="1:21">
      <c r="A22" t="s">
        <v>63</v>
      </c>
      <c r="B22" t="s">
        <v>45</v>
      </c>
      <c r="C22" t="s">
        <v>3536</v>
      </c>
      <c r="F22">
        <v>0.5</v>
      </c>
      <c r="G22">
        <v>0.5</v>
      </c>
      <c r="H22">
        <v>0</v>
      </c>
      <c r="I22">
        <v>0</v>
      </c>
      <c r="J22">
        <f>COUNTIF('remet-kin'!BH52:'remet-kin'!BH53,"&lt;=0.3")/COUNT('remet-kin'!BH52:'remet-kin'!BH53)</f>
        <v>0.5</v>
      </c>
      <c r="K22">
        <f>COUNTIFS('remet-kin'!BH52:'remet-kin'!BH53,"&gt;0.3",'remet-kin'!BH52:'remet-kin'!BH53,"&lt;=0.7")/COUNT('remet-kin'!BH52:'remet-kin'!BH53)</f>
        <v>0</v>
      </c>
      <c r="L22">
        <f>COUNTIFS('remet-kin'!BH52:'remet-kin'!BH53,"&gt;0.7",'remet-kin'!BH52:'remet-kin'!BH53,"&lt;=1.0")/COUNT('remet-kin'!BH52:'remet-kin'!BH53)</f>
        <v>0.5</v>
      </c>
      <c r="M22">
        <f>COUNTIFS('remet-kin'!BH52:'remet-kin'!BH53,"&gt;1.0",'remet-kin'!BH52:'remet-kin'!BH53,"&lt;=3.0")/COUNT('remet-kin'!BH52:'remet-kin'!BH53)</f>
        <v>0</v>
      </c>
      <c r="N22">
        <f>COUNTIFS('remet-kin'!BH52:'remet-kin'!BH53,"&gt;3")/COUNT('remet-kin'!BH52:'remet-kin'!BH53)</f>
        <v>0</v>
      </c>
      <c r="O22" s="62">
        <v>0.16</v>
      </c>
      <c r="P22">
        <v>1</v>
      </c>
      <c r="Q22">
        <v>0</v>
      </c>
      <c r="R22" t="s">
        <v>3587</v>
      </c>
      <c r="S22" t="s">
        <v>3583</v>
      </c>
      <c r="T22">
        <v>0</v>
      </c>
      <c r="U22">
        <v>0</v>
      </c>
    </row>
    <row r="23" spans="1:21">
      <c r="A23" t="s">
        <v>63</v>
      </c>
      <c r="B23" t="s">
        <v>46</v>
      </c>
      <c r="C23" t="s">
        <v>3537</v>
      </c>
      <c r="F23">
        <v>1</v>
      </c>
      <c r="G23">
        <v>0</v>
      </c>
      <c r="H23">
        <v>0</v>
      </c>
      <c r="I23">
        <v>0</v>
      </c>
      <c r="J23" s="68">
        <f>COUNTIF('remet-kin'!BH55,"&lt;=0.3")</f>
        <v>1</v>
      </c>
      <c r="K23" s="68">
        <f>COUNTIFS('remet-kin'!BH55,"&gt;0.3",'remet-kin'!BH55,"&lt;=0.7")</f>
        <v>0</v>
      </c>
      <c r="L23" s="68">
        <f>COUNTIFS('remet-kin'!BH55,"&gt;0.7",'remet-kin'!BH55,"&lt;=1.0")</f>
        <v>0</v>
      </c>
      <c r="M23" s="68">
        <f>COUNTIFS('remet-kin'!BH55,"&gt;1.0",'remet-kin'!BH55,"&lt;=3.0")</f>
        <v>0</v>
      </c>
      <c r="N23" s="68">
        <f>COUNTIF('remet-kin'!BH55,"&gt;3.0")</f>
        <v>0</v>
      </c>
      <c r="O23" s="62">
        <v>0.16</v>
      </c>
      <c r="P23">
        <v>1</v>
      </c>
      <c r="Q23">
        <v>0</v>
      </c>
      <c r="R23" s="62" t="s">
        <v>3585</v>
      </c>
      <c r="S23" t="s">
        <v>3583</v>
      </c>
      <c r="T23">
        <v>0</v>
      </c>
      <c r="U23">
        <v>0</v>
      </c>
    </row>
    <row r="24" spans="1:21" ht="34">
      <c r="A24" t="s">
        <v>63</v>
      </c>
      <c r="B24" t="s">
        <v>47</v>
      </c>
      <c r="C24" t="s">
        <v>3538</v>
      </c>
      <c r="E24" s="53" t="s">
        <v>3508</v>
      </c>
      <c r="F24">
        <v>0.33333333333333331</v>
      </c>
      <c r="G24">
        <v>0.33333333333333331</v>
      </c>
      <c r="H24">
        <v>0.33333333333333331</v>
      </c>
      <c r="I24">
        <v>0</v>
      </c>
      <c r="J24">
        <f>COUNTIF('remet-kin'!BH58:'remet-kin'!BH60,"&lt;=0.3")/COUNT('remet-kin'!BH58:'remet-kin'!BH60)</f>
        <v>0.33333333333333331</v>
      </c>
      <c r="K24">
        <f>COUNTIFS('remet-kin'!BH58:'remet-kin'!BH60,"&gt;0.3",'remet-kin'!BH58:'remet-kin'!BH60,"&lt;=0.7")/COUNT('remet-kin'!BH58:'remet-kin'!BH60)</f>
        <v>0</v>
      </c>
      <c r="L24">
        <f>COUNTIFS('remet-kin'!BH58:'remet-kin'!BH60,"&gt;0.7",'remet-kin'!BH58:'remet-kin'!BH60,"&lt;=1.0")/COUNT('remet-kin'!BH58:'remet-kin'!BH60)</f>
        <v>0.33333333333333331</v>
      </c>
      <c r="M24">
        <f>COUNTIFS('remet-kin'!BH58:'remet-kin'!BH60,"&gt;1.0",'remet-kin'!BH58:'remet-kin'!BH60,"&lt;=3.0")/COUNT('remet-kin'!BH58:'remet-kin'!BH60)</f>
        <v>0.33333333333333331</v>
      </c>
      <c r="N24">
        <f>COUNTIFS('remet-kin'!BH58:'remet-kin'!BH60,"&gt;3")/COUNT('remet-kin'!BH58:'remet-kin'!BH60)</f>
        <v>0</v>
      </c>
      <c r="O24" s="62">
        <v>0.16</v>
      </c>
      <c r="P24">
        <v>1</v>
      </c>
      <c r="Q24">
        <v>0</v>
      </c>
      <c r="R24" s="62" t="s">
        <v>3585</v>
      </c>
      <c r="S24" t="s">
        <v>3583</v>
      </c>
      <c r="T24">
        <v>0</v>
      </c>
      <c r="U24">
        <v>0</v>
      </c>
    </row>
    <row r="25" spans="1:21" ht="34">
      <c r="A25" t="s">
        <v>63</v>
      </c>
      <c r="B25" t="s">
        <v>48</v>
      </c>
      <c r="C25" t="s">
        <v>17</v>
      </c>
      <c r="D25" s="53" t="s">
        <v>17</v>
      </c>
      <c r="F25">
        <v>0</v>
      </c>
      <c r="G25">
        <v>0</v>
      </c>
      <c r="H25">
        <v>0</v>
      </c>
      <c r="I25">
        <v>1</v>
      </c>
      <c r="J25" s="68">
        <f>COUNTIF('remet-kin'!BH62,"&lt;=0.3")</f>
        <v>0</v>
      </c>
      <c r="K25" s="68">
        <f>COUNTIFS('remet-kin'!BH63,"&gt;0.3",'remet-kin'!BH63,"&lt;=0.7")</f>
        <v>0</v>
      </c>
      <c r="L25" s="68">
        <f>COUNTIFS('remet-kin'!BH63,"&gt;0.7",'remet-kin'!BH63,"&lt;=1.0")</f>
        <v>1</v>
      </c>
      <c r="M25" s="68">
        <f>COUNTIFS('remet-kin'!BH63,"&gt;1.0",'remet-kin'!BH63,"&lt;=3.0")</f>
        <v>0</v>
      </c>
      <c r="N25" s="68">
        <f>COUNTIF('remet-kin'!BH63,"&gt;3.0")</f>
        <v>0</v>
      </c>
      <c r="O25" s="62">
        <v>0.11</v>
      </c>
      <c r="P25">
        <v>1</v>
      </c>
      <c r="Q25">
        <v>0</v>
      </c>
      <c r="R25" s="62" t="s">
        <v>3585</v>
      </c>
      <c r="S25" t="s">
        <v>3583</v>
      </c>
      <c r="T25">
        <v>0</v>
      </c>
      <c r="U25">
        <v>0</v>
      </c>
    </row>
    <row r="26" spans="1:21" ht="34">
      <c r="A26" t="s">
        <v>63</v>
      </c>
      <c r="B26" t="s">
        <v>48</v>
      </c>
      <c r="C26" t="s">
        <v>18</v>
      </c>
      <c r="D26" s="53" t="s">
        <v>18</v>
      </c>
      <c r="F26">
        <v>0</v>
      </c>
      <c r="G26">
        <v>0</v>
      </c>
      <c r="H26">
        <v>0.33333333333333331</v>
      </c>
      <c r="I26">
        <v>0.66666666666666663</v>
      </c>
      <c r="J26">
        <f>COUNTIF('remet-kin'!BH64:'remet-kin'!BH67,"&lt;=0.3")/COUNT('remet-kin'!BH64:'remet-kin'!BH67)</f>
        <v>0.25</v>
      </c>
      <c r="K26">
        <f>COUNTIFS('remet-kin'!BH64:'remet-kin'!BH67,"&gt;0.3",'remet-kin'!BH64:'remet-kin'!BH67,"&lt;=0.7")/COUNT('remet-kin'!BH64:'remet-kin'!BH67)</f>
        <v>0.5</v>
      </c>
      <c r="L26">
        <f>COUNTIFS('remet-kin'!BH64:'remet-kin'!BH67,"&gt;0.7",'remet-kin'!BH64:'remet-kin'!BH67,"&lt;=1.0")/COUNT('remet-kin'!BH64:'remet-kin'!BH67)</f>
        <v>0</v>
      </c>
      <c r="M26">
        <f>COUNTIFS('remet-kin'!BH64:'remet-kin'!BH67,"&gt;1.0",'remet-kin'!BH64:'remet-kin'!BH67,"&lt;=3.0")/COUNT('remet-kin'!BH64:'remet-kin'!BH67)</f>
        <v>0.25</v>
      </c>
      <c r="N26">
        <f>COUNTIFS('remet-kin'!BH64:'remet-kin'!BH67,"&gt;3")/COUNT('remet-kin'!BH64:'remet-kin'!BH67)</f>
        <v>0</v>
      </c>
      <c r="O26" s="62">
        <v>0.11</v>
      </c>
      <c r="P26">
        <v>1</v>
      </c>
      <c r="Q26">
        <v>0</v>
      </c>
      <c r="R26" s="62" t="s">
        <v>3585</v>
      </c>
      <c r="S26" t="s">
        <v>3583</v>
      </c>
      <c r="T26">
        <v>0</v>
      </c>
      <c r="U26">
        <v>0</v>
      </c>
    </row>
    <row r="27" spans="1:21" ht="34">
      <c r="A27" t="s">
        <v>63</v>
      </c>
      <c r="B27" t="s">
        <v>48</v>
      </c>
      <c r="C27" t="s">
        <v>19</v>
      </c>
      <c r="D27" s="53" t="s">
        <v>19</v>
      </c>
      <c r="F27">
        <v>0</v>
      </c>
      <c r="G27">
        <v>0.5</v>
      </c>
      <c r="H27">
        <v>0</v>
      </c>
      <c r="I27">
        <v>0.5</v>
      </c>
      <c r="J27">
        <f>COUNTIF('remet-kin'!BH68:'remet-kin'!BH69,"&lt;=0.3")/COUNT('remet-kin'!BH68:'remet-kin'!BH69)</f>
        <v>0</v>
      </c>
      <c r="K27">
        <f>COUNTIFS('remet-kin'!BH68:'remet-kin'!BH69,"&gt;0.3",'remet-kin'!BH68:'remet-kin'!BH69,"&lt;=0.7")/COUNT('remet-kin'!BH68:'remet-kin'!BH69)</f>
        <v>0</v>
      </c>
      <c r="L27">
        <f>COUNTIFS('remet-kin'!BH68:'remet-kin'!BH69,"&gt;0.7",'remet-kin'!BH68:'remet-kin'!BH69,"&lt;=1.0")/COUNT('remet-kin'!BH68:'remet-kin'!BH69)</f>
        <v>0</v>
      </c>
      <c r="M27">
        <f>COUNTIFS('remet-kin'!BH68:'remet-kin'!BH69,"&gt;1.0",'remet-kin'!BH68:'remet-kin'!BH69,"&lt;=3.0")/COUNT('remet-kin'!BH68:'remet-kin'!BH69)</f>
        <v>0.5</v>
      </c>
      <c r="N27">
        <f>COUNTIFS('remet-kin'!BH68:'remet-kin'!BH69,"&gt;3")/COUNT('remet-kin'!BH68:'remet-kin'!BH69)</f>
        <v>0.5</v>
      </c>
      <c r="O27" s="62">
        <v>0.11</v>
      </c>
      <c r="P27">
        <v>1</v>
      </c>
      <c r="Q27">
        <v>0</v>
      </c>
      <c r="R27" s="62" t="s">
        <v>3585</v>
      </c>
      <c r="S27" t="s">
        <v>3583</v>
      </c>
      <c r="T27">
        <v>0</v>
      </c>
      <c r="U27">
        <v>0</v>
      </c>
    </row>
    <row r="28" spans="1:21" ht="34">
      <c r="A28" t="s">
        <v>63</v>
      </c>
      <c r="B28" t="s">
        <v>49</v>
      </c>
      <c r="C28" t="s">
        <v>20</v>
      </c>
      <c r="D28" s="53" t="s">
        <v>20</v>
      </c>
      <c r="F28">
        <v>0</v>
      </c>
      <c r="G28">
        <v>1</v>
      </c>
      <c r="H28">
        <v>0</v>
      </c>
      <c r="I28">
        <v>0</v>
      </c>
      <c r="J28" s="68">
        <f>COUNTIF('remet-kin'!BH73,"&lt;=0.3")</f>
        <v>0</v>
      </c>
      <c r="K28" s="68">
        <f>COUNTIFS('remet-kin'!BH73,"&gt;0.3",'remet-kin'!BH73,"&lt;=0.7")</f>
        <v>1</v>
      </c>
      <c r="L28" s="68">
        <f>COUNTIFS('remet-kin'!BH73,"&gt;0.7",'remet-kin'!BH73,"&lt;=1.0")</f>
        <v>0</v>
      </c>
      <c r="M28" s="68">
        <f>COUNTIFS('remet-kin'!BH73,"&gt;1.0",'remet-kin'!BH73,"&lt;=3.0")</f>
        <v>0</v>
      </c>
      <c r="N28" s="68">
        <f>COUNTIF('remet-kin'!BH73,"&gt;3.0")</f>
        <v>0</v>
      </c>
      <c r="O28" s="62">
        <v>0.16</v>
      </c>
      <c r="P28">
        <v>0</v>
      </c>
      <c r="Q28">
        <v>1</v>
      </c>
      <c r="R28" s="62" t="s">
        <v>3585</v>
      </c>
      <c r="S28" t="s">
        <v>3583</v>
      </c>
      <c r="T28">
        <v>0</v>
      </c>
      <c r="U28">
        <v>0</v>
      </c>
    </row>
    <row r="29" spans="1:21" ht="34">
      <c r="A29" t="s">
        <v>63</v>
      </c>
      <c r="B29" t="s">
        <v>49</v>
      </c>
      <c r="C29" t="s">
        <v>21</v>
      </c>
      <c r="D29" s="53" t="s">
        <v>21</v>
      </c>
      <c r="F29">
        <v>1</v>
      </c>
      <c r="G29">
        <v>0</v>
      </c>
      <c r="H29">
        <v>0</v>
      </c>
      <c r="I29">
        <v>0</v>
      </c>
      <c r="J29">
        <f>COUNTIF('remet-kin'!BH71:'remet-kin'!BH72,"&lt;=0.3")/COUNT('remet-kin'!BH71:'remet-kin'!BH72)</f>
        <v>0</v>
      </c>
      <c r="K29">
        <f>COUNTIFS('remet-kin'!BH71:'remet-kin'!BH72,"&gt;0.3",'remet-kin'!BH71:'remet-kin'!BH72,"&lt;=0.7")/COUNT('remet-kin'!BH71:'remet-kin'!BH72)</f>
        <v>1</v>
      </c>
      <c r="L29">
        <f>COUNTIFS('remet-kin'!BH71:'remet-kin'!BH72,"&gt;0.7",'remet-kin'!BH71:'remet-kin'!BH72,"&lt;=1.0")/COUNT('remet-kin'!BH71:'remet-kin'!BH72)</f>
        <v>0</v>
      </c>
      <c r="M29">
        <f>COUNTIFS('remet-kin'!BH71:'remet-kin'!BH72,"&gt;1.0",'remet-kin'!BH71:'remet-kin'!BH72,"&lt;=3.0")/COUNT('remet-kin'!BH71:'remet-kin'!BH72)</f>
        <v>0</v>
      </c>
      <c r="N29">
        <f>COUNTIFS('remet-kin'!BH71:'remet-kin'!BH72,"&gt;3")/COUNT('remet-kin'!BH71:'remet-kin'!BH72)</f>
        <v>0</v>
      </c>
      <c r="O29" s="62">
        <v>0.16</v>
      </c>
      <c r="P29">
        <v>0</v>
      </c>
      <c r="Q29">
        <v>1</v>
      </c>
      <c r="R29" s="62" t="s">
        <v>3585</v>
      </c>
      <c r="S29" t="s">
        <v>3583</v>
      </c>
      <c r="T29">
        <v>0</v>
      </c>
      <c r="U29">
        <v>0</v>
      </c>
    </row>
    <row r="30" spans="1:21">
      <c r="A30" t="s">
        <v>63</v>
      </c>
      <c r="B30" t="s">
        <v>50</v>
      </c>
      <c r="C30" t="s">
        <v>3557</v>
      </c>
      <c r="F30">
        <v>0</v>
      </c>
      <c r="G30">
        <v>0.5</v>
      </c>
      <c r="H30">
        <v>0.5</v>
      </c>
      <c r="I30">
        <v>0</v>
      </c>
      <c r="J30">
        <f>COUNTIF('remet-kin'!BH75:'remet-kin'!BH78,"&lt;=0.3")/COUNT('remet-kin'!BH75:'remet-kin'!BH78)</f>
        <v>0</v>
      </c>
      <c r="K30">
        <f>COUNTIFS('remet-kin'!BH75:'remet-kin'!BH78,"&gt;0.3",'remet-kin'!BH75:'remet-kin'!BH78,"&lt;=0.7")/COUNT('remet-kin'!BH75:'remet-kin'!BH78)</f>
        <v>0</v>
      </c>
      <c r="L30">
        <f>COUNTIFS('remet-kin'!BH75:'remet-kin'!BH78,"&gt;0.7",'remet-kin'!BH75:'remet-kin'!BH78,"&lt;=1.0")/COUNT('remet-kin'!BH75:'remet-kin'!BH78)</f>
        <v>0</v>
      </c>
      <c r="M30">
        <f>COUNTIFS('remet-kin'!BH75:'remet-kin'!BH78,"&gt;1.0",'remet-kin'!BH75:'remet-kin'!BH78,"&lt;=3.0")/COUNT('remet-kin'!BH75:'remet-kin'!BH78)</f>
        <v>0.66666666666666663</v>
      </c>
      <c r="N30">
        <f>COUNTIFS('remet-kin'!BH75:'remet-kin'!BH78,"&gt;3")/COUNT('remet-kin'!BH75:'remet-kin'!BH78)</f>
        <v>0.33333333333333331</v>
      </c>
      <c r="O30" s="62">
        <v>0.11</v>
      </c>
      <c r="P30">
        <v>0.25</v>
      </c>
      <c r="Q30">
        <v>0.75</v>
      </c>
      <c r="R30" s="62" t="s">
        <v>3585</v>
      </c>
      <c r="S30" t="s">
        <v>3583</v>
      </c>
      <c r="T30">
        <v>0</v>
      </c>
      <c r="U30">
        <v>0</v>
      </c>
    </row>
    <row r="31" spans="1:21">
      <c r="A31" t="s">
        <v>63</v>
      </c>
      <c r="B31" t="s">
        <v>51</v>
      </c>
      <c r="C31" t="s">
        <v>3539</v>
      </c>
      <c r="F31">
        <v>0.5</v>
      </c>
      <c r="G31">
        <v>0.5</v>
      </c>
      <c r="H31">
        <v>0</v>
      </c>
      <c r="I31">
        <v>0</v>
      </c>
      <c r="J31">
        <f>COUNTIF('remet-kin'!BH80:'remet-kin'!BH81,"&lt;=0.3")/COUNT('remet-kin'!BH80:'remet-kin'!BH81)</f>
        <v>0.5</v>
      </c>
      <c r="K31">
        <f>COUNTIFS('remet-kin'!BH80:'remet-kin'!BH81,"&gt;0.3",'remet-kin'!BH80:'remet-kin'!BH81,"&lt;=0.7")/COUNT('remet-kin'!BH80:'remet-kin'!BH81)</f>
        <v>0.5</v>
      </c>
      <c r="L31">
        <f>COUNTIFS('remet-kin'!BH80:'remet-kin'!BH81,"&gt;0.7",'remet-kin'!BH80:'remet-kin'!BH81,"&lt;=1.0")/COUNT('remet-kin'!BH80:'remet-kin'!BH81)</f>
        <v>0</v>
      </c>
      <c r="M31">
        <f>COUNTIFS('remet-kin'!BH80:'remet-kin'!BH81,"&gt;1.0",'remet-kin'!BH80:'remet-kin'!BH81,"&lt;=3.0")/COUNT('remet-kin'!BH80:'remet-kin'!BH81)</f>
        <v>0</v>
      </c>
      <c r="N31">
        <f>COUNTIFS('remet-kin'!BH80:'remet-kin'!BH81,"&gt;3")/COUNT('remet-kin'!BH80:'remet-kin'!BH81)</f>
        <v>0</v>
      </c>
      <c r="O31" s="62">
        <v>0.16</v>
      </c>
      <c r="P31">
        <v>0.5</v>
      </c>
      <c r="Q31">
        <v>0.5</v>
      </c>
      <c r="R31" s="62" t="s">
        <v>3585</v>
      </c>
      <c r="S31" t="s">
        <v>3583</v>
      </c>
      <c r="T31">
        <v>0</v>
      </c>
      <c r="U31">
        <v>0</v>
      </c>
    </row>
    <row r="32" spans="1:21" ht="34">
      <c r="A32" t="s">
        <v>63</v>
      </c>
      <c r="B32" t="s">
        <v>52</v>
      </c>
      <c r="C32" t="s">
        <v>22</v>
      </c>
      <c r="D32" s="53" t="s">
        <v>22</v>
      </c>
      <c r="F32">
        <v>0</v>
      </c>
      <c r="G32">
        <v>1</v>
      </c>
      <c r="H32">
        <v>0</v>
      </c>
      <c r="I32">
        <v>0</v>
      </c>
      <c r="J32" s="68">
        <f>COUNTIF('remet-kin'!BH86,"&lt;=0.3")</f>
        <v>1</v>
      </c>
      <c r="K32" s="68">
        <f>COUNTIFS('remet-kin'!BH86,"&gt;0.3",'remet-kin'!BH86,"&lt;=0.7")</f>
        <v>0</v>
      </c>
      <c r="L32" s="68">
        <f>COUNTIFS('remet-kin'!BH86,"&gt;0.7",'remet-kin'!BH86,"&lt;=1.0")</f>
        <v>0</v>
      </c>
      <c r="M32" s="68">
        <f>COUNTIFS('remet-kin'!BH86,"&gt;1.0",'remet-kin'!BH86,"&lt;=3.0")</f>
        <v>0</v>
      </c>
      <c r="N32" s="68">
        <f>COUNTIF('remet-kin'!BH86,"&gt;3.0")</f>
        <v>0</v>
      </c>
      <c r="O32" s="62">
        <v>0.16</v>
      </c>
      <c r="P32">
        <v>0</v>
      </c>
      <c r="Q32">
        <v>1</v>
      </c>
      <c r="R32" s="62" t="s">
        <v>3585</v>
      </c>
      <c r="S32" t="s">
        <v>3583</v>
      </c>
      <c r="T32">
        <v>0</v>
      </c>
      <c r="U32">
        <v>0</v>
      </c>
    </row>
    <row r="33" spans="1:21" ht="34">
      <c r="A33" t="s">
        <v>63</v>
      </c>
      <c r="B33" t="s">
        <v>52</v>
      </c>
      <c r="C33" t="s">
        <v>23</v>
      </c>
      <c r="D33" s="53" t="s">
        <v>23</v>
      </c>
      <c r="F33">
        <v>0</v>
      </c>
      <c r="G33">
        <v>1</v>
      </c>
      <c r="H33">
        <v>0</v>
      </c>
      <c r="I33">
        <v>0</v>
      </c>
      <c r="J33" s="68">
        <f>COUNTIF('remet-kin'!BH87,"&lt;=0.3")</f>
        <v>1</v>
      </c>
      <c r="K33" s="68">
        <f>COUNTIFS('remet-kin'!BH87,"&gt;0.3",'remet-kin'!BH87,"&lt;=0.7")</f>
        <v>0</v>
      </c>
      <c r="L33" s="68">
        <f>COUNTIFS('remet-kin'!BH87,"&gt;0.7",'remet-kin'!BH87,"&lt;=1.0")</f>
        <v>0</v>
      </c>
      <c r="M33" s="68">
        <f>COUNTIFS('remet-kin'!BH87,"&gt;1.0",'remet-kin'!BH87,"&lt;=3.0")</f>
        <v>0</v>
      </c>
      <c r="N33" s="68">
        <f>COUNTIF('remet-kin'!BH87,"&gt;3.0")</f>
        <v>0</v>
      </c>
      <c r="O33" s="62">
        <v>0.16</v>
      </c>
      <c r="P33">
        <v>0</v>
      </c>
      <c r="Q33">
        <v>1</v>
      </c>
      <c r="R33" s="62" t="s">
        <v>3585</v>
      </c>
      <c r="S33" t="s">
        <v>3583</v>
      </c>
      <c r="T33">
        <v>0</v>
      </c>
      <c r="U33">
        <v>0</v>
      </c>
    </row>
    <row r="34" spans="1:21" ht="34">
      <c r="A34" t="s">
        <v>63</v>
      </c>
      <c r="B34" t="s">
        <v>52</v>
      </c>
      <c r="C34" t="s">
        <v>24</v>
      </c>
      <c r="D34" s="53" t="s">
        <v>24</v>
      </c>
      <c r="F34">
        <v>0</v>
      </c>
      <c r="G34">
        <v>1</v>
      </c>
      <c r="H34">
        <v>0</v>
      </c>
      <c r="I34">
        <v>0</v>
      </c>
      <c r="J34" s="68">
        <f>COUNTIF('remet-kin'!BH88,"&lt;=0.3")</f>
        <v>1</v>
      </c>
      <c r="K34" s="68">
        <f>COUNTIFS('remet-kin'!BH88,"&gt;0.3",'remet-kin'!BH88,"&lt;=0.7")</f>
        <v>0</v>
      </c>
      <c r="L34" s="68">
        <f>COUNTIFS('remet-kin'!BH88,"&gt;0.7",'remet-kin'!BH88,"&lt;=1.0")</f>
        <v>0</v>
      </c>
      <c r="M34" s="68">
        <f>COUNTIFS('remet-kin'!BH88,"&gt;1.0",'remet-kin'!BH88,"&lt;=3.0")</f>
        <v>0</v>
      </c>
      <c r="N34" s="68">
        <f>COUNTIF('remet-kin'!BH88,"&gt;3.0")</f>
        <v>0</v>
      </c>
      <c r="O34" s="62">
        <v>0.16</v>
      </c>
      <c r="P34">
        <v>0</v>
      </c>
      <c r="Q34">
        <v>1</v>
      </c>
      <c r="R34" s="62" t="s">
        <v>3585</v>
      </c>
      <c r="S34" t="s">
        <v>3583</v>
      </c>
      <c r="T34">
        <v>0</v>
      </c>
      <c r="U34">
        <v>0</v>
      </c>
    </row>
    <row r="35" spans="1:21" ht="51">
      <c r="A35" t="s">
        <v>63</v>
      </c>
      <c r="B35" t="s">
        <v>53</v>
      </c>
      <c r="C35" t="s">
        <v>3540</v>
      </c>
      <c r="D35" s="53" t="s">
        <v>3540</v>
      </c>
      <c r="F35">
        <v>0.13333333333333333</v>
      </c>
      <c r="G35">
        <v>0.8666666666666667</v>
      </c>
      <c r="H35">
        <v>0</v>
      </c>
      <c r="I35">
        <v>0</v>
      </c>
      <c r="J35">
        <f>COUNTIF('remet-kin'!BH90:'remet-kin'!BH104,"&lt;=0.3")/COUNT('remet-kin'!BH90:'remet-kin'!BH104)</f>
        <v>0.8</v>
      </c>
      <c r="K35">
        <f>COUNTIFS('remet-kin'!BH90:'remet-kin'!BH104,"&gt;0.3",'remet-kin'!BH90:'remet-kin'!BH104,"&lt;=0.7")/COUNT('remet-kin'!BH90:'remet-kin'!BH104)</f>
        <v>0.2</v>
      </c>
      <c r="L35">
        <f>COUNTIFS('remet-kin'!BH90:'remet-kin'!BH104,"&gt;0.7",'remet-kin'!BH90:'remet-kin'!BH104,"&lt;=1.0")/COUNT('remet-kin'!BH90:'remet-kin'!BH104)</f>
        <v>0</v>
      </c>
      <c r="M35">
        <f>COUNTIFS('remet-kin'!BH90:'remet-kin'!BH104,"&gt;1.0",'remet-kin'!BH90:'remet-kin'!BH104,"&lt;=3.0")/COUNT('remet-kin'!BH90:'remet-kin'!BH104)</f>
        <v>0</v>
      </c>
      <c r="N35">
        <f>COUNTIFS('remet-kin'!BH90:'remet-kin'!BH104,"&gt;3")/COUNT('remet-kin'!BH90:'remet-kin'!BH104)</f>
        <v>0</v>
      </c>
      <c r="O35" s="62">
        <v>0.16</v>
      </c>
      <c r="P35">
        <v>0.13333333333333333</v>
      </c>
      <c r="Q35">
        <v>0.8666666666666667</v>
      </c>
      <c r="R35" s="62" t="s">
        <v>3585</v>
      </c>
      <c r="S35" t="s">
        <v>3583</v>
      </c>
      <c r="T35">
        <v>0</v>
      </c>
      <c r="U35">
        <v>0</v>
      </c>
    </row>
    <row r="36" spans="1:21" ht="34">
      <c r="A36" t="s">
        <v>63</v>
      </c>
      <c r="B36" t="s">
        <v>54</v>
      </c>
      <c r="C36" t="s">
        <v>25</v>
      </c>
      <c r="D36" s="53" t="s">
        <v>25</v>
      </c>
      <c r="F36">
        <v>0.33333333333333331</v>
      </c>
      <c r="G36">
        <v>0.66666666666666663</v>
      </c>
      <c r="H36">
        <v>0</v>
      </c>
      <c r="I36">
        <v>0</v>
      </c>
      <c r="J36">
        <f>COUNTIF('remet-kin'!BH115:'remet-kin'!BH117,"&lt;=0.3")/COUNT('remet-kin'!BH115:'remet-kin'!BH117)</f>
        <v>1</v>
      </c>
      <c r="K36">
        <f>COUNTIFS('remet-kin'!BH115:'remet-kin'!BH117,"&gt;0.3",'remet-kin'!BH115:'remet-kin'!BH117,"&lt;=0.7")/COUNT('remet-kin'!BH115:'remet-kin'!BH117)</f>
        <v>0</v>
      </c>
      <c r="L36">
        <f>COUNTIFS('remet-kin'!BH115:'remet-kin'!BH117,"&gt;0.7",'remet-kin'!BH115:'remet-kin'!BH117,"&lt;=1.0")/COUNT('remet-kin'!BH115:'remet-kin'!BH117)</f>
        <v>0</v>
      </c>
      <c r="M36">
        <f>COUNTIFS('remet-kin'!BH115:'remet-kin'!BH117,"&gt;1.0",'remet-kin'!BH115:'remet-kin'!BH117,"&lt;=3.0")/COUNT('remet-kin'!BH115:'remet-kin'!BH117)</f>
        <v>0</v>
      </c>
      <c r="N36">
        <f>COUNTIFS('remet-kin'!BH115:'remet-kin'!BH117,"&gt;3")/COUNT('remet-kin'!BH115:'remet-kin'!BH117)</f>
        <v>0</v>
      </c>
      <c r="O36" s="62">
        <v>0.16</v>
      </c>
      <c r="P36">
        <v>1</v>
      </c>
      <c r="Q36">
        <v>0</v>
      </c>
      <c r="R36" s="62" t="s">
        <v>3585</v>
      </c>
      <c r="S36" t="s">
        <v>3583</v>
      </c>
      <c r="T36">
        <v>0</v>
      </c>
      <c r="U36">
        <v>0</v>
      </c>
    </row>
    <row r="37" spans="1:21" ht="34">
      <c r="A37" t="s">
        <v>63</v>
      </c>
      <c r="B37" t="s">
        <v>54</v>
      </c>
      <c r="C37" t="s">
        <v>26</v>
      </c>
      <c r="D37" s="53" t="s">
        <v>26</v>
      </c>
      <c r="F37">
        <v>1</v>
      </c>
      <c r="G37">
        <v>0</v>
      </c>
      <c r="H37">
        <v>0</v>
      </c>
      <c r="I37">
        <v>0</v>
      </c>
      <c r="J37" s="68">
        <f>COUNTIF('remet-kin'!BH118,"&lt;=0.3")</f>
        <v>1</v>
      </c>
      <c r="K37" s="68">
        <f>COUNTIFS('remet-kin'!BH118,"&gt;0.3",'remet-kin'!BH118,"&lt;=0.7")</f>
        <v>0</v>
      </c>
      <c r="L37" s="68">
        <f>COUNTIFS('remet-kin'!BH118,"&gt;0.7",'remet-kin'!BH118,"&lt;=1.0")</f>
        <v>0</v>
      </c>
      <c r="M37" s="68">
        <f>COUNTIFS('remet-kin'!BH118,"&gt;1.0",'remet-kin'!BH118,"&lt;=3.0")</f>
        <v>0</v>
      </c>
      <c r="N37" s="68">
        <f>COUNTIF('remet-kin'!BH118,"&gt;3.0")</f>
        <v>0</v>
      </c>
      <c r="O37" s="62">
        <v>0.16</v>
      </c>
      <c r="P37">
        <v>1</v>
      </c>
      <c r="Q37">
        <v>0</v>
      </c>
      <c r="R37" s="62" t="s">
        <v>3585</v>
      </c>
      <c r="S37" t="s">
        <v>3583</v>
      </c>
      <c r="T37">
        <v>0</v>
      </c>
      <c r="U37">
        <v>0</v>
      </c>
    </row>
    <row r="38" spans="1:21" ht="34">
      <c r="A38" t="s">
        <v>63</v>
      </c>
      <c r="B38" t="s">
        <v>54</v>
      </c>
      <c r="C38" t="s">
        <v>27</v>
      </c>
      <c r="D38" s="53" t="s">
        <v>27</v>
      </c>
      <c r="F38">
        <v>0</v>
      </c>
      <c r="G38">
        <v>1</v>
      </c>
      <c r="H38">
        <v>0</v>
      </c>
      <c r="I38">
        <v>0</v>
      </c>
      <c r="J38" s="68">
        <f>COUNTIF('remet-kin'!BH119,"&lt;=0.3")</f>
        <v>1</v>
      </c>
      <c r="K38" s="68">
        <f>COUNTIFS('remet-kin'!BH119,"&gt;0.3",'remet-kin'!BH119,"&lt;=0.7")</f>
        <v>0</v>
      </c>
      <c r="L38" s="68">
        <f>COUNTIFS('remet-kin'!BH119,"&gt;0.7",'remet-kin'!BH119,"&lt;=1.0")</f>
        <v>0</v>
      </c>
      <c r="M38" s="68">
        <f>COUNTIFS('remet-kin'!BH119,"&gt;1.0",'remet-kin'!BH119,"&lt;=3.0")</f>
        <v>0</v>
      </c>
      <c r="N38" s="68">
        <f>COUNTIF('remet-kin'!BH119,"&gt;3.0")</f>
        <v>0</v>
      </c>
      <c r="O38" s="62">
        <v>0.16</v>
      </c>
      <c r="P38">
        <v>1</v>
      </c>
      <c r="Q38">
        <v>0</v>
      </c>
      <c r="R38" s="62" t="s">
        <v>3585</v>
      </c>
      <c r="S38" t="s">
        <v>3583</v>
      </c>
      <c r="T38">
        <v>0</v>
      </c>
      <c r="U38">
        <v>0</v>
      </c>
    </row>
    <row r="39" spans="1:21" ht="34">
      <c r="A39" t="s">
        <v>63</v>
      </c>
      <c r="B39" t="s">
        <v>54</v>
      </c>
      <c r="C39" t="s">
        <v>28</v>
      </c>
      <c r="D39" s="53" t="s">
        <v>28</v>
      </c>
      <c r="F39">
        <v>1</v>
      </c>
      <c r="G39">
        <v>0</v>
      </c>
      <c r="H39">
        <v>0</v>
      </c>
      <c r="I39">
        <v>0</v>
      </c>
      <c r="J39" s="68">
        <f>COUNTIF('remet-kin'!BH120,"&lt;=0.3")</f>
        <v>0</v>
      </c>
      <c r="K39" s="68">
        <f>COUNTIFS('remet-kin'!BH120,"&gt;0.3",'remet-kin'!BH120,"&lt;=0.7")</f>
        <v>1</v>
      </c>
      <c r="L39" s="68">
        <f>COUNTIFS('remet-kin'!BH120,"&gt;0.7",'remet-kin'!BH120,"&lt;=1.0")</f>
        <v>0</v>
      </c>
      <c r="M39" s="68">
        <f>COUNTIFS('remet-kin'!BH120,"&gt;1.0",'remet-kin'!BH120,"&lt;=3.0")</f>
        <v>0</v>
      </c>
      <c r="N39" s="68">
        <f>COUNTIF('remet-kin'!BH120,"&gt;3.0")</f>
        <v>0</v>
      </c>
      <c r="O39" s="62">
        <v>0.16</v>
      </c>
      <c r="P39">
        <v>1</v>
      </c>
      <c r="Q39">
        <v>0</v>
      </c>
      <c r="R39" s="62" t="s">
        <v>3585</v>
      </c>
      <c r="S39" t="s">
        <v>3583</v>
      </c>
      <c r="T39">
        <v>0</v>
      </c>
      <c r="U39">
        <v>0</v>
      </c>
    </row>
    <row r="40" spans="1:21">
      <c r="A40" t="s">
        <v>63</v>
      </c>
      <c r="B40" t="s">
        <v>55</v>
      </c>
      <c r="C40" t="s">
        <v>3541</v>
      </c>
      <c r="F40">
        <v>1</v>
      </c>
      <c r="G40">
        <v>0</v>
      </c>
      <c r="H40">
        <v>0</v>
      </c>
      <c r="I40">
        <v>0</v>
      </c>
      <c r="J40">
        <f>COUNTIF('remet-kin'!BH122:'remet-kin'!BH125,"&lt;=0.3")/COUNT('remet-kin'!BH122:'remet-kin'!BH125)</f>
        <v>0.25</v>
      </c>
      <c r="K40">
        <f>COUNTIFS('remet-kin'!BH122:'remet-kin'!BH125,"&gt;0.3",'remet-kin'!BH122:'remet-kin'!BH125,"&lt;=0.7")/COUNT('remet-kin'!BH122:'remet-kin'!BH125)</f>
        <v>0.75</v>
      </c>
      <c r="L40">
        <f>COUNTIFS('remet-kin'!BH122:'remet-kin'!BH125,"&gt;0.7",'remet-kin'!BH122:'remet-kin'!BH125,"&lt;=1.0")/COUNT('remet-kin'!BH122:'remet-kin'!BH125)</f>
        <v>0</v>
      </c>
      <c r="M40">
        <f>COUNTIFS('remet-kin'!BH122:'remet-kin'!BH125,"&gt;1.0",'remet-kin'!BH122:'remet-kin'!BH125,"&lt;=3.0")/COUNT('remet-kin'!BH122:'remet-kin'!BH125)</f>
        <v>0</v>
      </c>
      <c r="N40">
        <f>COUNTIFS('remet-kin'!BH122:'remet-kin'!BH125,"&gt;3")/COUNT('remet-kin'!BH122:'remet-kin'!BH125)</f>
        <v>0</v>
      </c>
      <c r="O40" s="62">
        <v>0.16</v>
      </c>
      <c r="P40">
        <v>0</v>
      </c>
      <c r="Q40">
        <v>1</v>
      </c>
      <c r="R40" s="62" t="s">
        <v>3585</v>
      </c>
      <c r="S40" t="s">
        <v>3583</v>
      </c>
      <c r="T40">
        <v>0</v>
      </c>
      <c r="U40">
        <v>0</v>
      </c>
    </row>
    <row r="41" spans="1:21" ht="34">
      <c r="A41" t="s">
        <v>3567</v>
      </c>
      <c r="B41" t="s">
        <v>56</v>
      </c>
      <c r="C41" t="s">
        <v>29</v>
      </c>
      <c r="D41" s="53" t="s">
        <v>29</v>
      </c>
      <c r="F41">
        <v>0</v>
      </c>
      <c r="G41">
        <v>0</v>
      </c>
      <c r="H41">
        <v>1</v>
      </c>
      <c r="I41">
        <v>0</v>
      </c>
      <c r="J41" s="68">
        <f>COUNTIF('remet-kin'!BH128,"&lt;=0.3")</f>
        <v>0</v>
      </c>
      <c r="K41" s="68">
        <f>COUNTIFS('remet-kin'!BH128,"&gt;0.3",'remet-kin'!BH128,"&lt;=0.7")</f>
        <v>0</v>
      </c>
      <c r="L41" s="68">
        <f>COUNTIFS('remet-kin'!BH128,"&gt;0.7",'remet-kin'!BH128,"&lt;=1.0")</f>
        <v>0</v>
      </c>
      <c r="M41" s="68">
        <f>COUNTIFS('remet-kin'!BH128,"&gt;1.0",'remet-kin'!BH128,"&lt;=3.0")</f>
        <v>1</v>
      </c>
      <c r="N41" s="68">
        <f>COUNTIF('remet-kin'!BH128,"&gt;3.0")</f>
        <v>0</v>
      </c>
      <c r="O41" s="62">
        <v>0.13</v>
      </c>
      <c r="P41">
        <v>1</v>
      </c>
      <c r="Q41">
        <v>0</v>
      </c>
      <c r="R41" s="62" t="s">
        <v>3587</v>
      </c>
      <c r="S41" t="s">
        <v>3584</v>
      </c>
      <c r="T41">
        <v>0</v>
      </c>
      <c r="U41">
        <v>0</v>
      </c>
    </row>
    <row r="42" spans="1:21">
      <c r="A42" t="s">
        <v>64</v>
      </c>
      <c r="B42" t="s">
        <v>57</v>
      </c>
      <c r="C42" t="s">
        <v>30</v>
      </c>
      <c r="F42">
        <v>0</v>
      </c>
      <c r="G42">
        <v>0</v>
      </c>
      <c r="H42">
        <v>1</v>
      </c>
      <c r="I42">
        <v>0</v>
      </c>
      <c r="J42" s="68">
        <f>COUNTIF('remet-kin'!BH130,"&lt;=0.3")</f>
        <v>0</v>
      </c>
      <c r="K42" s="68">
        <f>COUNTIFS('remet-kin'!BH130,"&gt;0.3",'remet-kin'!BH130,"&lt;=0.7")</f>
        <v>1</v>
      </c>
      <c r="L42" s="68">
        <f>COUNTIFS('remet-kin'!BH130,"&gt;0.7",'remet-kin'!BH130,"&lt;=1.0")</f>
        <v>0</v>
      </c>
      <c r="M42" s="68">
        <f>COUNTIFS('remet-kin'!BH130,"&gt;1.0",'remet-kin'!BH130,"&lt;=3.0")</f>
        <v>0</v>
      </c>
      <c r="N42" s="68">
        <f>COUNTIF('remet-kin'!BH130,"&gt;3.0")</f>
        <v>0</v>
      </c>
      <c r="O42" s="62">
        <v>0.11</v>
      </c>
      <c r="P42">
        <v>1</v>
      </c>
      <c r="Q42">
        <v>0</v>
      </c>
      <c r="R42" s="62" t="s">
        <v>3587</v>
      </c>
      <c r="S42" t="s">
        <v>3584</v>
      </c>
      <c r="T42">
        <v>0</v>
      </c>
      <c r="U42">
        <v>0</v>
      </c>
    </row>
    <row r="43" spans="1:21">
      <c r="A43" t="s">
        <v>64</v>
      </c>
      <c r="B43" t="s">
        <v>58</v>
      </c>
      <c r="C43" t="s">
        <v>31</v>
      </c>
      <c r="F43">
        <v>0.5</v>
      </c>
      <c r="G43">
        <v>0.5</v>
      </c>
      <c r="H43">
        <v>0</v>
      </c>
      <c r="I43">
        <v>0</v>
      </c>
      <c r="J43">
        <f>COUNTIF('remet-kin'!BH134:'remet-kin'!BH137,"&lt;=0.3")/COUNT('remet-kin'!BH134:'remet-kin'!BH137)</f>
        <v>0.5</v>
      </c>
      <c r="K43">
        <f>COUNTIFS('remet-kin'!BH134:'remet-kin'!BH137,"&gt;0.3",'remet-kin'!BH134:'remet-kin'!BH137,"&lt;=0.7")/COUNT('remet-kin'!BH134:'remet-kin'!BH137)</f>
        <v>0.5</v>
      </c>
      <c r="L43">
        <f>COUNTIFS('remet-kin'!BH134:'remet-kin'!BH137,"&gt;0.7",'remet-kin'!BH134:'remet-kin'!BH137,"&lt;=1.0")/COUNT('remet-kin'!BH134:'remet-kin'!BH137)</f>
        <v>0</v>
      </c>
      <c r="M43">
        <f>COUNTIFS('remet-kin'!BH134:'remet-kin'!BH137,"&gt;1.0",'remet-kin'!BH134:'remet-kin'!BH137,"&lt;=3.0")/COUNT('remet-kin'!BH134:'remet-kin'!BH137)</f>
        <v>0</v>
      </c>
      <c r="N43">
        <f>COUNTIFS('remet-kin'!BH134:'remet-kin'!BH137,"&gt;3")/COUNT('remet-kin'!BH134:'remet-kin'!BH137)</f>
        <v>0</v>
      </c>
      <c r="O43" s="62">
        <v>0.11</v>
      </c>
      <c r="P43">
        <v>1</v>
      </c>
      <c r="Q43">
        <v>0</v>
      </c>
      <c r="R43" s="62" t="s">
        <v>3587</v>
      </c>
      <c r="S43" t="s">
        <v>3584</v>
      </c>
      <c r="T43">
        <v>0</v>
      </c>
      <c r="U43">
        <v>0</v>
      </c>
    </row>
    <row r="44" spans="1:21">
      <c r="A44" t="s">
        <v>63</v>
      </c>
      <c r="B44" t="s">
        <v>3253</v>
      </c>
      <c r="C44" t="s">
        <v>3892</v>
      </c>
      <c r="F44">
        <f>COUNTIF('remet-kin'!Q140:'remet-kin'!Q143,"&lt;=10")/COUNT('remet-kin'!Q140:'remet-kin'!Q143)</f>
        <v>0</v>
      </c>
      <c r="G44">
        <f>COUNTIFS('remet-kin'!Q140:'remet-kin'!Q143,"&gt;10",'remet-kin'!Q140:'remet-kin'!Q143,"&lt;=25")/COUNT('remet-kin'!Q140:'remet-kin'!Q143)</f>
        <v>0.25</v>
      </c>
      <c r="H44">
        <f>COUNTIFS('remet-kin'!Q140:'remet-kin'!Q143,"&gt;25",'remet-kin'!Q140:'remet-kin'!Q143,"&lt;=100")/COUNT('remet-kin'!Q140:'remet-kin'!Q143)</f>
        <v>0.75</v>
      </c>
      <c r="I44">
        <f>COUNTIFS('remet-kin'!Q140:'remet-kin'!Q143,"&gt;100")/COUNT('remet-kin'!Q140:'remet-kin'!Q143)</f>
        <v>0</v>
      </c>
      <c r="J44">
        <f>COUNTIF('remet-kin'!BH140:'remet-kin'!BH143,"&lt;=0.3")/COUNT('remet-kin'!BH140:'remet-kin'!BH143)</f>
        <v>0</v>
      </c>
      <c r="K44">
        <f>COUNTIFS('remet-kin'!BH140:'remet-kin'!BH143,"&gt;0.3",'remet-kin'!BH140:'remet-kin'!BH143,"&lt;=0.7")/COUNT('remet-kin'!BH140:'remet-kin'!BH143)</f>
        <v>0.5</v>
      </c>
      <c r="L44">
        <f>COUNTIFS('remet-kin'!BH140:'remet-kin'!BH143,"&gt;0.7",'remet-kin'!BH140:'remet-kin'!BH143,"&lt;=1.0")/COUNT('remet-kin'!BH140:'remet-kin'!BH143)</f>
        <v>0</v>
      </c>
      <c r="M44">
        <f>COUNTIFS('remet-kin'!BH140:'remet-kin'!BH143,"&gt;1.0",'remet-kin'!BH140:'remet-kin'!BH143,"&lt;=3.0")/COUNT('remet-kin'!BH140:'remet-kin'!BH143)</f>
        <v>0.5</v>
      </c>
      <c r="N44">
        <f>COUNTIFS('remet-kin'!BH140:'remet-kin'!BH143,"&gt;3")/COUNT('remet-kin'!BH140:'remet-kin'!BH143)</f>
        <v>0</v>
      </c>
      <c r="O44" s="64">
        <f>('remet-mad'!AM140)</f>
        <v>0.22</v>
      </c>
      <c r="P44">
        <f>COUNTIF('remet-kin'!Y140:'remet-kin'!Y143,"=1")/COUNT('remet-kin'!Y140:'remet-kin'!Y143)</f>
        <v>1</v>
      </c>
      <c r="Q44">
        <f>COUNTIF('remet-kin'!Y140:'remet-kin'!Y143,"&gt;1")/COUNT('remet-kin'!Y140:'remet-kin'!Y143)</f>
        <v>0</v>
      </c>
      <c r="R44" s="62" t="s">
        <v>3589</v>
      </c>
      <c r="S44" t="s">
        <v>3584</v>
      </c>
      <c r="T44">
        <v>0</v>
      </c>
      <c r="U44">
        <v>0</v>
      </c>
    </row>
  </sheetData>
  <mergeCells count="3">
    <mergeCell ref="J1:N1"/>
    <mergeCell ref="F1:I1"/>
    <mergeCell ref="P1:Q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A04F3-03C7-B649-A0FC-D66CD8AF914C}">
  <dimension ref="A1:AK20"/>
  <sheetViews>
    <sheetView topLeftCell="A5" zoomScale="50" workbookViewId="0">
      <selection activeCell="E6" sqref="E6:G6"/>
    </sheetView>
  </sheetViews>
  <sheetFormatPr baseColWidth="10" defaultRowHeight="16"/>
  <cols>
    <col min="2" max="2" width="16.33203125" customWidth="1"/>
    <col min="3" max="3" width="15.5" style="53" customWidth="1"/>
    <col min="4" max="4" width="26.1640625" style="56" customWidth="1"/>
  </cols>
  <sheetData>
    <row r="1" spans="1:37" ht="51">
      <c r="D1" s="50" t="s">
        <v>2</v>
      </c>
      <c r="E1" s="83" t="s">
        <v>68</v>
      </c>
      <c r="F1" s="83"/>
      <c r="G1" s="83"/>
      <c r="H1" s="83"/>
      <c r="I1" s="83" t="s">
        <v>3723</v>
      </c>
      <c r="J1" s="83"/>
      <c r="K1" s="83"/>
      <c r="L1" s="83"/>
      <c r="M1" s="83"/>
      <c r="N1" s="69" t="s">
        <v>97</v>
      </c>
      <c r="O1" s="83" t="s">
        <v>90</v>
      </c>
      <c r="P1" s="83"/>
      <c r="Q1" s="61" t="s">
        <v>92</v>
      </c>
      <c r="R1" s="61" t="s">
        <v>3509</v>
      </c>
      <c r="S1" s="61" t="s">
        <v>3568</v>
      </c>
      <c r="T1" t="s">
        <v>3576</v>
      </c>
    </row>
    <row r="2" spans="1:37" ht="64" customHeight="1">
      <c r="D2" s="51" t="s">
        <v>3</v>
      </c>
      <c r="E2" s="4" t="s">
        <v>69</v>
      </c>
      <c r="F2" s="4" t="s">
        <v>72</v>
      </c>
      <c r="G2" s="4" t="s">
        <v>3504</v>
      </c>
      <c r="H2" s="5" t="s">
        <v>70</v>
      </c>
      <c r="I2" s="4" t="s">
        <v>3724</v>
      </c>
      <c r="J2" s="4" t="s">
        <v>3725</v>
      </c>
      <c r="K2" s="4" t="s">
        <v>3726</v>
      </c>
      <c r="L2" s="4" t="s">
        <v>3721</v>
      </c>
      <c r="M2" s="4" t="s">
        <v>3722</v>
      </c>
      <c r="N2" s="73" t="s">
        <v>3581</v>
      </c>
      <c r="O2" s="4" t="s">
        <v>91</v>
      </c>
      <c r="P2" s="4" t="s">
        <v>3507</v>
      </c>
      <c r="Q2" s="73" t="s">
        <v>92</v>
      </c>
      <c r="R2" s="74" t="s">
        <v>3509</v>
      </c>
      <c r="S2" s="4" t="s">
        <v>3568</v>
      </c>
      <c r="T2" s="75" t="s">
        <v>3575</v>
      </c>
    </row>
    <row r="3" spans="1:37" ht="17">
      <c r="A3" t="s">
        <v>59</v>
      </c>
      <c r="B3" s="3" t="s">
        <v>0</v>
      </c>
      <c r="C3" s="52" t="s">
        <v>3542</v>
      </c>
      <c r="D3" s="54" t="s">
        <v>3555</v>
      </c>
      <c r="E3" t="s">
        <v>65</v>
      </c>
      <c r="F3" t="s">
        <v>66</v>
      </c>
      <c r="G3" t="s">
        <v>67</v>
      </c>
      <c r="H3" t="s">
        <v>71</v>
      </c>
      <c r="I3" t="s">
        <v>3727</v>
      </c>
      <c r="J3" t="s">
        <v>3728</v>
      </c>
      <c r="K3" t="s">
        <v>3729</v>
      </c>
      <c r="L3" t="s">
        <v>3730</v>
      </c>
      <c r="M3" t="s">
        <v>3731</v>
      </c>
      <c r="N3" t="s">
        <v>3581</v>
      </c>
      <c r="O3" t="s">
        <v>3547</v>
      </c>
      <c r="P3" t="s">
        <v>3548</v>
      </c>
      <c r="Q3" t="s">
        <v>3588</v>
      </c>
      <c r="R3" t="s">
        <v>3582</v>
      </c>
      <c r="S3" t="s">
        <v>3569</v>
      </c>
      <c r="T3" t="s">
        <v>3579</v>
      </c>
    </row>
    <row r="4" spans="1:37" ht="17">
      <c r="A4" t="s">
        <v>62</v>
      </c>
      <c r="B4" t="s">
        <v>1502</v>
      </c>
      <c r="C4" s="53" t="s">
        <v>1502</v>
      </c>
      <c r="D4" s="55" t="s">
        <v>1498</v>
      </c>
      <c r="E4">
        <f>COUNTIF('remet-wind'!Q2,"&lt;=10")</f>
        <v>0</v>
      </c>
      <c r="F4">
        <f>COUNTIFS('remet-wind'!Q2,"&gt;10",'remet-wind'!Q2,"&lt;=25")</f>
        <v>0</v>
      </c>
      <c r="G4">
        <f>COUNTIFS('remet-wind'!Q2,"&gt;25",'remet-wind'!Q2,"&lt;=100")</f>
        <v>1</v>
      </c>
      <c r="H4">
        <f>COUNTIFS('remet-wind'!Q2,"&gt;100")</f>
        <v>0</v>
      </c>
      <c r="I4" s="68">
        <f>COUNTIF('remet-wind'!BH2,"&lt;=0.3")</f>
        <v>0</v>
      </c>
      <c r="J4" s="68">
        <f>COUNTIFS('remet-wind'!BH2,"&gt;0.3",'remet-wind'!BH2,"&lt;=0.7")</f>
        <v>1</v>
      </c>
      <c r="K4" s="68">
        <f>COUNTIFS('remet-wind'!BH2,"&gt;0.7",'remet-wind'!BH2,"&lt;=1.0")</f>
        <v>0</v>
      </c>
      <c r="L4" s="68">
        <f>COUNTIFS('remet-wind'!BH2,"&gt;1.0",'remet-wind'!BH2,"&lt;=3.0")</f>
        <v>0</v>
      </c>
      <c r="M4" s="68">
        <f>COUNTIF('remet-wind'!BH2,"&gt;3.0")</f>
        <v>0</v>
      </c>
      <c r="N4">
        <v>0.11</v>
      </c>
      <c r="O4">
        <f>COUNTIF('remet-wind'!Y2,"=1")</f>
        <v>1</v>
      </c>
      <c r="P4">
        <f>COUNTIF('remet-wind'!Y2,"&gt;1")</f>
        <v>0</v>
      </c>
      <c r="Q4" t="s">
        <v>3589</v>
      </c>
      <c r="R4" t="s">
        <v>3584</v>
      </c>
      <c r="S4">
        <v>0</v>
      </c>
      <c r="T4">
        <v>1</v>
      </c>
    </row>
    <row r="5" spans="1:37" ht="53">
      <c r="A5" t="s">
        <v>62</v>
      </c>
      <c r="B5" t="s">
        <v>40</v>
      </c>
      <c r="C5" s="53" t="s">
        <v>40</v>
      </c>
      <c r="D5" s="55" t="s">
        <v>3606</v>
      </c>
      <c r="E5">
        <f>COUNTIF('remet-wind'!Q3:'remet-wind'!Q9,"&lt;=10")/COUNT('remet-wind'!Q3:'remet-wind'!Q9)</f>
        <v>0.14285714285714285</v>
      </c>
      <c r="F5">
        <f>COUNTIFS('remet-wind'!Q3:'remet-wind'!Q9,"&gt;10",'remet-wind'!Q3:'remet-wind'!Q9,"&lt;=25")/COUNT('remet-wind'!Q3:'remet-wind'!Q9)</f>
        <v>0.42857142857142855</v>
      </c>
      <c r="G5">
        <f>COUNTIFS('remet-wind'!Q3:'remet-wind'!Q9,"&gt;25",'remet-wind'!Q3:'remet-wind'!Q9,"&lt;=100")/COUNT('remet-wind'!Q3:'remet-wind'!Q9)</f>
        <v>0.42857142857142855</v>
      </c>
      <c r="H5">
        <f>COUNTIFS('remet-wind'!Q3:'remet-wind'!Q9,"&gt;100")/COUNT('remet-wind'!Q3:'remet-wind'!Q9)</f>
        <v>0</v>
      </c>
      <c r="I5">
        <f>COUNTIF('remet-wind'!BH3:'remet-wind'!BH9,"&lt;=0.3")/COUNT('remet-wind'!BH3:'remet-wind'!BH9)</f>
        <v>0</v>
      </c>
      <c r="J5">
        <f>COUNTIFS('remet-wind'!BH3:'remet-wind'!BH9,"&gt;0.3",'remet-wind'!BH3:'remet-wind'!BH9,"&lt;=0.7")/COUNT('remet-wind'!BH3:'remet-wind'!BH9)</f>
        <v>0</v>
      </c>
      <c r="K5">
        <f>COUNTIFS('remet-wind'!BH3:'remet-wind'!BH9,"&gt;0.7",'remet-wind'!BH3:'remet-wind'!BH9,"&lt;=1.0")/COUNT('remet-wind'!BH3:'remet-wind'!BH9)</f>
        <v>0.2857142857142857</v>
      </c>
      <c r="L5">
        <f>COUNTIFS('remet-wind'!BH3:'remet-wind'!BH9,"&gt;1.0",'remet-wind'!BH3:'remet-wind'!BH9,"&lt;=3.0")/COUNT('remet-wind'!BH3:'remet-wind'!BH9)</f>
        <v>0.7142857142857143</v>
      </c>
      <c r="M5">
        <f>COUNTIFS('remet-wind'!BH3:'remet-wind'!BH9,"&gt;3")/COUNT('remet-wind'!BH3:'remet-wind'!BH9)</f>
        <v>0</v>
      </c>
      <c r="N5">
        <v>0.11</v>
      </c>
      <c r="O5">
        <f>COUNTIF('remet-wind'!Y3:'remet-wind'!Y9,"=1")/COUNT('remet-wind'!Y3:'remet-wind'!Y9)</f>
        <v>1</v>
      </c>
      <c r="P5">
        <f>COUNTIF('remet-wind'!Y9:'remet-wind'!Y10,"&gt;1")/COUNT('remet-wind'!Y9:'remet-wind'!Y10)</f>
        <v>0</v>
      </c>
      <c r="Q5" t="s">
        <v>3589</v>
      </c>
      <c r="R5" t="s">
        <v>3584</v>
      </c>
      <c r="S5">
        <v>0</v>
      </c>
      <c r="T5">
        <v>1</v>
      </c>
    </row>
    <row r="6" spans="1:37" ht="17">
      <c r="A6" t="s">
        <v>63</v>
      </c>
      <c r="B6" t="s">
        <v>46</v>
      </c>
      <c r="C6" s="53" t="s">
        <v>46</v>
      </c>
      <c r="D6" s="57" t="s">
        <v>3559</v>
      </c>
      <c r="E6">
        <f>COUNTIF('remet-wind'!Q10:'remet-wind'!Q11,"&lt;=10")/COUNT('remet-wind'!Q10:'remet-wind'!Q11)</f>
        <v>1</v>
      </c>
      <c r="F6">
        <f>COUNTIFS('remet-wind'!Q10:'remet-wind'!Q11,"&gt;10",'remet-wind'!Q10:'remet-wind'!Q11,"&lt;=25")/COUNT('remet-wind'!Q10:'remet-wind'!Q11)</f>
        <v>0</v>
      </c>
      <c r="G6">
        <f>COUNTIFS('remet-wind'!Q10:'remet-wind'!Q11,"&gt;25",'remet-wind'!Q10:'remet-wind'!Q11,"&lt;=100")/COUNT('remet-wind'!Q10:'remet-wind'!Q11)</f>
        <v>0</v>
      </c>
      <c r="H6">
        <f>COUNTIFS('remet-wind'!Q10:'remet-wind'!Q11,"&gt;100")/COUNT('remet-wind'!Q10:'remet-wind'!Q11)</f>
        <v>0</v>
      </c>
      <c r="I6">
        <f>COUNTIF('remet-wind'!BH10:'remet-wind'!BH11,"&lt;=0.3")/COUNT('remet-wind'!BH10:'remet-wind'!BH11)</f>
        <v>1</v>
      </c>
      <c r="J6">
        <f>COUNTIFS('remet-wind'!BH10:'remet-wind'!BH11,"&gt;0.3",'remet-wind'!BH10:'remet-wind'!BH11,"&lt;=0.7")/COUNT('remet-wind'!BH10:'remet-wind'!BH11)</f>
        <v>0</v>
      </c>
      <c r="K6">
        <f>COUNTIFS('remet-wind'!BH10:'remet-wind'!BH11,"&gt;0.7",'remet-wind'!BH10:'remet-wind'!BH11,"&lt;=1.0")/COUNT('remet-wind'!BH10:'remet-wind'!BH11)</f>
        <v>0</v>
      </c>
      <c r="L6">
        <f>COUNTIFS('remet-wind'!BH10:'remet-wind'!BH11,"&gt;1.0",'remet-wind'!BH10:'remet-wind'!BH11,"&lt;=3.0")/COUNT('remet-wind'!BH10:'remet-wind'!BH11)</f>
        <v>0</v>
      </c>
      <c r="M6">
        <f>COUNTIFS('remet-wind'!BH10:'remet-wind'!BH11,"&gt;3")/COUNT('remet-wind'!BH10:'remet-wind'!BH11)</f>
        <v>0</v>
      </c>
      <c r="N6">
        <v>0.16</v>
      </c>
      <c r="O6">
        <f>COUNTIF('remet-wind'!Y10:'remet-wind'!Y11,"=1")/COUNT('remet-wind'!Y10:'remet-wind'!Y11)</f>
        <v>1</v>
      </c>
      <c r="P6">
        <f>COUNTIF('remet-wind'!Y10:'remet-wind'!Y11,"&gt;1")/COUNT('remet-wind'!Y10:'remet-wind'!Y11)</f>
        <v>0</v>
      </c>
      <c r="Q6" t="s">
        <v>3589</v>
      </c>
      <c r="R6" t="s">
        <v>3583</v>
      </c>
      <c r="S6">
        <v>0</v>
      </c>
      <c r="T6">
        <v>0</v>
      </c>
    </row>
    <row r="7" spans="1:37" ht="40">
      <c r="A7" t="s">
        <v>62</v>
      </c>
      <c r="B7" t="s">
        <v>2203</v>
      </c>
      <c r="C7" s="53" t="s">
        <v>2203</v>
      </c>
      <c r="D7" s="55" t="s">
        <v>3607</v>
      </c>
      <c r="E7">
        <f>COUNTIF('remet-wind'!Q12:'remet-wind'!Q13,"&lt;=10")/COUNT('remet-wind'!Q12:'remet-wind'!Q13)</f>
        <v>0</v>
      </c>
      <c r="F7">
        <f>COUNTIFS('remet-wind'!Q12:'remet-wind'!Q13,"&gt;10",'remet-wind'!Q12:'remet-wind'!Q13,"&lt;=25")/COUNT('remet-wind'!Q12:'remet-wind'!Q13)</f>
        <v>0</v>
      </c>
      <c r="G7">
        <f>COUNTIFS('remet-wind'!Q12:'remet-wind'!Q13,"&gt;25",'remet-wind'!Q12:'remet-wind'!Q13,"&lt;=100")/COUNT('remet-wind'!Q12:'remet-wind'!Q13)</f>
        <v>1</v>
      </c>
      <c r="H7">
        <f>COUNTIFS('remet-wind'!Q12:'remet-wind'!Q13,"&gt;100")/COUNT('remet-wind'!Q12:'remet-wind'!Q13)</f>
        <v>0</v>
      </c>
      <c r="I7">
        <f>COUNTIF('remet-wind'!BH12:'remet-wind'!BH13,"&lt;=0.3")/COUNT('remet-wind'!BH12:'remet-wind'!BH13)</f>
        <v>0</v>
      </c>
      <c r="J7">
        <f>COUNTIFS('remet-wind'!BH12:'remet-wind'!BH13,"&gt;0.3",'remet-wind'!BH12:'remet-wind'!BH13,"&lt;=0.7")/COUNT('remet-wind'!BH12:'remet-wind'!BH13)</f>
        <v>0</v>
      </c>
      <c r="K7">
        <f>COUNTIFS('remet-wind'!BH12:'remet-wind'!BH13,"&gt;0.7",'remet-wind'!BH12:'remet-wind'!BH13,"&lt;=1.0")/COUNT('remet-wind'!BH12:'remet-wind'!BH13)</f>
        <v>0.5</v>
      </c>
      <c r="L7">
        <f>COUNTIFS('remet-wind'!BH12:'remet-wind'!BH13,"&gt;1.0",'remet-wind'!BH12:'remet-wind'!BH13,"&lt;=3.0")/COUNT('remet-wind'!BH12:'remet-wind'!BH13)</f>
        <v>0.5</v>
      </c>
      <c r="M7">
        <f>COUNTIFS('remet-wind'!BH12:'remet-wind'!BH13,"&gt;3")/COUNT('remet-wind'!BH12:'remet-wind'!BH13)</f>
        <v>0</v>
      </c>
      <c r="N7">
        <v>0.11</v>
      </c>
      <c r="O7">
        <f>COUNTIF('remet-wind'!Y12:'remet-wind'!Y13,"=1")/COUNT('remet-wind'!Y12:'remet-wind'!Y13)</f>
        <v>1</v>
      </c>
      <c r="P7">
        <f>COUNTIF('remet-wind'!Y12:'remet-wind'!Y13,"&gt;1")/COUNT('remet-wind'!Y12:'remet-wind'!Y13)</f>
        <v>0</v>
      </c>
      <c r="Q7" t="s">
        <v>3589</v>
      </c>
      <c r="R7" t="s">
        <v>3584</v>
      </c>
      <c r="S7">
        <v>0</v>
      </c>
      <c r="T7">
        <v>1</v>
      </c>
    </row>
    <row r="8" spans="1:37" ht="27">
      <c r="A8" t="s">
        <v>3567</v>
      </c>
      <c r="B8" t="s">
        <v>677</v>
      </c>
      <c r="C8" s="53" t="s">
        <v>677</v>
      </c>
      <c r="D8" s="55" t="s">
        <v>3608</v>
      </c>
      <c r="E8">
        <f>COUNTIF('remet-wind'!Q15,"&lt;=10")</f>
        <v>0</v>
      </c>
      <c r="F8">
        <f>COUNTIFS('remet-wind'!Q15,"&gt;10",'remet-wind'!Q15,"&lt;=25")</f>
        <v>0</v>
      </c>
      <c r="G8">
        <f>COUNTIFS('remet-wind'!Q15,"&gt;25",'remet-wind'!Q15,"&lt;=100")</f>
        <v>1</v>
      </c>
      <c r="H8">
        <f>COUNTIFS('remet-wind'!Q15,"&gt;100")</f>
        <v>0</v>
      </c>
      <c r="I8" s="68">
        <f>COUNTIF('remet-wind'!BH15,"&lt;=0.3")</f>
        <v>0</v>
      </c>
      <c r="J8" s="68">
        <f>COUNTIFS('remet-wind'!BH15,"&gt;0.3",'remet-wind'!BH15,"&lt;=0.7")</f>
        <v>0</v>
      </c>
      <c r="K8" s="68">
        <f>COUNTIFS('remet-wind'!BH15,"&gt;0.7",'remet-wind'!BH15,"&lt;=1.0")</f>
        <v>0</v>
      </c>
      <c r="L8" s="68">
        <f>COUNTIFS('remet-wind'!BH15,"&gt;1.0",'remet-wind'!BH15,"&lt;=3.0")</f>
        <v>1</v>
      </c>
      <c r="M8" s="68">
        <f>COUNTIF('remet-wind'!BH15,"&gt;3.0")</f>
        <v>0</v>
      </c>
      <c r="N8">
        <v>0.13</v>
      </c>
      <c r="O8">
        <f>COUNTIF('remet-wind'!Y15,"=1")</f>
        <v>1</v>
      </c>
      <c r="P8">
        <f>COUNTIF('remet-wind'!Y15,"&gt;1")</f>
        <v>0</v>
      </c>
      <c r="Q8" t="s">
        <v>3587</v>
      </c>
      <c r="R8" t="s">
        <v>3584</v>
      </c>
      <c r="S8">
        <v>0</v>
      </c>
      <c r="T8">
        <v>0</v>
      </c>
    </row>
    <row r="9" spans="1:37" ht="170">
      <c r="A9" t="s">
        <v>63</v>
      </c>
      <c r="B9" t="s">
        <v>3253</v>
      </c>
      <c r="C9" s="53" t="s">
        <v>3253</v>
      </c>
      <c r="D9" s="56" t="s">
        <v>3609</v>
      </c>
      <c r="E9">
        <f>COUNTIF('remet-wind'!Q61:'remet-wind'!Q76,"&lt;=10")/COUNT('remet-wind'!Q61:'remet-wind'!Q76)</f>
        <v>0.125</v>
      </c>
      <c r="F9">
        <f>COUNTIFS('remet-wind'!Q61:'remet-wind'!Q76,"&gt;10",'remet-wind'!Q61:'remet-wind'!Q76,"&lt;=25")/COUNT('remet-wind'!Q61:'remet-wind'!Q76)</f>
        <v>0.125</v>
      </c>
      <c r="G9">
        <f>COUNTIFS('remet-wind'!Q61:'remet-wind'!Q76,"&gt;25",'remet-wind'!Q61:'remet-wind'!Q76,"&lt;=100")/COUNT('remet-wind'!Q61:'remet-wind'!Q76)</f>
        <v>0.75</v>
      </c>
      <c r="H9">
        <f>COUNTIFS('remet-wind'!Q61:'remet-wind'!Q76,"&gt;100")/COUNT('remet-wind'!Q61:'remet-wind'!Q76)</f>
        <v>0</v>
      </c>
      <c r="I9">
        <f>COUNTIF('remet-wind'!BH61:'remet-wind'!BH76,"&lt;=0.3")/COUNT('remet-wind'!BH61:'remet-wind'!BH76)</f>
        <v>0</v>
      </c>
      <c r="J9">
        <f>COUNTIFS('remet-wind'!BH61:'remet-wind'!BH76,"&gt;0.3",'remet-wind'!BH61:'remet-wind'!BH76,"&lt;=0.7")/COUNT('remet-wind'!BH61:'remet-wind'!BH76)</f>
        <v>0.3125</v>
      </c>
      <c r="K9">
        <f>COUNTIFS('remet-wind'!BH61:'remet-wind'!BH76,"&gt;0.7",'remet-wind'!BH61:'remet-wind'!BH76,"&lt;=1.0")/COUNT('remet-wind'!BH61:'remet-wind'!BH76)</f>
        <v>0.3125</v>
      </c>
      <c r="L9">
        <f>COUNTIFS('remet-wind'!BH61:'remet-wind'!BH76,"&gt;1.0",'remet-wind'!BH61:'remet-wind'!BH76,"&lt;=3.0")/COUNT('remet-wind'!BH61:'remet-wind'!BH76)</f>
        <v>0.375</v>
      </c>
      <c r="M9">
        <f>COUNTIFS('remet-wind'!BH61:'remet-wind'!BH76,"&gt;3")/COUNT('remet-wind'!BH61:'remet-wind'!BH76)</f>
        <v>0</v>
      </c>
      <c r="N9" s="62">
        <v>0.11</v>
      </c>
      <c r="O9">
        <f>COUNTIF('remet-wind'!Y61:'remet-wind'!Y76,"=1")/COUNT('remet-wind'!Y61:'remet-wind'!Y76)</f>
        <v>1</v>
      </c>
      <c r="P9">
        <f>COUNTIF('remet-wind'!Y61:'remet-wind'!Y76,"&gt;1")/COUNT('remet-wind'!Y61:'remet-wind'!Y76)</f>
        <v>0</v>
      </c>
      <c r="Q9" t="s">
        <v>3589</v>
      </c>
      <c r="R9" t="s">
        <v>3583</v>
      </c>
      <c r="S9">
        <v>0</v>
      </c>
      <c r="T9">
        <v>0</v>
      </c>
      <c r="AG9" s="68"/>
      <c r="AH9" s="68"/>
      <c r="AI9" s="68"/>
      <c r="AJ9" s="68"/>
      <c r="AK9" s="68"/>
    </row>
    <row r="10" spans="1:37" ht="144">
      <c r="A10" t="s">
        <v>63</v>
      </c>
      <c r="B10" t="s">
        <v>48</v>
      </c>
      <c r="C10" s="53" t="s">
        <v>48</v>
      </c>
      <c r="D10" s="56" t="s">
        <v>3610</v>
      </c>
      <c r="E10">
        <f>COUNTIF('remet-wind'!Q78:'remet-wind'!Q88,"&lt;=10")/COUNT('remet-wind'!Q78:'remet-wind'!Q88)</f>
        <v>0</v>
      </c>
      <c r="F10">
        <f>COUNTIFS('remet-wind'!Q78:'remet-wind'!Q88,"&gt;10",'remet-wind'!Q78:'remet-wind'!Q88,"&lt;=25")/COUNT('remet-wind'!Q78:'remet-wind'!Q88)</f>
        <v>0</v>
      </c>
      <c r="G10">
        <f>COUNTIFS('remet-wind'!Q78:'remet-wind'!Q88,"&gt;25",'remet-wind'!Q78:'remet-wind'!Q88,"&lt;=100")/COUNT('remet-wind'!Q78:'remet-wind'!Q88)</f>
        <v>9.0909090909090912E-2</v>
      </c>
      <c r="H10">
        <f>COUNTIFS('remet-wind'!Q78:'remet-wind'!Q88,"&gt;100")/COUNT('remet-wind'!Q78:'remet-wind'!Q88)</f>
        <v>0.90909090909090906</v>
      </c>
      <c r="I10">
        <f>COUNTIF('remet-wind'!BH78:'remet-wind'!BH88,"&lt;=0.3")/COUNT('remet-wind'!BH78:'remet-wind'!BH88)</f>
        <v>9.0909090909090912E-2</v>
      </c>
      <c r="J10">
        <f>COUNTIFS('remet-wind'!BH78:'remet-wind'!BH88,"&gt;0.3",'remet-wind'!BH78:'remet-wind'!BH88,"&lt;=0.7")/COUNT('remet-wind'!BH78:'remet-wind'!BH88)</f>
        <v>9.0909090909090912E-2</v>
      </c>
      <c r="K10">
        <f>COUNTIFS('remet-wind'!BH78:'remet-wind'!BH88,"&gt;0.7",'remet-wind'!BH78:'remet-wind'!BH88,"&lt;=1.0")/COUNT('remet-wind'!BH78:'remet-wind'!BH88)</f>
        <v>0.27272727272727271</v>
      </c>
      <c r="L10">
        <f>COUNTIFS('remet-wind'!BH78:'remet-wind'!BH88,"&gt;1.0",'remet-wind'!BH78:'remet-wind'!BH88,"&lt;=3.0")/COUNT('remet-wind'!BH78:'remet-wind'!BH88)</f>
        <v>9.0909090909090912E-2</v>
      </c>
      <c r="M10">
        <f>COUNTIFS('remet-wind'!BH78:'remet-wind'!BH88,"&gt;3")/COUNT('remet-wind'!BH78:'remet-wind'!BH88)</f>
        <v>0.45454545454545453</v>
      </c>
      <c r="N10">
        <v>0.11</v>
      </c>
      <c r="O10">
        <f>COUNTIF('remet-wind'!Y78:'remet-wind'!Y88,"=1")/COUNT('remet-wind'!Y78:'remet-wind'!Y88)</f>
        <v>1</v>
      </c>
      <c r="P10">
        <f>COUNTIF('remet-wind'!Y78:'remet-wind'!Y88,"&gt;1")/COUNT('remet-wind'!Y78:'remet-wind'!Y88)</f>
        <v>0</v>
      </c>
      <c r="Q10" s="62" t="s">
        <v>3589</v>
      </c>
      <c r="R10" t="s">
        <v>3583</v>
      </c>
      <c r="S10">
        <v>0</v>
      </c>
      <c r="T10">
        <v>0</v>
      </c>
    </row>
    <row r="11" spans="1:37" ht="136">
      <c r="A11" t="s">
        <v>64</v>
      </c>
      <c r="B11" t="s">
        <v>57</v>
      </c>
      <c r="C11" s="53" t="s">
        <v>57</v>
      </c>
      <c r="D11" s="53" t="s">
        <v>3611</v>
      </c>
      <c r="E11">
        <f>COUNTIF('remet-wind'!Q16:'remet-wind'!Q21,"&lt;=10")/COUNT('remet-wind'!Q16:'remet-wind'!Q21)</f>
        <v>0</v>
      </c>
      <c r="F11">
        <f>COUNTIFS('remet-wind'!Q16:'remet-wind'!Q21,"&gt;10",'remet-wind'!Q16:'remet-wind'!Q21,"&lt;=25")/COUNT('remet-wind'!Q16:'remet-wind'!Q21)</f>
        <v>0.33333333333333331</v>
      </c>
      <c r="G11">
        <f>COUNTIFS('remet-wind'!Q16:'remet-wind'!Q21,"&gt;25",'remet-wind'!Q16:'remet-wind'!Q21,"&lt;=100")/COUNT('remet-wind'!Q16:'remet-wind'!Q21)</f>
        <v>0.66666666666666663</v>
      </c>
      <c r="H11">
        <f>COUNTIFS('remet-wind'!Q16:'remet-wind'!Q21,"&gt;100")/COUNT('remet-wind'!Q16:'remet-wind'!Q21)</f>
        <v>0</v>
      </c>
      <c r="I11">
        <f>COUNTIF('remet-wind'!BH16:'remet-wind'!BH21,"&lt;=0.3")/COUNT('remet-wind'!BH16:'remet-wind'!BH21)</f>
        <v>0</v>
      </c>
      <c r="J11">
        <f>COUNTIFS('remet-wind'!BH16:'remet-wind'!BH21,"&gt;0.3",'remet-wind'!BH16:'remet-wind'!BH21,"&lt;=0.7")/COUNT('remet-wind'!BH16:'remet-wind'!BH21)</f>
        <v>0.83333333333333337</v>
      </c>
      <c r="K11">
        <f>COUNTIFS('remet-wind'!BH16:'remet-wind'!BH21,"&gt;0.7",'remet-wind'!BH16:'remet-wind'!BH21,"&lt;=1.0")/COUNT('remet-wind'!BH16:'remet-wind'!BH21)</f>
        <v>0.16666666666666666</v>
      </c>
      <c r="L11">
        <f>COUNTIFS('remet-wind'!BH16:'remet-wind'!BH21,"&gt;1.0",'remet-wind'!BH16:'remet-wind'!BH21,"&lt;=3.0")/COUNT('remet-wind'!BH16:'remet-wind'!BH21)</f>
        <v>0</v>
      </c>
      <c r="M11">
        <f>COUNTIFS('remet-wind'!BH16:'remet-wind'!BH21,"&gt;3")/COUNT('remet-wind'!BH16:'remet-wind'!BH21)</f>
        <v>0</v>
      </c>
      <c r="N11">
        <v>0.11</v>
      </c>
      <c r="O11">
        <f>COUNTIF('remet-wind'!Y16:'remet-wind'!Y21,"=1")/COUNT('remet-wind'!Y16:'remet-wind'!Y21)</f>
        <v>1</v>
      </c>
      <c r="P11">
        <f>COUNTIF('remet-wind'!Y16:'remet-wind'!Y21,"&gt;1")/COUNT('remet-wind'!Y16:'remet-wind'!Y21)</f>
        <v>0</v>
      </c>
      <c r="Q11" t="s">
        <v>3587</v>
      </c>
      <c r="R11" t="s">
        <v>3584</v>
      </c>
      <c r="S11">
        <v>0</v>
      </c>
      <c r="T11">
        <v>0</v>
      </c>
    </row>
    <row r="12" spans="1:37" ht="40">
      <c r="A12" t="s">
        <v>3567</v>
      </c>
      <c r="B12" t="s">
        <v>702</v>
      </c>
      <c r="C12" s="53" t="s">
        <v>702</v>
      </c>
      <c r="D12" s="56" t="s">
        <v>3612</v>
      </c>
      <c r="E12">
        <f>COUNTIF('remet-wind'!Q90,"&lt;=90")</f>
        <v>1</v>
      </c>
      <c r="F12">
        <f>COUNTIFS('remet-wind'!Q90,"&gt;90",'remet-wind'!Q90,"&lt;=25")</f>
        <v>0</v>
      </c>
      <c r="G12">
        <f>COUNTIFS('remet-wind'!Q90,"&gt;25",'remet-wind'!Q90,"&lt;=100")</f>
        <v>1</v>
      </c>
      <c r="H12">
        <f>COUNTIFS('remet-wind'!Q90,"&gt;100")</f>
        <v>0</v>
      </c>
      <c r="I12" s="68">
        <f>COUNTIF('remet-wind'!BH90,"&lt;=0.3")</f>
        <v>0</v>
      </c>
      <c r="J12" s="68">
        <f>COUNTIFS('remet-wind'!BH90,"&gt;0.3",'remet-wind'!BH90,"&lt;=0.7")</f>
        <v>1</v>
      </c>
      <c r="K12" s="68">
        <f>COUNTIFS('remet-wind'!BH90,"&gt;0.7",'remet-wind'!BH90,"&lt;=1.0")</f>
        <v>0</v>
      </c>
      <c r="L12" s="68">
        <f>COUNTIFS('remet-wind'!BH90,"&gt;1.0",'remet-wind'!BH90,"&lt;=3.0")</f>
        <v>0</v>
      </c>
      <c r="M12" s="68">
        <f>COUNTIF('remet-wind'!BH90,"&gt;3.0")</f>
        <v>0</v>
      </c>
      <c r="N12">
        <v>0.13</v>
      </c>
      <c r="O12">
        <f>COUNTIF('remet-wind'!Y90,"=1")</f>
        <v>1</v>
      </c>
      <c r="P12">
        <f>COUNTIF('remet-wind'!Y90,"&gt;1")</f>
        <v>0</v>
      </c>
      <c r="Q12" t="s">
        <v>3587</v>
      </c>
      <c r="R12" t="s">
        <v>3584</v>
      </c>
      <c r="S12">
        <v>0</v>
      </c>
      <c r="T12">
        <v>0</v>
      </c>
    </row>
    <row r="13" spans="1:37" ht="119">
      <c r="A13" s="22" t="s">
        <v>991</v>
      </c>
      <c r="B13" t="s">
        <v>1203</v>
      </c>
      <c r="C13" s="53" t="s">
        <v>1203</v>
      </c>
      <c r="D13" s="53" t="s">
        <v>3613</v>
      </c>
      <c r="E13">
        <f>COUNTIF('remet-wind'!Q97:'remet-wind'!Q102,"&lt;=10")/COUNT('remet-wind'!Q97:'remet-wind'!Q102)</f>
        <v>0.16666666666666666</v>
      </c>
      <c r="F13">
        <f>COUNTIFS('remet-wind'!Q97:'remet-wind'!Q102,"&gt;10",'remet-wind'!Q97:'remet-wind'!Q102,"&lt;=25")/COUNT('remet-wind'!Q97:'remet-wind'!Q102)</f>
        <v>0.16666666666666666</v>
      </c>
      <c r="G13">
        <f>COUNTIFS('remet-wind'!Q97:'remet-wind'!Q102,"&gt;25",'remet-wind'!Q97:'remet-wind'!Q102,"&lt;=100")/COUNT('remet-wind'!Q97:'remet-wind'!Q102)</f>
        <v>0.66666666666666663</v>
      </c>
      <c r="H13">
        <f>COUNTIFS('remet-wind'!Q97:'remet-wind'!Q102,"&gt;100")/COUNT('remet-wind'!Q97:'remet-wind'!Q102)</f>
        <v>0</v>
      </c>
      <c r="I13">
        <f>COUNTIF('remet-wind'!BH97:'remet-wind'!BH102,"&lt;=0.3")/COUNT('remet-wind'!BH97:'remet-wind'!BH102)</f>
        <v>0.16666666666666666</v>
      </c>
      <c r="J13">
        <f>COUNTIFS('remet-wind'!BH97:'remet-wind'!BH102,"&gt;0.3",'remet-wind'!BH97:'remet-wind'!BH102,"&lt;=0.7")/COUNT('remet-wind'!BH97:'remet-wind'!BH102)</f>
        <v>0.66666666666666663</v>
      </c>
      <c r="K13">
        <f>COUNTIFS('remet-wind'!BH97:'remet-wind'!BH102,"&gt;0.7",'remet-wind'!BH97:'remet-wind'!BH102,"&lt;=1.0")/COUNT('remet-wind'!BH97:'remet-wind'!BH102)</f>
        <v>0.16666666666666666</v>
      </c>
      <c r="L13">
        <f>COUNTIFS('remet-wind'!BH97:'remet-wind'!BH102,"&gt;1.0",'remet-wind'!BH97:'remet-wind'!BH102,"&lt;=3.0")/COUNT('remet-wind'!BH97:'remet-wind'!BH102)</f>
        <v>0</v>
      </c>
      <c r="M13">
        <f>COUNTIFS('remet-wind'!BH97:'remet-wind'!BH102,"&gt;3")/COUNT('remet-wind'!BH97:'remet-wind'!BH102)</f>
        <v>0</v>
      </c>
      <c r="N13">
        <v>0.11</v>
      </c>
      <c r="O13">
        <f>COUNTIF('remet-wind'!Y97:'remet-wind'!Y102,"=1")/COUNT('remet-wind'!Y97:'remet-wind'!Y102)</f>
        <v>1</v>
      </c>
      <c r="P13">
        <f>COUNTIF('remet-wind'!Y97:'remet-wind'!Y102,"&gt;1")/COUNT('remet-wind'!Y102:'remet-wind'!Y99)</f>
        <v>0</v>
      </c>
      <c r="Q13" t="s">
        <v>3587</v>
      </c>
      <c r="R13" t="s">
        <v>3584</v>
      </c>
      <c r="S13">
        <v>0</v>
      </c>
      <c r="T13">
        <v>1</v>
      </c>
    </row>
    <row r="14" spans="1:37" ht="85">
      <c r="A14" t="s">
        <v>3567</v>
      </c>
      <c r="B14" t="s">
        <v>56</v>
      </c>
      <c r="C14" s="53" t="s">
        <v>56</v>
      </c>
      <c r="D14" s="53" t="s">
        <v>3614</v>
      </c>
      <c r="E14">
        <f>COUNTIF('remet-wind'!Q29:'remet-wind'!Q34,"&lt;=10")/COUNT('remet-wind'!Q29:'remet-wind'!Q34)</f>
        <v>0</v>
      </c>
      <c r="F14">
        <f>COUNTIFS('remet-wind'!Q29:'remet-wind'!Q34,"&gt;10",'remet-wind'!Q29:'remet-wind'!Q34,"&lt;=25")/COUNT('remet-wind'!Q29:'remet-wind'!Q34)</f>
        <v>0.16666666666666666</v>
      </c>
      <c r="G14">
        <f>COUNTIFS('remet-wind'!Q29:'remet-wind'!Q34,"&gt;25",'remet-wind'!Q29:'remet-wind'!Q34,"&lt;=100")/COUNT('remet-wind'!Q29:'remet-wind'!Q34)</f>
        <v>0.83333333333333337</v>
      </c>
      <c r="H14">
        <f>COUNTIFS('remet-wind'!Q29:'remet-wind'!Q34,"&gt;100")/COUNT('remet-wind'!Q29:'remet-wind'!Q34)</f>
        <v>0</v>
      </c>
      <c r="I14">
        <f>COUNTIF('remet-wind'!BH29:'remet-wind'!BH34,"&lt;=0.3")/COUNT('remet-wind'!BH29:'remet-wind'!BH34)</f>
        <v>0</v>
      </c>
      <c r="J14">
        <f>COUNTIFS('remet-wind'!BH29:'remet-wind'!BH34,"&gt;0.3",'remet-wind'!BH29:'remet-wind'!BH34,"&lt;=0.7")/COUNT('remet-wind'!BH29:'remet-wind'!BH34)</f>
        <v>0.16666666666666666</v>
      </c>
      <c r="K14">
        <f>COUNTIFS('remet-wind'!BH29:'remet-wind'!BH34,"&gt;0.7",'remet-wind'!BH29:'remet-wind'!BH34,"&lt;=1.0")/COUNT('remet-wind'!BH29:'remet-wind'!BH34)</f>
        <v>0</v>
      </c>
      <c r="L14">
        <f>COUNTIFS('remet-wind'!BH29:'remet-wind'!BH34,"&gt;1.0",'remet-wind'!BH29:'remet-wind'!BH34,"&lt;=3.0")/COUNT('remet-wind'!BH29:'remet-wind'!BH34)</f>
        <v>0.83333333333333337</v>
      </c>
      <c r="M14">
        <f>COUNTIFS('remet-wind'!BH29:'remet-wind'!BH34,"&gt;3")/COUNT('remet-wind'!BH29:'remet-wind'!BH34)</f>
        <v>0</v>
      </c>
      <c r="N14">
        <v>0.13</v>
      </c>
      <c r="O14">
        <f>COUNTIF('remet-wind'!Y29:'remet-wind'!Y34,"=1")/COUNT('remet-wind'!Y29:'remet-wind'!Y34)</f>
        <v>1</v>
      </c>
      <c r="P14">
        <f>COUNTIF('remet-wind'!Y29:'remet-wind'!Y34,"&gt;1")/COUNT('remet-wind'!Y29:'remet-wind'!Y34)</f>
        <v>0</v>
      </c>
      <c r="Q14" t="s">
        <v>3587</v>
      </c>
      <c r="R14" t="s">
        <v>3584</v>
      </c>
      <c r="S14">
        <v>0</v>
      </c>
      <c r="T14">
        <v>0</v>
      </c>
    </row>
    <row r="15" spans="1:37" ht="209">
      <c r="A15" t="s">
        <v>3189</v>
      </c>
      <c r="B15" t="s">
        <v>3418</v>
      </c>
      <c r="C15" s="53" t="s">
        <v>3418</v>
      </c>
      <c r="D15" s="55" t="s">
        <v>3615</v>
      </c>
      <c r="E15">
        <f>COUNTIF('remet-wind'!Q107:'remet-wind'!Q112,"&lt;=10")/COUNT('remet-wind'!Q107:'remet-wind'!Q112)</f>
        <v>0</v>
      </c>
      <c r="F15">
        <f>COUNTIFS('remet-wind'!Q107:'remet-wind'!Q112,"&gt;10",'remet-wind'!Q107:'remet-wind'!Q112,"&lt;=25")/COUNT('remet-wind'!Q107:'remet-wind'!Q112)</f>
        <v>0.66666666666666663</v>
      </c>
      <c r="G15">
        <f>COUNTIFS('remet-wind'!Q107:'remet-wind'!Q112,"&gt;25",'remet-wind'!Q107:'remet-wind'!Q112,"&lt;=100")/COUNT('remet-wind'!Q107:'remet-wind'!Q112)</f>
        <v>0.33333333333333331</v>
      </c>
      <c r="H15">
        <f>COUNTIFS('remet-wind'!Q107:'remet-wind'!Q112,"&gt;100")/COUNT('remet-wind'!Q107:'remet-wind'!Q112)</f>
        <v>0</v>
      </c>
      <c r="I15">
        <f>COUNTIF('remet-wind'!BH107:'remet-wind'!BH112,"&lt;=0.3")/COUNT('remet-wind'!BH107:'remet-wind'!BH112)</f>
        <v>0.16666666666666666</v>
      </c>
      <c r="J15">
        <f>COUNTIFS('remet-wind'!BH107:'remet-wind'!BH112,"&gt;0.3",'remet-wind'!BH107:'remet-wind'!BH112,"&lt;=0.7")/COUNT('remet-wind'!BH107:'remet-wind'!BH112)</f>
        <v>0</v>
      </c>
      <c r="K15">
        <f>COUNTIFS('remet-wind'!BH107:'remet-wind'!BH112,"&gt;0.7",'remet-wind'!BH107:'remet-wind'!BH112,"&lt;=1.0")/COUNT('remet-wind'!BH107:'remet-wind'!BH112)</f>
        <v>0.16666666666666666</v>
      </c>
      <c r="L15">
        <f>COUNTIFS('remet-wind'!BH107:'remet-wind'!BH112,"&gt;1.0",'remet-wind'!BH107:'remet-wind'!BH112,"&lt;=3.0")/COUNT('remet-wind'!BH107:'remet-wind'!BH112)</f>
        <v>0.5</v>
      </c>
      <c r="M15">
        <f>COUNTIFS('remet-wind'!BH107:'remet-wind'!BH112,"&gt;3")/COUNT('remet-wind'!BH107:'remet-wind'!BH112)</f>
        <v>0.16666666666666666</v>
      </c>
      <c r="N15" s="62">
        <v>0.11</v>
      </c>
      <c r="O15">
        <f>COUNTIF('remet-wind'!Y107:'remet-wind'!Y112,"=1")/COUNT('remet-wind'!Y107:'remet-wind'!Y112)</f>
        <v>1</v>
      </c>
      <c r="P15">
        <f>COUNTIF('remet-wind'!Y107:'remet-wind'!Y112,"&gt;1")/COUNT('remet-wind'!Y107:'remet-wind'!Y112)</f>
        <v>0</v>
      </c>
      <c r="Q15" t="s">
        <v>3589</v>
      </c>
      <c r="R15" t="s">
        <v>3583</v>
      </c>
      <c r="S15">
        <v>0</v>
      </c>
      <c r="T15">
        <v>0</v>
      </c>
    </row>
    <row r="16" spans="1:37" ht="71">
      <c r="A16" t="s">
        <v>3566</v>
      </c>
      <c r="B16" t="s">
        <v>933</v>
      </c>
      <c r="C16" s="53" t="s">
        <v>933</v>
      </c>
      <c r="D16" s="20" t="s">
        <v>3616</v>
      </c>
      <c r="E16">
        <f>COUNTIF('remet-wind'!Q39:'remet-wind'!Q42,"&lt;=10")/COUNT('remet-wind'!Q39:'remet-wind'!Q42)</f>
        <v>0</v>
      </c>
      <c r="F16">
        <f>COUNTIFS('remet-wind'!Q39:'remet-wind'!Q42,"&gt;10",'remet-wind'!Q39:'remet-wind'!Q42,"&lt;=25")/COUNT('remet-wind'!Q39:'remet-wind'!Q42)</f>
        <v>0.75</v>
      </c>
      <c r="G16">
        <f>COUNTIFS('remet-wind'!Q39:'remet-wind'!Q42,"&gt;25",'remet-wind'!Q39:'remet-wind'!Q42,"&lt;=100")/COUNT('remet-wind'!Q39:'remet-wind'!Q42)</f>
        <v>0.25</v>
      </c>
      <c r="H16">
        <f>COUNTIFS('remet-wind'!Q39:'remet-wind'!Q42,"&gt;100")/COUNT('remet-wind'!Q39:'remet-wind'!Q42)</f>
        <v>0</v>
      </c>
      <c r="I16">
        <f>COUNTIF('remet-wind'!BH39:'remet-wind'!BH42,"&lt;=0.3")/COUNT('remet-wind'!BH39:'remet-wind'!BH42)</f>
        <v>0</v>
      </c>
      <c r="J16">
        <f>COUNTIFS('remet-wind'!BH39:'remet-wind'!BH42,"&gt;0.3",'remet-wind'!BH39:'remet-wind'!BH42,"&lt;=0.7")/COUNT('remet-wind'!BH39:'remet-wind'!BH42)</f>
        <v>0.5</v>
      </c>
      <c r="K16">
        <f>COUNTIFS('remet-wind'!BH39:'remet-wind'!BH42,"&gt;0.7",'remet-wind'!BH39:'remet-wind'!BH42,"&lt;=1.0")/COUNT('remet-wind'!BH39:'remet-wind'!BH42)</f>
        <v>0.5</v>
      </c>
      <c r="L16">
        <f>COUNTIFS('remet-wind'!BH39:'remet-wind'!BH42,"&gt;1.0",'remet-wind'!BH39:'remet-wind'!BH42,"&lt;=3.0")/COUNT('remet-wind'!BH39:'remet-wind'!BH42)</f>
        <v>0</v>
      </c>
      <c r="M16">
        <f>COUNTIFS('remet-wind'!BH39:'remet-wind'!BH42,"&gt;3")/COUNT('remet-wind'!BH39:'remet-wind'!BH42)</f>
        <v>0</v>
      </c>
      <c r="N16" s="62">
        <v>0.11</v>
      </c>
      <c r="O16">
        <f>COUNTIF('remet-wind'!Y39:'remet-wind'!Y42,"=1")/COUNT('remet-wind'!Y39:'remet-wind'!Y42)</f>
        <v>1</v>
      </c>
      <c r="P16">
        <f>COUNTIF('remet-wind'!Y39:'remet-wind'!Y42,"&gt;1")/COUNT('remet-wind'!Y39:'remet-wind'!Y42)</f>
        <v>0</v>
      </c>
      <c r="Q16" s="62" t="s">
        <v>3587</v>
      </c>
      <c r="R16" s="62" t="s">
        <v>3584</v>
      </c>
      <c r="S16">
        <v>0</v>
      </c>
      <c r="T16">
        <v>0</v>
      </c>
    </row>
    <row r="17" spans="1:20" ht="27">
      <c r="A17" t="s">
        <v>61</v>
      </c>
      <c r="B17" t="s">
        <v>651</v>
      </c>
      <c r="C17" s="53" t="s">
        <v>651</v>
      </c>
      <c r="D17" s="56" t="s">
        <v>3617</v>
      </c>
      <c r="E17">
        <f>COUNTIF('remet-wind'!Q36:'remet-wind'!Q38,"&lt;=10")/COUNT('remet-wind'!Q36:'remet-wind'!Q38)</f>
        <v>1</v>
      </c>
      <c r="F17">
        <f>COUNTIFS('remet-wind'!Q36:'remet-wind'!Q38,"&gt;10",'remet-wind'!Q36:'remet-wind'!Q38,"&lt;=25")/COUNT('remet-wind'!Q36:'remet-wind'!Q38)</f>
        <v>0</v>
      </c>
      <c r="G17">
        <f>COUNTIFS('remet-wind'!Q36:'remet-wind'!Q38,"&gt;25",'remet-wind'!Q36:'remet-wind'!Q38,"&lt;=100")/COUNT('remet-wind'!Q36:'remet-wind'!Q38)</f>
        <v>0</v>
      </c>
      <c r="H17">
        <f>COUNTIFS('remet-wind'!Q36:'remet-wind'!Q38,"&gt;100")/COUNT('remet-wind'!Q36:'remet-wind'!Q38)</f>
        <v>0</v>
      </c>
      <c r="I17">
        <f>COUNTIF('remet-wind'!BH36:'remet-wind'!BH38,"&lt;=0.3")/COUNT('remet-wind'!BH36:'remet-wind'!BH38)</f>
        <v>1</v>
      </c>
      <c r="J17">
        <f>COUNTIFS('remet-wind'!BH36:'remet-wind'!BH38,"&gt;0.3",'remet-wind'!BH36:'remet-wind'!BH38,"&lt;=0.7")/COUNT('remet-wind'!BH36:'remet-wind'!BH38)</f>
        <v>0</v>
      </c>
      <c r="K17">
        <f>COUNTIFS('remet-wind'!BH36:'remet-wind'!BH38,"&gt;0.7",'remet-wind'!BH36:'remet-wind'!BH38,"&lt;=1.0")/COUNT('remet-wind'!BH36:'remet-wind'!BH38)</f>
        <v>0</v>
      </c>
      <c r="L17">
        <f>COUNTIFS('remet-wind'!BH36:'remet-wind'!BH38,"&gt;1.0",'remet-wind'!BH36:'remet-wind'!BH38,"&lt;=3.0")/COUNT('remet-wind'!BH36:'remet-wind'!BH38)</f>
        <v>0</v>
      </c>
      <c r="M17">
        <f>COUNTIFS('remet-wind'!BH36:'remet-wind'!BH38,"&gt;3")/COUNT('remet-wind'!BH36:'remet-wind'!BH38)</f>
        <v>0</v>
      </c>
      <c r="N17">
        <v>0.22</v>
      </c>
      <c r="O17">
        <f>COUNTIF('remet-wind'!Y36:'remet-wind'!Y38,"=1")/COUNT('remet-wind'!Y36:'remet-wind'!Y38)</f>
        <v>0.33333333333333331</v>
      </c>
      <c r="P17">
        <f>COUNTIF('remet-wind'!Y36:'remet-wind'!Y38,"&gt;1")/COUNT('remet-wind'!Y36:'remet-wind'!Y38)</f>
        <v>0.66666666666666663</v>
      </c>
      <c r="Q17" t="s">
        <v>3589</v>
      </c>
      <c r="R17" t="s">
        <v>3583</v>
      </c>
      <c r="S17">
        <v>0</v>
      </c>
      <c r="T17">
        <v>0</v>
      </c>
    </row>
    <row r="18" spans="1:20" ht="17">
      <c r="A18" t="s">
        <v>63</v>
      </c>
      <c r="B18" t="s">
        <v>2280</v>
      </c>
      <c r="C18" s="53" t="s">
        <v>2280</v>
      </c>
      <c r="D18" s="56" t="s">
        <v>3618</v>
      </c>
      <c r="E18">
        <f>COUNTIF('remet-wind'!Q114,"&lt;=10")</f>
        <v>1</v>
      </c>
      <c r="F18">
        <f>COUNTIFS('remet-wind'!Q114,"&gt;10",'remet-wind'!Q114,"&lt;=25")</f>
        <v>0</v>
      </c>
      <c r="G18">
        <f>COUNTIFS('remet-wind'!Q114,"&gt;25",'remet-wind'!Q114,"&lt;=100")</f>
        <v>0</v>
      </c>
      <c r="H18">
        <f>COUNTIFS('remet-wind'!Q114,"&gt;100")</f>
        <v>0</v>
      </c>
      <c r="I18" s="68">
        <f>COUNTIF('remet-wind'!BH114,"&lt;=0.3")</f>
        <v>1</v>
      </c>
      <c r="J18" s="68">
        <f>COUNTIFS('remet-wind'!BH114,"&gt;0.3",'remet-wind'!BH114,"&lt;=0.7")</f>
        <v>0</v>
      </c>
      <c r="K18" s="68">
        <f>COUNTIFS('remet-wind'!BH114,"&gt;0.7",'remet-wind'!BH114,"&lt;=1.0")</f>
        <v>0</v>
      </c>
      <c r="L18" s="68">
        <f>COUNTIFS('remet-wind'!BH114,"&gt;1.0",'remet-wind'!BH114,"&lt;=3.0")</f>
        <v>0</v>
      </c>
      <c r="M18" s="68">
        <f>COUNTIF('remet-wind'!BH114,"&gt;3.0")</f>
        <v>0</v>
      </c>
      <c r="N18" s="22">
        <v>0.16</v>
      </c>
      <c r="O18">
        <f>COUNTIF('remet-wind'!Y114,"=1")</f>
        <v>0</v>
      </c>
      <c r="P18">
        <f>COUNTIF('remet-wind'!Y114,"&gt;1")</f>
        <v>1</v>
      </c>
      <c r="Q18" t="s">
        <v>3589</v>
      </c>
      <c r="R18" t="s">
        <v>3583</v>
      </c>
      <c r="S18">
        <v>0</v>
      </c>
      <c r="T18">
        <v>0</v>
      </c>
    </row>
    <row r="19" spans="1:20" ht="57">
      <c r="A19" t="s">
        <v>64</v>
      </c>
      <c r="B19" t="s">
        <v>58</v>
      </c>
      <c r="C19" s="53" t="s">
        <v>58</v>
      </c>
      <c r="D19" s="49" t="s">
        <v>3619</v>
      </c>
      <c r="E19">
        <f>COUNTIF('remet-wind'!Q44:'remet-wind'!Q47,"&lt;=10")/COUNT('remet-wind'!Q44:'remet-wind'!Q47)</f>
        <v>0.5</v>
      </c>
      <c r="F19">
        <f>COUNTIFS('remet-wind'!Q44:'remet-wind'!Q47,"&gt;10",'remet-wind'!Q44:'remet-wind'!Q47,"&lt;=25")/COUNT('remet-wind'!Q44:'remet-wind'!Q47)</f>
        <v>0.5</v>
      </c>
      <c r="G19">
        <f>COUNTIFS('remet-wind'!Q44:'remet-wind'!Q47,"&gt;25",'remet-wind'!Q44:'remet-wind'!Q47,"&lt;=100")/COUNT('remet-wind'!Q44:'remet-wind'!Q47)</f>
        <v>0</v>
      </c>
      <c r="H19">
        <f>COUNTIFS('remet-wind'!Q44:'remet-wind'!Q47,"&gt;100")/COUNT('remet-wind'!Q44:'remet-wind'!Q47)</f>
        <v>0</v>
      </c>
      <c r="I19">
        <f>COUNTIF('remet-wind'!BH44:'remet-wind'!BH47,"&lt;=0.3")/COUNT('remet-wind'!BH44:'remet-wind'!BH47)</f>
        <v>0.5</v>
      </c>
      <c r="J19">
        <f>COUNTIFS('remet-wind'!BH44:'remet-wind'!BH47,"&gt;0.3",'remet-wind'!BH44:'remet-wind'!BH47,"&lt;=0.7")/COUNT('remet-wind'!BH44:'remet-wind'!BH47)</f>
        <v>0.5</v>
      </c>
      <c r="K19">
        <f>COUNTIFS('remet-wind'!BH44:'remet-wind'!BH47,"&gt;0.7",'remet-wind'!BH44:'remet-wind'!BH47,"&lt;=1.0")/COUNT('remet-wind'!BH44:'remet-wind'!BH47)</f>
        <v>0</v>
      </c>
      <c r="L19">
        <f>COUNTIFS('remet-wind'!BH44:'remet-wind'!BH47,"&gt;1.0",'remet-wind'!BH44:'remet-wind'!BH47,"&lt;=3.0")/COUNT('remet-wind'!BH44:'remet-wind'!BH47)</f>
        <v>0</v>
      </c>
      <c r="M19">
        <f>COUNTIFS('remet-wind'!BH44:'remet-wind'!BH47,"&gt;3")/COUNT('remet-wind'!BH44:'remet-wind'!BH47)</f>
        <v>0</v>
      </c>
      <c r="N19" s="62">
        <v>0.11</v>
      </c>
      <c r="O19">
        <f>COUNTIF('remet-wind'!Y44:'remet-wind'!Y47,"=1")/COUNT('remet-wind'!Y44:'remet-wind'!Y47)</f>
        <v>1</v>
      </c>
      <c r="P19">
        <f>COUNTIF('remet-wind'!Y44:'remet-wind'!Y47,"&gt;1")/COUNT('remet-wind'!Y44:'remet-wind'!Y47)</f>
        <v>0</v>
      </c>
      <c r="Q19" s="62" t="s">
        <v>3587</v>
      </c>
      <c r="R19" s="62" t="s">
        <v>3584</v>
      </c>
      <c r="S19">
        <v>0</v>
      </c>
      <c r="T19">
        <v>0</v>
      </c>
    </row>
    <row r="20" spans="1:20" ht="183">
      <c r="A20" t="s">
        <v>63</v>
      </c>
      <c r="B20" t="s">
        <v>2692</v>
      </c>
      <c r="C20" s="53" t="s">
        <v>2692</v>
      </c>
      <c r="D20" s="49" t="s">
        <v>3620</v>
      </c>
      <c r="E20">
        <f>COUNTIF('remet-wind'!Q48:'remet-wind'!Q59,"&lt;=10")/COUNT('remet-wind'!Q48:'remet-wind'!Q59)</f>
        <v>8.3333333333333329E-2</v>
      </c>
      <c r="F20">
        <f>COUNTIFS('remet-wind'!Q48:'remet-wind'!Q59,"&gt;10",'remet-wind'!Q48:'remet-wind'!Q59,"&lt;=25")/COUNT('remet-wind'!Q48:'remet-wind'!Q59)</f>
        <v>0.5</v>
      </c>
      <c r="G20">
        <f>COUNTIFS('remet-wind'!Q48:'remet-wind'!Q59,"&gt;25",'remet-wind'!Q48:'remet-wind'!Q59,"&lt;=100")/COUNT('remet-wind'!Q48:'remet-wind'!Q59)</f>
        <v>0.41666666666666669</v>
      </c>
      <c r="H20">
        <f>COUNTIFS('remet-wind'!Q48:'remet-wind'!Q59,"&gt;100")/COUNT('remet-wind'!Q48:'remet-wind'!Q59)</f>
        <v>0</v>
      </c>
      <c r="I20">
        <f>COUNTIF('remet-wind'!BH48:'remet-wind'!BH59,"&lt;=0.3")/COUNT('remet-wind'!BH48:'remet-wind'!BH59)</f>
        <v>1</v>
      </c>
      <c r="J20">
        <f>COUNTIFS('remet-wind'!BH48:'remet-wind'!BH59,"&gt;0.3",'remet-wind'!BH48:'remet-wind'!BH59,"&lt;=0.7")/COUNT('remet-wind'!BH48:'remet-wind'!BH59)</f>
        <v>0</v>
      </c>
      <c r="K20">
        <f>COUNTIFS('remet-wind'!BH48:'remet-wind'!BH59,"&gt;0.7",'remet-wind'!BH48:'remet-wind'!BH59,"&lt;=1.0")/COUNT('remet-wind'!BH48:'remet-wind'!BH59)</f>
        <v>0</v>
      </c>
      <c r="L20">
        <f>COUNTIFS('remet-wind'!BH48:'remet-wind'!BH59,"&gt;1.0",'remet-wind'!BH48:'remet-wind'!BH59,"&lt;=3.0")/COUNT('remet-wind'!BH48:'remet-wind'!BH59)</f>
        <v>0</v>
      </c>
      <c r="M20">
        <f>COUNTIFS('remet-wind'!BH48:'remet-wind'!BH59,"&gt;3")/COUNT('remet-wind'!BH48:'remet-wind'!BH59)</f>
        <v>0</v>
      </c>
      <c r="N20" s="62">
        <v>0.16</v>
      </c>
      <c r="O20">
        <f>COUNTIF('remet-wind'!Y48:'remet-wind'!Y59,"=1")/COUNT('remet-wind'!Y48:'remet-wind'!Y59)</f>
        <v>1</v>
      </c>
      <c r="P20">
        <f>COUNTIF('remet-wind'!Y48:'remet-wind'!Y59,"&gt;1")/COUNT('remet-wind'!Y48:'remet-wind'!Y59)</f>
        <v>0</v>
      </c>
      <c r="Q20" t="s">
        <v>3589</v>
      </c>
      <c r="R20" t="s">
        <v>3583</v>
      </c>
      <c r="S20">
        <v>0</v>
      </c>
      <c r="T20">
        <v>0</v>
      </c>
    </row>
  </sheetData>
  <mergeCells count="3">
    <mergeCell ref="E1:H1"/>
    <mergeCell ref="O1:P1"/>
    <mergeCell ref="I1:M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1E82F-4193-3643-B3CE-D116C63CD615}">
  <dimension ref="A1:T206"/>
  <sheetViews>
    <sheetView tabSelected="1" topLeftCell="B199" zoomScale="75" zoomScaleNormal="52" workbookViewId="0">
      <selection activeCell="F205" sqref="F205"/>
    </sheetView>
  </sheetViews>
  <sheetFormatPr baseColWidth="10" defaultRowHeight="16"/>
  <cols>
    <col min="3" max="3" width="20.33203125" style="53" customWidth="1"/>
    <col min="4" max="4" width="10.83203125" style="77"/>
  </cols>
  <sheetData>
    <row r="1" spans="1:20" ht="54" customHeight="1">
      <c r="D1" s="50" t="s">
        <v>2</v>
      </c>
      <c r="E1" s="83" t="s">
        <v>68</v>
      </c>
      <c r="F1" s="83"/>
      <c r="G1" s="83"/>
      <c r="H1" s="83"/>
      <c r="I1" s="83" t="s">
        <v>3723</v>
      </c>
      <c r="J1" s="83"/>
      <c r="K1" s="83"/>
      <c r="L1" s="83"/>
      <c r="M1" s="83"/>
      <c r="N1" s="69" t="s">
        <v>97</v>
      </c>
      <c r="O1" s="83" t="s">
        <v>90</v>
      </c>
      <c r="P1" s="83"/>
      <c r="Q1" s="63" t="s">
        <v>92</v>
      </c>
      <c r="R1" s="63" t="s">
        <v>3509</v>
      </c>
      <c r="S1" s="63" t="s">
        <v>3568</v>
      </c>
      <c r="T1" t="s">
        <v>3576</v>
      </c>
    </row>
    <row r="2" spans="1:20" ht="57">
      <c r="D2" s="51" t="s">
        <v>3</v>
      </c>
      <c r="E2" s="4" t="s">
        <v>69</v>
      </c>
      <c r="F2" s="4" t="s">
        <v>72</v>
      </c>
      <c r="G2" s="4" t="s">
        <v>3504</v>
      </c>
      <c r="H2" s="5" t="s">
        <v>70</v>
      </c>
      <c r="I2" s="4" t="s">
        <v>3724</v>
      </c>
      <c r="J2" s="4" t="s">
        <v>3725</v>
      </c>
      <c r="K2" s="4" t="s">
        <v>3726</v>
      </c>
      <c r="L2" s="4" t="s">
        <v>3721</v>
      </c>
      <c r="M2" s="4" t="s">
        <v>3722</v>
      </c>
      <c r="N2" s="72" t="s">
        <v>3581</v>
      </c>
      <c r="O2" s="4" t="s">
        <v>91</v>
      </c>
      <c r="P2" s="4" t="s">
        <v>3507</v>
      </c>
      <c r="Q2" s="73" t="s">
        <v>92</v>
      </c>
      <c r="R2" s="73" t="s">
        <v>3509</v>
      </c>
      <c r="S2" s="4" t="s">
        <v>3568</v>
      </c>
      <c r="T2" s="72" t="s">
        <v>3575</v>
      </c>
    </row>
    <row r="3" spans="1:20" ht="17">
      <c r="A3" t="s">
        <v>59</v>
      </c>
      <c r="B3" t="s">
        <v>0</v>
      </c>
      <c r="C3" s="52" t="s">
        <v>3542</v>
      </c>
      <c r="D3" s="54" t="s">
        <v>3555</v>
      </c>
      <c r="E3" t="s">
        <v>65</v>
      </c>
      <c r="F3" t="s">
        <v>66</v>
      </c>
      <c r="G3" t="s">
        <v>67</v>
      </c>
      <c r="H3" t="s">
        <v>71</v>
      </c>
      <c r="I3" t="s">
        <v>3727</v>
      </c>
      <c r="J3" t="s">
        <v>3728</v>
      </c>
      <c r="K3" t="s">
        <v>3729</v>
      </c>
      <c r="L3" t="s">
        <v>3730</v>
      </c>
      <c r="M3" t="s">
        <v>3731</v>
      </c>
      <c r="N3" t="s">
        <v>3581</v>
      </c>
      <c r="O3" t="s">
        <v>3547</v>
      </c>
      <c r="P3" t="s">
        <v>3548</v>
      </c>
      <c r="Q3" t="s">
        <v>3588</v>
      </c>
      <c r="R3" t="s">
        <v>3582</v>
      </c>
      <c r="S3" t="s">
        <v>3569</v>
      </c>
      <c r="T3" t="s">
        <v>3579</v>
      </c>
    </row>
    <row r="4" spans="1:20" ht="151">
      <c r="A4" t="str">
        <f>('remet-mad'!E3)</f>
        <v>Cyanobacteria</v>
      </c>
      <c r="B4" t="str">
        <f>('remet-mad'!I3)</f>
        <v>Anabaena</v>
      </c>
      <c r="C4" s="53" t="s">
        <v>3599</v>
      </c>
      <c r="D4" s="76" t="s">
        <v>3603</v>
      </c>
      <c r="E4">
        <f>COUNTIF('remet-mad'!Q3,"&lt;=10")</f>
        <v>1</v>
      </c>
      <c r="F4">
        <f>COUNTIFS('remet-mad'!Q3,"&gt;10",'remet-mad'!Q3,"&lt;=25")</f>
        <v>0</v>
      </c>
      <c r="G4">
        <f>COUNTIFS('remet-mad'!Q3,"&gt;25",'remet-mad'!Q3,"&lt;=100")</f>
        <v>0</v>
      </c>
      <c r="H4">
        <f>COUNTIFS('remet-mad'!Q3,"&gt;100")</f>
        <v>0</v>
      </c>
      <c r="I4" s="68">
        <f>COUNTIF('remet-mad'!BH3,"&lt;=0.3")</f>
        <v>1</v>
      </c>
      <c r="J4" s="68">
        <f>COUNTIFS('remet-mad'!BH3,"&gt;0.3",'remet-mad'!BH3,"&lt;=0.7")</f>
        <v>0</v>
      </c>
      <c r="K4" s="68">
        <f>COUNTIFS('remet-mad'!BH3,"&gt;0.7",'remet-mad'!BH3,"&lt;=1.0")</f>
        <v>0</v>
      </c>
      <c r="L4" s="68">
        <f>COUNTIFS('remet-mad'!BH3,"&gt;1.0",'remet-mad'!BH3,"&lt;=3.0")</f>
        <v>0</v>
      </c>
      <c r="M4" s="68">
        <f>COUNTIF('remet-mad'!BH3,"&gt;3.0")</f>
        <v>0</v>
      </c>
      <c r="N4" s="64">
        <f>('remet-mad'!AM3)</f>
        <v>0.22</v>
      </c>
      <c r="O4">
        <f>COUNTIF('remet-mad'!Y3,"=1")</f>
        <v>1</v>
      </c>
      <c r="P4">
        <f>COUNTIF('remet-mad'!Y3,"&gt;1")</f>
        <v>0</v>
      </c>
      <c r="Q4" t="s">
        <v>3589</v>
      </c>
      <c r="R4" t="s">
        <v>3583</v>
      </c>
      <c r="S4">
        <v>1</v>
      </c>
      <c r="T4">
        <v>0</v>
      </c>
    </row>
    <row r="5" spans="1:20" ht="34">
      <c r="A5" t="str">
        <f>('remet-mad'!E2)</f>
        <v>Cyanobacteria</v>
      </c>
      <c r="B5" t="str">
        <f>('remet-mad'!I2)</f>
        <v>Aphanizomenon</v>
      </c>
      <c r="C5" s="53" t="s">
        <v>218</v>
      </c>
      <c r="E5">
        <f>COUNTIF('remet-mad'!Q2,"&lt;=10")</f>
        <v>1</v>
      </c>
      <c r="F5">
        <f>COUNTIFS('remet-mad'!Q2,"&gt;10",'remet-mad'!Q2,"&lt;=25")</f>
        <v>0</v>
      </c>
      <c r="G5">
        <f>COUNTIFS('remet-mad'!Q2,"&gt;25",'remet-mad'!Q2,"&lt;=100")</f>
        <v>0</v>
      </c>
      <c r="H5">
        <f>COUNTIFS('remet-mad'!Q2,"&gt;100")</f>
        <v>0</v>
      </c>
      <c r="I5" s="68">
        <f>COUNTIF('remet-mad'!BH2,"&lt;=0.3")</f>
        <v>1</v>
      </c>
      <c r="J5" s="68">
        <f>COUNTIFS('remet-mad'!BH2,"&gt;0.3",'remet-mad'!BH2,"&lt;=0.7")</f>
        <v>0</v>
      </c>
      <c r="K5" s="68">
        <f>COUNTIFS('remet-mad'!BH2,"&gt;0.7",'remet-mad'!BH2,"&lt;=1.0")</f>
        <v>0</v>
      </c>
      <c r="L5" s="68">
        <f>COUNTIFS('remet-mad'!BH2,"&gt;1.0",'remet-mad'!BH2,"&lt;=3.0")</f>
        <v>0</v>
      </c>
      <c r="M5" s="68">
        <f>COUNTIF('remet-mad'!BH2,"&gt;3.0")</f>
        <v>0</v>
      </c>
      <c r="N5" s="64">
        <f>('remet-mad'!AM2)</f>
        <v>0.22</v>
      </c>
      <c r="O5">
        <f>COUNTIF('remet-mad'!Y2,"=1")</f>
        <v>0</v>
      </c>
      <c r="P5">
        <f>COUNTIF('remet-mad'!Y2,"&gt;1")</f>
        <v>1</v>
      </c>
      <c r="Q5" t="s">
        <v>3589</v>
      </c>
      <c r="R5" t="s">
        <v>3583</v>
      </c>
      <c r="S5">
        <v>1</v>
      </c>
      <c r="T5">
        <v>0</v>
      </c>
    </row>
    <row r="6" spans="1:20" ht="34">
      <c r="A6" t="str">
        <f>('remet-mad'!E4)</f>
        <v>Cyanobacteria</v>
      </c>
      <c r="B6" t="str">
        <f>('remet-mad'!I4)</f>
        <v>Aphanocapsa</v>
      </c>
      <c r="C6" s="53" t="s">
        <v>237</v>
      </c>
      <c r="E6">
        <f>COUNTIF('remet-mad'!Q4:'remet-mad'!Q6,"&lt;=10")/COUNT('remet-mad'!Q4:'remet-mad'!Q6)</f>
        <v>1</v>
      </c>
      <c r="F6">
        <f>COUNTIFS('remet-mad'!Q4:'remet-mad'!Q6,"&gt;10",'remet-mad'!Q4:'remet-mad'!Q6,"&lt;=25")/COUNT('remet-mad'!Q4:'remet-mad'!Q6)</f>
        <v>0</v>
      </c>
      <c r="G6">
        <f>COUNTIFS('remet-mad'!Q4:'remet-mad'!Q6,"&gt;25",'remet-mad'!Q4:'remet-mad'!Q6,"&lt;=100")/COUNT('remet-mad'!Q4:'remet-mad'!Q6)</f>
        <v>0</v>
      </c>
      <c r="H6">
        <f>COUNTIFS('remet-mad'!Q4:'remet-mad'!Q6,"&gt;100")/COUNT('remet-mad'!Q4:'remet-mad'!Q6)</f>
        <v>0</v>
      </c>
      <c r="I6">
        <f>COUNTIF('remet-mad'!BH4:'remet-mad'!BH6,"&lt;=0.3")/COUNT('remet-mad'!BH4:'remet-mad'!BH6)</f>
        <v>1</v>
      </c>
      <c r="J6">
        <f>COUNTIFS('remet-mad'!BH4:'remet-mad'!BH6,"&gt;0.3",'remet-mad'!BH4:'remet-mad'!BH6,"&lt;=0.7")/COUNT('remet-mad'!BH4:'remet-mad'!BH6)</f>
        <v>0</v>
      </c>
      <c r="K6">
        <f>COUNTIFS('remet-mad'!BH4:'remet-mad'!BH6,"&gt;0.7",'remet-mad'!BH4:'remet-mad'!BH6,"&lt;=1.0")/COUNT('remet-mad'!BH4:'remet-mad'!BH6)</f>
        <v>0</v>
      </c>
      <c r="L6">
        <f>COUNTIFS('remet-mad'!BH4:'remet-mad'!BH6,"&gt;1.0",'remet-mad'!BH4:'remet-mad'!BH6,"&lt;=3.0")/COUNT('remet-mad'!BH4:'remet-mad'!BH6)</f>
        <v>0</v>
      </c>
      <c r="M6">
        <f>COUNTIFS('remet-mad'!BH4:'remet-mad'!BH6,"&gt;3")/COUNT('remet-mad'!BH4:'remet-mad'!BH6)</f>
        <v>0</v>
      </c>
      <c r="N6" s="64">
        <f>('remet-mad'!AM4)</f>
        <v>0.22</v>
      </c>
      <c r="O6">
        <f>COUNTIF('remet-mad'!Y4:'remet-mad'!Y6,"=1")/COUNT('remet-mad'!Y4:'remet-mad'!Y6)</f>
        <v>0.33333333333333331</v>
      </c>
      <c r="P6">
        <f>COUNTIF('remet-mad'!Y4:'remet-mad'!Y6,"&gt;1")/COUNT('remet-mad'!Y4:'remet-mad'!Y6)</f>
        <v>0.66666666666666663</v>
      </c>
      <c r="Q6" t="s">
        <v>3589</v>
      </c>
      <c r="R6" t="s">
        <v>3583</v>
      </c>
      <c r="S6">
        <v>0</v>
      </c>
      <c r="T6">
        <v>0</v>
      </c>
    </row>
    <row r="7" spans="1:20" ht="17">
      <c r="A7" t="str">
        <f>('remet-mad'!E7)</f>
        <v>Cyanobacteria</v>
      </c>
      <c r="B7" t="str">
        <f>('remet-mad'!I7)</f>
        <v>Aphanocapsa</v>
      </c>
      <c r="C7" s="53" t="s">
        <v>248</v>
      </c>
      <c r="E7">
        <f>COUNTIF('remet-mad'!Q7:'remet-mad'!Q9,"&lt;=10")/COUNT('remet-mad'!Q7:'remet-mad'!Q9)</f>
        <v>1</v>
      </c>
      <c r="F7">
        <f>COUNTIFS('remet-mad'!Q7:'remet-mad'!Q9,"&gt;10",'remet-mad'!Q7:'remet-mad'!Q9,"&lt;=25")/COUNT('remet-mad'!Q7:'remet-mad'!Q9)</f>
        <v>0</v>
      </c>
      <c r="G7">
        <f>COUNTIFS('remet-mad'!Q7:'remet-mad'!Q9,"&gt;25",'remet-mad'!Q7:'remet-mad'!Q9,"&lt;=100")/COUNT('remet-mad'!Q7:'remet-mad'!Q9)</f>
        <v>0</v>
      </c>
      <c r="H7">
        <f>COUNTIFS('remet-mad'!Q7:'remet-mad'!Q9,"&gt;100")/COUNT('remet-mad'!Q7:'remet-mad'!Q9)</f>
        <v>0</v>
      </c>
      <c r="I7">
        <f>COUNTIF('remet-mad'!BH7:'remet-mad'!BH9,"&lt;=0.3")/COUNT('remet-mad'!BH7:'remet-mad'!BH9)</f>
        <v>1</v>
      </c>
      <c r="J7">
        <f>COUNTIFS('remet-mad'!BH7:'remet-mad'!BH9,"&gt;0.3",'remet-mad'!BH7:'remet-mad'!BH9,"&lt;=0.7")/COUNT('remet-mad'!BH7:'remet-mad'!BH9)</f>
        <v>0</v>
      </c>
      <c r="K7">
        <f>COUNTIFS('remet-mad'!BH7:'remet-mad'!BH9,"&gt;0.7",'remet-mad'!BH7:'remet-mad'!BH9,"&lt;=1.0")/COUNT('remet-mad'!BH7:'remet-mad'!BH9)</f>
        <v>0</v>
      </c>
      <c r="L7">
        <f>COUNTIFS('remet-mad'!BH7:'remet-mad'!BH9,"&gt;1.0",'remet-mad'!BH7:'remet-mad'!BH9,"&lt;=3.0")/COUNT('remet-mad'!BH7:'remet-mad'!BH9)</f>
        <v>0</v>
      </c>
      <c r="M7">
        <f>COUNTIFS('remet-mad'!BH7:'remet-mad'!BH9,"&gt;3")/COUNT('remet-mad'!BH7:'remet-mad'!BH9)</f>
        <v>0</v>
      </c>
      <c r="N7" s="64">
        <f>('remet-mad'!AM7)</f>
        <v>0.22</v>
      </c>
      <c r="O7">
        <f>COUNTIF('remet-mad'!Y7:'remet-mad'!Y9,"=1")/COUNT('remet-mad'!Y7:'remet-mad'!Y9)</f>
        <v>0</v>
      </c>
      <c r="P7">
        <f>COUNTIF('remet-mad'!Y7:'remet-mad'!Y9,"&gt;1")/COUNT('remet-mad'!Y7:'remet-mad'!Y9)</f>
        <v>1</v>
      </c>
      <c r="Q7" t="s">
        <v>3589</v>
      </c>
      <c r="R7" t="s">
        <v>3583</v>
      </c>
      <c r="S7">
        <v>0</v>
      </c>
      <c r="T7">
        <v>0</v>
      </c>
    </row>
    <row r="8" spans="1:20" ht="17">
      <c r="A8" t="str">
        <f>('remet-mad'!E10)</f>
        <v>Cyanobacteria</v>
      </c>
      <c r="B8" t="str">
        <f>('remet-mad'!I10)</f>
        <v>Aphanothece</v>
      </c>
      <c r="C8" s="53" t="s">
        <v>3706</v>
      </c>
      <c r="E8">
        <f>COUNTIF('remet-mad'!Q10,"&lt;=10")</f>
        <v>1</v>
      </c>
      <c r="F8">
        <f>COUNTIFS('remet-mad'!Q10,"&gt;10",'remet-mad'!Q10,"&lt;=25")</f>
        <v>0</v>
      </c>
      <c r="G8">
        <f>COUNTIFS('remet-mad'!Q10,"&gt;25",'remet-mad'!Q10,"&lt;=100")</f>
        <v>0</v>
      </c>
      <c r="H8">
        <f>COUNTIFS('remet-mad'!Q10,"&gt;100")</f>
        <v>0</v>
      </c>
      <c r="I8" s="68">
        <f>COUNTIF('remet-mad'!BH10,"&lt;=0.3")</f>
        <v>1</v>
      </c>
      <c r="J8" s="68">
        <f>COUNTIFS('remet-mad'!BH10,"&gt;0.3",'remet-mad'!BH10,"&lt;=0.7")</f>
        <v>0</v>
      </c>
      <c r="K8" s="68">
        <f>COUNTIFS('remet-mad'!BH10,"&gt;0.7",'remet-mad'!BH10,"&lt;=1.0")</f>
        <v>0</v>
      </c>
      <c r="L8" s="68">
        <f>COUNTIFS('remet-mad'!BH10,"&gt;1.0",'remet-mad'!BH10,"&lt;=3.0")</f>
        <v>0</v>
      </c>
      <c r="M8" s="68">
        <f>COUNTIF('remet-mad'!BH10,"&gt;3.0")</f>
        <v>0</v>
      </c>
      <c r="N8" s="64">
        <f>('remet-mad'!AM10)</f>
        <v>0.22</v>
      </c>
      <c r="O8">
        <f>COUNTIF('remet-mad'!Y10,"=1")</f>
        <v>0</v>
      </c>
      <c r="P8">
        <f>COUNTIF('remet-mad'!Y10,"&gt;1")</f>
        <v>1</v>
      </c>
      <c r="Q8" t="s">
        <v>3589</v>
      </c>
      <c r="R8" t="s">
        <v>3583</v>
      </c>
      <c r="S8">
        <v>0</v>
      </c>
      <c r="T8">
        <v>0</v>
      </c>
    </row>
    <row r="9" spans="1:20" ht="34" customHeight="1">
      <c r="A9" t="str">
        <f>('remet-mad'!E11)</f>
        <v>Chlorophyta</v>
      </c>
      <c r="B9" t="str">
        <f>('remet-mad'!I11)</f>
        <v>Chlamydomonas</v>
      </c>
      <c r="C9" s="53" t="s">
        <v>45</v>
      </c>
      <c r="D9" s="78" t="s">
        <v>3794</v>
      </c>
      <c r="E9">
        <f>COUNTIF('remet-mad'!Q11:'remet-mad'!Q13,"&lt;=10")/COUNT('remet-mad'!Q11:'remet-mad'!Q13)</f>
        <v>0.33333333333333331</v>
      </c>
      <c r="F9">
        <f>COUNTIFS('remet-mad'!Q11:'remet-mad'!Q13,"&gt;10",'remet-mad'!Q11:'remet-mad'!Q13,"&lt;=25")/COUNT('remet-mad'!Q11:'remet-mad'!Q13)</f>
        <v>0.66666666666666663</v>
      </c>
      <c r="G9">
        <f>COUNTIFS('remet-mad'!Q11:'remet-mad'!Q13,"&gt;25",'remet-mad'!Q11:'remet-mad'!Q13,"&lt;=100")/COUNT('remet-mad'!Q11:'remet-mad'!Q13)</f>
        <v>0</v>
      </c>
      <c r="H9">
        <f>COUNTIFS('remet-mad'!Q11:'remet-mad'!Q13,"&gt;100")/COUNT('remet-mad'!Q11:'remet-mad'!Q13)</f>
        <v>0</v>
      </c>
      <c r="I9">
        <f>COUNTIF('remet-mad'!BH11:'remet-mad'!BH13,"&lt;=0.3")/COUNT('remet-mad'!BH11:'remet-mad'!BH13)</f>
        <v>0.33333333333333331</v>
      </c>
      <c r="J9">
        <f>COUNTIFS('remet-mad'!BH11:'remet-mad'!BH13,"&gt;0.3",'remet-mad'!BH11:'remet-mad'!BH13,"&lt;=0.7")/COUNT('remet-mad'!BH11:'remet-mad'!BH13)</f>
        <v>0</v>
      </c>
      <c r="K9">
        <f>COUNTIFS('remet-mad'!BH11:'remet-mad'!BH13,"&gt;0.7",'remet-mad'!BH11:'remet-mad'!BH13,"&lt;=1.0")/COUNT('remet-mad'!BH11:'remet-mad'!BH13)</f>
        <v>0.66666666666666663</v>
      </c>
      <c r="L9">
        <f>COUNTIFS('remet-mad'!BH11:'remet-mad'!BH13,"&gt;1.0",'remet-mad'!BH11:'remet-mad'!BH13,"&lt;=3.0")/COUNT('remet-mad'!BH11:'remet-mad'!BH13)</f>
        <v>0</v>
      </c>
      <c r="M9">
        <f>COUNTIFS('remet-mad'!BH11:'remet-mad'!BH13,"&gt;3")/COUNT('remet-mad'!BH11:'remet-mad'!BH13)</f>
        <v>0</v>
      </c>
      <c r="N9" s="64">
        <f>('remet-mad'!AM11)</f>
        <v>0.16</v>
      </c>
      <c r="O9">
        <f>COUNTIF('remet-mad'!Y11:'remet-mad'!Y13,"=1")/COUNT('remet-mad'!Y11:'remet-mad'!Y13)</f>
        <v>1</v>
      </c>
      <c r="P9">
        <f>COUNTIF('remet-mad'!Y11:'remet-mad'!Y13,"&gt;1")/COUNT('remet-mad'!Y11:'remet-mad'!Y13)</f>
        <v>0</v>
      </c>
      <c r="Q9" t="s">
        <v>3587</v>
      </c>
      <c r="R9" t="s">
        <v>3583</v>
      </c>
      <c r="S9">
        <v>0</v>
      </c>
      <c r="T9">
        <v>0</v>
      </c>
    </row>
    <row r="10" spans="1:20" ht="17">
      <c r="C10" s="53" t="s">
        <v>3590</v>
      </c>
    </row>
    <row r="11" spans="1:20" ht="17">
      <c r="C11" s="53" t="s">
        <v>326</v>
      </c>
    </row>
    <row r="12" spans="1:20" ht="17">
      <c r="A12" t="str">
        <f>('remet-mad'!E15)</f>
        <v>Cyanobacteria</v>
      </c>
      <c r="B12" t="str">
        <f>('remet-mad'!I15)</f>
        <v>Chroococcus</v>
      </c>
      <c r="C12" s="53" t="s">
        <v>334</v>
      </c>
      <c r="E12">
        <f>COUNTIF('remet-mad'!Q15:'remet-mad'!Q16,"&lt;=10")/COUNT('remet-mad'!Q15:'remet-mad'!Q16)</f>
        <v>1</v>
      </c>
      <c r="F12">
        <f>COUNTIFS('remet-mad'!Q15:'remet-mad'!Q16,"&gt;10",'remet-mad'!Q15:'remet-mad'!Q16,"&lt;=25")/COUNT('remet-mad'!Q15:'remet-mad'!Q16)</f>
        <v>0</v>
      </c>
      <c r="G12">
        <f>COUNTIFS('remet-mad'!Q15:'remet-mad'!Q16,"&gt;25",'remet-mad'!Q15:'remet-mad'!Q16,"&lt;=100")/COUNT('remet-mad'!Q15:'remet-mad'!Q16)</f>
        <v>0</v>
      </c>
      <c r="H12">
        <f>COUNTIFS('remet-mad'!Q15:'remet-mad'!Q16,"&gt;100")/COUNT('remet-mad'!Q15:'remet-mad'!Q16)</f>
        <v>0</v>
      </c>
      <c r="I12">
        <f>COUNTIF('remet-mad'!BH15:'remet-mad'!BH16,"&lt;=0.3")/COUNT('remet-mad'!BH15:'remet-mad'!BH16)</f>
        <v>1</v>
      </c>
      <c r="J12">
        <f>COUNTIFS('remet-mad'!BH15:'remet-mad'!BH16,"&gt;0.3",'remet-mad'!BH15:'remet-mad'!BH16,"&lt;=0.7")/COUNT('remet-mad'!BH15:'remet-mad'!BH16)</f>
        <v>0</v>
      </c>
      <c r="K12">
        <f>COUNTIFS('remet-mad'!BH15:'remet-mad'!BH16,"&gt;0.7",'remet-mad'!BH15:'remet-mad'!BH16,"&lt;=1.0")/COUNT('remet-mad'!BH15:'remet-mad'!BH16)</f>
        <v>0</v>
      </c>
      <c r="L12">
        <f>COUNTIFS('remet-mad'!BH15:'remet-mad'!BH16,"&gt;1.0",'remet-mad'!BH15:'remet-mad'!BH16,"&lt;=3.0")/COUNT('remet-mad'!BH15:'remet-mad'!BH16)</f>
        <v>0</v>
      </c>
      <c r="M12">
        <f>COUNTIFS('remet-mad'!BH15:'remet-mad'!BH16,"&gt;3")/COUNT('remet-mad'!BH15:'remet-mad'!BH16)</f>
        <v>0</v>
      </c>
      <c r="N12" s="64">
        <f>('remet-mad'!AM15)</f>
        <v>0.22</v>
      </c>
      <c r="O12">
        <f>COUNTIF('remet-mad'!Y15:'remet-mad'!Y16,"=1")/COUNT('remet-mad'!Y15:'remet-mad'!Y16)</f>
        <v>0</v>
      </c>
      <c r="P12">
        <f>COUNTIF('remet-mad'!Y15:'remet-mad'!Y16,"&gt;1")/COUNT('remet-mad'!Y15:'remet-mad'!Y16)</f>
        <v>1</v>
      </c>
      <c r="Q12" t="s">
        <v>3589</v>
      </c>
      <c r="R12" t="s">
        <v>3583</v>
      </c>
      <c r="S12">
        <v>0</v>
      </c>
      <c r="T12">
        <v>0</v>
      </c>
    </row>
    <row r="13" spans="1:20" ht="34">
      <c r="A13" t="str">
        <f>('remet-mad'!E17)</f>
        <v>Charophyta</v>
      </c>
      <c r="B13" t="str">
        <f>('remet-mad'!I17)</f>
        <v>Closterium</v>
      </c>
      <c r="C13" s="53" t="s">
        <v>3707</v>
      </c>
      <c r="E13">
        <f>COUNTIF('remet-mad'!Q17,"&lt;=10")</f>
        <v>0</v>
      </c>
      <c r="F13">
        <f>COUNTIFS('remet-mad'!Q17,"&gt;10",'remet-mad'!Q17,"&lt;=25")</f>
        <v>0</v>
      </c>
      <c r="G13">
        <f>COUNTIFS('remet-mad'!Q17,"&gt;25",'remet-mad'!Q17,"&lt;=100")</f>
        <v>0</v>
      </c>
      <c r="H13">
        <f>COUNTIFS('remet-mad'!Q17,"&gt;100")</f>
        <v>1</v>
      </c>
      <c r="I13" s="68">
        <f>COUNTIF('remet-mad'!BH17,"&lt;=0.3")</f>
        <v>0</v>
      </c>
      <c r="J13" s="68">
        <f>COUNTIFS('remet-mad'!BH17,"&gt;0.3",'remet-mad'!BH17,"&lt;=0.7")</f>
        <v>0</v>
      </c>
      <c r="K13" s="68">
        <f>COUNTIFS('remet-mad'!BH17,"&gt;0.7",'remet-mad'!BH17,"&lt;=1.0")</f>
        <v>0</v>
      </c>
      <c r="L13" s="68">
        <f>COUNTIFS('remet-mad'!BH17,"&gt;1.0",'remet-mad'!BH17,"&lt;=3.0")</f>
        <v>0</v>
      </c>
      <c r="M13" s="68">
        <f>COUNTIF('remet-mad'!BH17,"&gt;3.0")</f>
        <v>1</v>
      </c>
      <c r="N13" s="64">
        <f>('remet-mad'!AM17)</f>
        <v>0.11</v>
      </c>
      <c r="O13">
        <f>COUNTIF('remet-mad'!Y17,"=1")</f>
        <v>1</v>
      </c>
      <c r="P13">
        <f>COUNTIF('remet-mad'!Y17,"&gt;1")</f>
        <v>0</v>
      </c>
      <c r="Q13" t="s">
        <v>3589</v>
      </c>
      <c r="R13" t="s">
        <v>3583</v>
      </c>
      <c r="S13">
        <v>0</v>
      </c>
      <c r="T13">
        <v>0</v>
      </c>
    </row>
    <row r="14" spans="1:20" ht="111">
      <c r="A14" t="str">
        <f>('remet-mad'!E18)</f>
        <v>Cryptophyta</v>
      </c>
      <c r="B14" t="str">
        <f>('remet-mad'!I18)</f>
        <v>Cryptomonas</v>
      </c>
      <c r="C14" s="53" t="s">
        <v>3523</v>
      </c>
      <c r="D14" s="79" t="s">
        <v>3600</v>
      </c>
      <c r="E14">
        <f>COUNTIF('remet-mad'!Q18,"&lt;=10")</f>
        <v>0</v>
      </c>
      <c r="F14">
        <f>COUNTIFS('remet-mad'!Q18,"&gt;10",'remet-mad'!Q18,"&lt;=25")</f>
        <v>0</v>
      </c>
      <c r="G14">
        <f>COUNTIFS('remet-mad'!Q18,"&gt;25",'remet-mad'!Q18,"&lt;=100")</f>
        <v>1</v>
      </c>
      <c r="H14">
        <f>COUNTIFS('remet-mad'!Q18,"&gt;100")</f>
        <v>0</v>
      </c>
      <c r="I14" s="68">
        <f>COUNTIF('remet-mad'!BH18,"&lt;=0.3")</f>
        <v>0</v>
      </c>
      <c r="J14" s="68">
        <f>COUNTIFS('remet-mad'!BH18,"&gt;0.3",'remet-mad'!BH18,"&lt;=0.7")</f>
        <v>0</v>
      </c>
      <c r="K14" s="68">
        <f>COUNTIFS('remet-mad'!BH18,"&gt;0.7",'remet-mad'!BH18,"&lt;=1.0")</f>
        <v>1</v>
      </c>
      <c r="L14" s="68">
        <f>COUNTIFS('remet-mad'!BH18,"&gt;1.0",'remet-mad'!BH18,"&lt;=3.0")</f>
        <v>0</v>
      </c>
      <c r="M14" s="68">
        <f>COUNTIF('remet-mad'!BH18,"&gt;3.0")</f>
        <v>0</v>
      </c>
      <c r="N14" s="64">
        <v>0.11</v>
      </c>
      <c r="O14">
        <v>1</v>
      </c>
      <c r="P14">
        <v>0</v>
      </c>
      <c r="Q14" t="s">
        <v>3587</v>
      </c>
      <c r="R14" t="s">
        <v>3584</v>
      </c>
      <c r="S14">
        <v>0</v>
      </c>
      <c r="T14">
        <v>0</v>
      </c>
    </row>
    <row r="15" spans="1:20" ht="188">
      <c r="A15" t="str">
        <f>('remet-mad'!E19)</f>
        <v>Cyanobacteria</v>
      </c>
      <c r="B15" t="str">
        <f>('remet-mad'!I19)</f>
        <v>Cyanogranis</v>
      </c>
      <c r="C15" s="53" t="s">
        <v>3592</v>
      </c>
      <c r="D15" s="79" t="s">
        <v>3604</v>
      </c>
      <c r="E15">
        <f>COUNTIF('remet-mad'!Q19,"&lt;=10")</f>
        <v>1</v>
      </c>
      <c r="F15">
        <f>COUNTIFS('remet-mad'!Q19,"&gt;10",'remet-mad'!Q19,"&lt;=25")</f>
        <v>0</v>
      </c>
      <c r="G15">
        <f>COUNTIFS('remet-mad'!Q19,"&gt;25",'remet-mad'!Q19,"&lt;=100")</f>
        <v>0</v>
      </c>
      <c r="H15">
        <f>COUNTIFS('remet-mad'!Q19,"&gt;100")</f>
        <v>0</v>
      </c>
      <c r="I15" s="68">
        <f>COUNTIF('remet-mad'!BH19,"&lt;=0.3")</f>
        <v>1</v>
      </c>
      <c r="J15" s="68">
        <f>COUNTIFS('remet-mad'!BH19,"&gt;0.3",'remet-mad'!BH19,"&lt;=0.7")</f>
        <v>0</v>
      </c>
      <c r="K15" s="68">
        <f>COUNTIFS('remet-mad'!BH19,"&gt;0.7",'remet-mad'!BH19,"&lt;=1.0")</f>
        <v>0</v>
      </c>
      <c r="L15" s="68">
        <f>COUNTIFS('remet-mad'!BH19,"&gt;1.0",'remet-mad'!BH19,"&lt;=3.0")</f>
        <v>0</v>
      </c>
      <c r="M15" s="68">
        <f>COUNTIF('remet-mad'!BH19,"&gt;3.0")</f>
        <v>0</v>
      </c>
      <c r="N15" s="64">
        <f>('remet-mad'!AM19)</f>
        <v>0.22</v>
      </c>
      <c r="O15">
        <v>1</v>
      </c>
      <c r="P15">
        <v>0</v>
      </c>
      <c r="Q15" t="s">
        <v>3589</v>
      </c>
      <c r="R15" t="s">
        <v>3583</v>
      </c>
      <c r="S15">
        <v>0</v>
      </c>
      <c r="T15">
        <v>0</v>
      </c>
    </row>
    <row r="16" spans="1:20" ht="34">
      <c r="A16" t="str">
        <f>('remet-mad'!E20)</f>
        <v>Bacillariophyta</v>
      </c>
      <c r="B16" t="str">
        <f>('remet-mad'!I20)</f>
        <v>Diatoma</v>
      </c>
      <c r="C16" s="53" t="s">
        <v>1731</v>
      </c>
      <c r="D16" s="79" t="s">
        <v>3601</v>
      </c>
      <c r="E16">
        <f>COUNTIF('remet-mad'!Q20,"&lt;=10")</f>
        <v>0</v>
      </c>
      <c r="F16">
        <f>COUNTIFS('remet-mad'!Q20,"&gt;10",'remet-mad'!Q20,"&lt;=25")</f>
        <v>0</v>
      </c>
      <c r="G16">
        <f>COUNTIFS('remet-mad'!Q20,"&gt;25",'remet-mad'!Q20,"&lt;=100")</f>
        <v>0</v>
      </c>
      <c r="H16">
        <f>COUNTIFS('remet-mad'!Q20,"&gt;100")</f>
        <v>1</v>
      </c>
      <c r="I16" s="68">
        <f>COUNTIF('remet-mad'!BH20,"&lt;=0.3")</f>
        <v>0</v>
      </c>
      <c r="J16" s="68">
        <f>COUNTIFS('remet-mad'!BH20,"&gt;0.3",'remet-mad'!BH20,"&lt;=0.7")</f>
        <v>0</v>
      </c>
      <c r="K16" s="68">
        <f>COUNTIFS('remet-mad'!BH20,"&gt;0.7",'remet-mad'!BH20,"&lt;=1.0")</f>
        <v>1</v>
      </c>
      <c r="L16" s="68">
        <f>COUNTIFS('remet-mad'!BH20,"&gt;1.0",'remet-mad'!BH20,"&lt;=3.0")</f>
        <v>0</v>
      </c>
      <c r="M16" s="68">
        <f>COUNTIF('remet-mad'!BH20,"&gt;3.0")</f>
        <v>0</v>
      </c>
      <c r="N16" s="64">
        <f>('remet-mad'!AM20)</f>
        <v>0.11</v>
      </c>
      <c r="O16">
        <f>COUNTIF('remet-mad'!Y20,"=1")</f>
        <v>1</v>
      </c>
      <c r="P16">
        <f>COUNTIF('remet-mad'!Y20,"&gt;1")</f>
        <v>0</v>
      </c>
      <c r="Q16" t="s">
        <v>3589</v>
      </c>
      <c r="R16" t="s">
        <v>3584</v>
      </c>
      <c r="S16">
        <v>0</v>
      </c>
      <c r="T16">
        <v>1</v>
      </c>
    </row>
    <row r="17" spans="1:20" ht="34">
      <c r="A17" t="str">
        <f>('remet-mad'!E21)</f>
        <v>Chlorophyta</v>
      </c>
      <c r="B17" t="str">
        <f>('remet-mad'!I21)</f>
        <v>Dictyosphaerium</v>
      </c>
      <c r="C17" s="53" t="s">
        <v>2503</v>
      </c>
      <c r="E17">
        <f>COUNTIF('remet-mad'!Q21,"&lt;=10")</f>
        <v>1</v>
      </c>
      <c r="F17">
        <f>COUNTIFS('remet-mad'!Q21,"&gt;10",'remet-mad'!Q21,"&lt;=25")</f>
        <v>0</v>
      </c>
      <c r="G17">
        <f>COUNTIFS('remet-mad'!Q21,"&gt;25",'remet-mad'!Q21,"&lt;=100")</f>
        <v>0</v>
      </c>
      <c r="H17">
        <f>COUNTIFS('remet-mad'!Q21,"&gt;100")</f>
        <v>0</v>
      </c>
      <c r="I17" s="68">
        <f>COUNTIF('remet-mad'!BH21,"&lt;=0.3")</f>
        <v>0</v>
      </c>
      <c r="J17" s="68">
        <f>COUNTIFS('remet-mad'!BH21,"&gt;0.3",'remet-mad'!BH21,"&lt;=0.7")</f>
        <v>1</v>
      </c>
      <c r="K17" s="68">
        <f>COUNTIFS('remet-mad'!BH21,"&gt;0.7",'remet-mad'!BH21,"&lt;=1.0")</f>
        <v>0</v>
      </c>
      <c r="L17" s="68">
        <f>COUNTIFS('remet-mad'!BH21,"&gt;1.0",'remet-mad'!BH21,"&lt;=3.0")</f>
        <v>0</v>
      </c>
      <c r="M17" s="68">
        <f>COUNTIF('remet-mad'!BH21,"&gt;3.0")</f>
        <v>0</v>
      </c>
      <c r="N17" s="64">
        <f>('remet-mad'!AM21)</f>
        <v>0.16</v>
      </c>
      <c r="O17">
        <f>COUNTIF('remet-mad'!Y21,"=1")</f>
        <v>0</v>
      </c>
      <c r="P17">
        <f>COUNTIF('remet-mad'!Y21,"&gt;1")</f>
        <v>1</v>
      </c>
      <c r="Q17" t="s">
        <v>3589</v>
      </c>
      <c r="R17" t="s">
        <v>3583</v>
      </c>
      <c r="S17">
        <v>0</v>
      </c>
      <c r="T17">
        <v>0</v>
      </c>
    </row>
    <row r="18" spans="1:20" ht="17">
      <c r="A18" t="str">
        <f>('remet-mad'!E22)</f>
        <v>Haptophyta</v>
      </c>
      <c r="B18" t="str">
        <f>('remet-mad'!I22)</f>
        <v>Erkenia</v>
      </c>
      <c r="C18" s="53" t="s">
        <v>1152</v>
      </c>
      <c r="E18">
        <f>COUNTIF('remet-mad'!Q22,"&lt;=10")</f>
        <v>1</v>
      </c>
      <c r="F18">
        <f>COUNTIFS('remet-mad'!Q22,"&gt;10",'remet-mad'!Q22,"&lt;=25")</f>
        <v>0</v>
      </c>
      <c r="G18">
        <f>COUNTIFS('remet-mad'!Q22,"&gt;25",'remet-mad'!Q22,"&lt;=100")</f>
        <v>0</v>
      </c>
      <c r="H18">
        <f>COUNTIFS('remet-mad'!Q22,"&gt;100")</f>
        <v>0</v>
      </c>
      <c r="I18" s="68">
        <f>COUNTIF('remet-mad'!BH22,"&lt;=0.3")</f>
        <v>1</v>
      </c>
      <c r="J18" s="68">
        <f>COUNTIFS('remet-mad'!BH22,"&gt;0.3",'remet-mad'!BH22,"&lt;=0.7")</f>
        <v>0</v>
      </c>
      <c r="K18" s="68">
        <f>COUNTIFS('remet-mad'!BH22,"&gt;0.7",'remet-mad'!BH22,"&lt;=1.0")</f>
        <v>0</v>
      </c>
      <c r="L18" s="68">
        <f>COUNTIFS('remet-mad'!BH22,"&gt;1.0",'remet-mad'!BH22,"&lt;=3.0")</f>
        <v>0</v>
      </c>
      <c r="M18" s="68">
        <f>COUNTIF('remet-mad'!BH22,"&gt;3.0")</f>
        <v>0</v>
      </c>
      <c r="N18" s="64">
        <f>('remet-mad'!AM22)</f>
        <v>0.11</v>
      </c>
      <c r="O18">
        <f>COUNTIF('remet-mad'!Y22,"=1")</f>
        <v>1</v>
      </c>
      <c r="P18">
        <f>COUNTIF('remet-mad'!Y22,"&gt;1")</f>
        <v>0</v>
      </c>
      <c r="Q18" t="s">
        <v>3587</v>
      </c>
      <c r="R18" t="s">
        <v>3584</v>
      </c>
      <c r="S18">
        <v>0</v>
      </c>
      <c r="T18">
        <v>0</v>
      </c>
    </row>
    <row r="19" spans="1:20" ht="17">
      <c r="A19" t="str">
        <f>('remet-mad'!E23)</f>
        <v>Bacillariophyta</v>
      </c>
      <c r="B19" t="str">
        <f>('remet-mad'!I23)</f>
        <v>Fragilaria</v>
      </c>
      <c r="C19" s="53" t="s">
        <v>1829</v>
      </c>
      <c r="E19">
        <f>COUNTIF('remet-mad'!Q23:'remet-mad'!Q25,"&lt;=10")/COUNT('remet-mad'!Q23:'remet-mad'!Q25)</f>
        <v>0</v>
      </c>
      <c r="F19">
        <f>COUNTIFS('remet-mad'!Q23:'remet-mad'!Q25,"&gt;10",'remet-mad'!Q23:'remet-mad'!Q25,"&lt;=25")/COUNT('remet-mad'!Q23:'remet-mad'!Q25)</f>
        <v>1</v>
      </c>
      <c r="G19">
        <f>COUNTIFS('remet-mad'!Q23:'remet-mad'!Q25,"&gt;25",'remet-mad'!Q23:'remet-mad'!Q25,"&lt;=100")/COUNT('remet-mad'!Q23:'remet-mad'!Q25)</f>
        <v>0</v>
      </c>
      <c r="H19">
        <f>COUNTIFS('remet-mad'!Q23:'remet-mad'!Q25,"&gt;100")/COUNT('remet-mad'!Q23:'remet-mad'!Q25)</f>
        <v>0</v>
      </c>
      <c r="I19">
        <f>COUNTIF('remet-mad'!BH23:'remet-mad'!BH25,"&lt;=0.3")/COUNT('remet-mad'!BH23:'remet-mad'!BH25)</f>
        <v>0</v>
      </c>
      <c r="J19">
        <f>COUNTIFS('remet-mad'!BH23:'remet-mad'!BH25,"&gt;0.3",'remet-mad'!BH23:'remet-mad'!BH25,"&lt;=0.7")/COUNT('remet-mad'!BH23:'remet-mad'!BH25)</f>
        <v>1</v>
      </c>
      <c r="K19">
        <f>COUNTIFS('remet-mad'!BH23:'remet-mad'!BH25,"&gt;0.7",'remet-mad'!BH23:'remet-mad'!BH25,"&lt;=1.0")/COUNT('remet-mad'!BH23:'remet-mad'!BH25)</f>
        <v>0</v>
      </c>
      <c r="L19">
        <f>COUNTIFS('remet-mad'!BH23:'remet-mad'!BH25,"&gt;1.0",'remet-mad'!BH23:'remet-mad'!BH25,"&lt;=3.0")/COUNT('remet-mad'!BH23:'remet-mad'!BH25)</f>
        <v>0</v>
      </c>
      <c r="M19">
        <f>COUNTIFS('remet-mad'!BH23:'remet-mad'!BH25,"&gt;3")/COUNT('remet-mad'!BH23:'remet-mad'!BH25)</f>
        <v>0</v>
      </c>
      <c r="N19" s="64">
        <f>('remet-mad'!AM23)</f>
        <v>0.11</v>
      </c>
      <c r="O19">
        <f>COUNTIF('remet-mad'!Y23:'remet-mad'!Y25,"=1")/COUNT('remet-mad'!Y23:'remet-mad'!Y25)</f>
        <v>1</v>
      </c>
      <c r="P19">
        <f>COUNTIF('remet-mad'!Y23:'remet-mad'!Y25,"&gt;1")/COUNT('remet-mad'!Y23:'remet-mad'!Y25)</f>
        <v>0</v>
      </c>
      <c r="Q19" t="s">
        <v>3589</v>
      </c>
      <c r="R19" t="s">
        <v>3584</v>
      </c>
      <c r="S19">
        <v>0</v>
      </c>
      <c r="T19">
        <v>1</v>
      </c>
    </row>
    <row r="20" spans="1:20" ht="17">
      <c r="C20" s="53" t="s">
        <v>3708</v>
      </c>
    </row>
    <row r="21" spans="1:20" ht="17">
      <c r="A21" t="str">
        <f>('remet-mad'!E27)</f>
        <v>Cyanobacteria</v>
      </c>
      <c r="B21" t="str">
        <f>('remet-mad'!I27)</f>
        <v>Planktolyngbya</v>
      </c>
      <c r="C21" s="53" t="s">
        <v>3709</v>
      </c>
      <c r="E21">
        <f>COUNTIF('remet-mad'!Q27,"&lt;=10")</f>
        <v>1</v>
      </c>
      <c r="F21">
        <f>COUNTIFS('remet-mad'!Q27,"&gt;10",'remet-mad'!Q27,"&lt;=25")</f>
        <v>0</v>
      </c>
      <c r="G21">
        <f>COUNTIFS('remet-mad'!Q27,"&gt;25",'remet-mad'!Q27,"&lt;=100")</f>
        <v>0</v>
      </c>
      <c r="H21">
        <f>COUNTIFS('remet-mad'!Q27,"&gt;100")</f>
        <v>0</v>
      </c>
      <c r="I21" s="68">
        <f>COUNTIF('remet-mad'!BH27,"&lt;=0.3")</f>
        <v>1</v>
      </c>
      <c r="J21" s="68">
        <f>COUNTIFS('remet-mad'!BH27,"&gt;0.3",'remet-mad'!BH27,"&lt;=0.7")</f>
        <v>0</v>
      </c>
      <c r="K21" s="68">
        <f>COUNTIFS('remet-mad'!BH27,"&gt;0.7",'remet-mad'!BH27,"&lt;=1.0")</f>
        <v>0</v>
      </c>
      <c r="L21" s="68">
        <f>COUNTIFS('remet-mad'!BH27,"&gt;1.0",'remet-mad'!BH27,"&lt;=3.0")</f>
        <v>0</v>
      </c>
      <c r="M21" s="68">
        <f>COUNTIF('remet-mad'!BH27,"&gt;3.0")</f>
        <v>0</v>
      </c>
      <c r="N21" s="64">
        <f>('remet-mad'!AM27)</f>
        <v>0.22</v>
      </c>
      <c r="O21">
        <f>COUNTIF('remet-mad'!Y27,"=1")</f>
        <v>0</v>
      </c>
      <c r="P21">
        <f>COUNTIF('remet-mad'!Y27,"&gt;1")</f>
        <v>1</v>
      </c>
      <c r="Q21" t="s">
        <v>3587</v>
      </c>
      <c r="R21" t="s">
        <v>3583</v>
      </c>
      <c r="S21">
        <v>0</v>
      </c>
      <c r="T21">
        <v>0</v>
      </c>
    </row>
    <row r="22" spans="1:20" ht="17">
      <c r="C22" s="53" t="s">
        <v>1203</v>
      </c>
    </row>
    <row r="23" spans="1:20" ht="34">
      <c r="A23" t="str">
        <f>('remet-mad'!E29)</f>
        <v>Cyanobacteria</v>
      </c>
      <c r="B23" t="str">
        <f>('remet-mad'!I29)</f>
        <v>Merismopedia</v>
      </c>
      <c r="C23" s="53" t="s">
        <v>503</v>
      </c>
      <c r="E23">
        <f>COUNTIF('remet-mad'!Q29,"&lt;=10")</f>
        <v>1</v>
      </c>
      <c r="F23">
        <f>COUNTIFS('remet-mad'!Q29,"&gt;10",'remet-mad'!Q29,"&lt;=25")</f>
        <v>0</v>
      </c>
      <c r="G23">
        <f>COUNTIFS('remet-mad'!Q29,"&gt;25",'remet-mad'!Q29,"&lt;=100")</f>
        <v>0</v>
      </c>
      <c r="H23">
        <f>COUNTIFS('remet-mad'!Q29,"&gt;100")</f>
        <v>0</v>
      </c>
      <c r="I23" s="68">
        <f>COUNTIF('remet-mad'!BH29,"&lt;=0.3")</f>
        <v>1</v>
      </c>
      <c r="J23" s="68">
        <f>COUNTIFS('remet-mad'!BH29,"&gt;0.3",'remet-mad'!BH29,"&lt;=0.7")</f>
        <v>0</v>
      </c>
      <c r="K23" s="68">
        <f>COUNTIFS('remet-mad'!BH29,"&gt;0.7",'remet-mad'!BH29,"&lt;=1.0")</f>
        <v>0</v>
      </c>
      <c r="L23" s="68">
        <f>COUNTIFS('remet-mad'!BH29,"&gt;1.0",'remet-mad'!BH29,"&lt;=3.0")</f>
        <v>0</v>
      </c>
      <c r="M23" s="68">
        <f>COUNTIF('remet-mad'!BH29,"&gt;3.0")</f>
        <v>0</v>
      </c>
      <c r="N23" s="64">
        <f>('remet-mad'!AM29)</f>
        <v>0.22</v>
      </c>
      <c r="O23">
        <f>COUNTIF('remet-mad'!Y29,"=1")</f>
        <v>0</v>
      </c>
      <c r="P23">
        <f>COUNTIF('remet-mad'!Y29,"&gt;1")</f>
        <v>1</v>
      </c>
      <c r="Q23" t="s">
        <v>3587</v>
      </c>
      <c r="R23" t="s">
        <v>3583</v>
      </c>
      <c r="S23">
        <v>0</v>
      </c>
      <c r="T23">
        <v>0</v>
      </c>
    </row>
    <row r="24" spans="1:20" ht="17">
      <c r="A24" t="str">
        <f>('remet-mad'!E30)</f>
        <v>Cyanobacteria</v>
      </c>
      <c r="B24" t="str">
        <f>('remet-mad'!I30)</f>
        <v>Microcystis</v>
      </c>
      <c r="C24" s="53" t="s">
        <v>506</v>
      </c>
      <c r="E24">
        <f>COUNTIF('remet-mad'!Q30:'remet-mad'!Q31,"&lt;=10")/COUNT('remet-mad'!Q30:'remet-mad'!Q31)</f>
        <v>1</v>
      </c>
      <c r="F24">
        <f>COUNTIFS('remet-mad'!Q30:'remet-mad'!Q31,"&gt;10",'remet-mad'!Q30:'remet-mad'!Q31,"&lt;=25")/COUNT('remet-mad'!Q30:'remet-mad'!Q31)</f>
        <v>0</v>
      </c>
      <c r="G24">
        <f>COUNTIFS('remet-mad'!Q30:'remet-mad'!Q31,"&gt;25",'remet-mad'!Q30:'remet-mad'!Q31,"&lt;=100")/COUNT('remet-mad'!Q30:'remet-mad'!Q31)</f>
        <v>0</v>
      </c>
      <c r="H24">
        <f>COUNTIFS('remet-mad'!Q30:'remet-mad'!Q31,"&gt;100")/COUNT('remet-mad'!Q30:'remet-mad'!Q31)</f>
        <v>0</v>
      </c>
      <c r="I24">
        <f>COUNTIF('remet-mad'!BH30:'remet-mad'!BH31,"&lt;=0.3")/COUNT('remet-mad'!BH30:'remet-mad'!BH31)</f>
        <v>0</v>
      </c>
      <c r="J24">
        <f>COUNTIFS('remet-mad'!BH30:'remet-mad'!BH31,"&gt;0.3",'remet-mad'!BH30:'remet-mad'!BH31,"&lt;=0.7")/COUNT('remet-mad'!BH30:'remet-mad'!BH31)</f>
        <v>0</v>
      </c>
      <c r="K24">
        <f>COUNTIFS('remet-mad'!BH30:'remet-mad'!BH31,"&gt;0.7",'remet-mad'!BH30:'remet-mad'!BH31,"&lt;=1.0")/COUNT('remet-mad'!BH30:'remet-mad'!BH31)</f>
        <v>1</v>
      </c>
      <c r="L24">
        <f>COUNTIFS('remet-mad'!BH30:'remet-mad'!BH31,"&gt;1.0",'remet-mad'!BH30:'remet-mad'!BH31,"&lt;=3.0")/COUNT('remet-mad'!BH30:'remet-mad'!BH31)</f>
        <v>0</v>
      </c>
      <c r="M24">
        <f>COUNTIFS('remet-mad'!BH30:'remet-mad'!BH31,"&gt;3")/COUNT('remet-mad'!BH30:'remet-mad'!BH31)</f>
        <v>0</v>
      </c>
      <c r="N24" s="64">
        <f>('remet-mad'!AM30)</f>
        <v>0.22</v>
      </c>
      <c r="O24">
        <f>COUNTIF('remet-mad'!Y30:'remet-mad'!Y31,"=1")/COUNT('remet-mad'!Y30:'remet-mad'!Y31)</f>
        <v>0.5</v>
      </c>
      <c r="P24">
        <f>COUNTIF('remet-mad'!Y30:'remet-mad'!Y31,"&gt;1")/COUNT('remet-mad'!Y30:'remet-mad'!Y31)</f>
        <v>0.5</v>
      </c>
      <c r="Q24" t="s">
        <v>3589</v>
      </c>
      <c r="R24" t="s">
        <v>3584</v>
      </c>
      <c r="S24">
        <v>0</v>
      </c>
      <c r="T24">
        <v>0</v>
      </c>
    </row>
    <row r="25" spans="1:20" ht="34">
      <c r="A25" t="str">
        <f>('remet-mad'!E32)</f>
        <v>Cyanobacteria</v>
      </c>
      <c r="B25" t="str">
        <f>('remet-mad'!I32)</f>
        <v>Microcystis</v>
      </c>
      <c r="C25" s="53" t="s">
        <v>518</v>
      </c>
      <c r="E25">
        <f>COUNTIF('remet-mad'!Q32,"&lt;=10")</f>
        <v>1</v>
      </c>
      <c r="F25">
        <f>COUNTIFS('remet-mad'!Q32,"&gt;10",'remet-mad'!Q32,"&lt;=25")</f>
        <v>0</v>
      </c>
      <c r="G25">
        <f>COUNTIFS('remet-mad'!Q32,"&gt;25",'remet-mad'!Q32,"&lt;=100")</f>
        <v>0</v>
      </c>
      <c r="H25">
        <f>COUNTIFS('remet-mad'!Q32,"&gt;100")</f>
        <v>0</v>
      </c>
      <c r="I25" s="68">
        <f>COUNTIF('remet-mad'!BH32,"&lt;=0.3")</f>
        <v>0</v>
      </c>
      <c r="J25" s="68">
        <f>COUNTIFS('remet-mad'!BH32,"&gt;0.3",'remet-mad'!BH32,"&lt;=0.7")</f>
        <v>0</v>
      </c>
      <c r="K25" s="68">
        <f>COUNTIFS('remet-mad'!BH32,"&gt;0.7",'remet-mad'!BH32,"&lt;=1.0")</f>
        <v>1</v>
      </c>
      <c r="L25" s="68">
        <f>COUNTIFS('remet-mad'!BH32,"&gt;1.0",'remet-mad'!BH32,"&lt;=3.0")</f>
        <v>0</v>
      </c>
      <c r="M25" s="68">
        <f>COUNTIF('remet-mad'!BH32,"&gt;3.0")</f>
        <v>0</v>
      </c>
      <c r="N25" s="64">
        <f>('remet-mad'!AM32)</f>
        <v>0.22</v>
      </c>
      <c r="O25">
        <f>COUNTIF('remet-mad'!Y32,"=1")</f>
        <v>0</v>
      </c>
      <c r="P25">
        <f>COUNTIF('remet-mad'!Y32,"&gt;1")</f>
        <v>1</v>
      </c>
      <c r="Q25" t="s">
        <v>3589</v>
      </c>
      <c r="R25" t="s">
        <v>3583</v>
      </c>
      <c r="S25">
        <v>0</v>
      </c>
      <c r="T25">
        <v>0</v>
      </c>
    </row>
    <row r="26" spans="1:20" ht="17">
      <c r="C26" s="53" t="s">
        <v>3593</v>
      </c>
    </row>
    <row r="27" spans="1:20" ht="34">
      <c r="A27" t="str">
        <f>('remet-mad'!E34)</f>
        <v>Chlorophyta</v>
      </c>
      <c r="B27" t="str">
        <f>('remet-mad'!I34)</f>
        <v>Monoraphidium</v>
      </c>
      <c r="C27" s="53" t="s">
        <v>2691</v>
      </c>
      <c r="E27">
        <f>COUNTIF('remet-mad'!Q34,"&lt;=10")</f>
        <v>0</v>
      </c>
      <c r="F27">
        <f>COUNTIFS('remet-mad'!Q34,"&gt;10",'remet-mad'!Q34,"&lt;=25")</f>
        <v>0</v>
      </c>
      <c r="G27">
        <f>COUNTIFS('remet-mad'!Q34,"&gt;25",'remet-mad'!Q34,"&lt;=100")</f>
        <v>1</v>
      </c>
      <c r="H27">
        <f>COUNTIFS('remet-mad'!Q34,"&gt;100")</f>
        <v>0</v>
      </c>
      <c r="I27" s="68">
        <f>COUNTIF('remet-mad'!BH34,"&lt;=0.3")</f>
        <v>1</v>
      </c>
      <c r="J27" s="68">
        <f>COUNTIFS('remet-mad'!BH34,"&gt;0.3",'remet-mad'!BH34,"&lt;=0.7")</f>
        <v>0</v>
      </c>
      <c r="K27" s="68">
        <f>COUNTIFS('remet-mad'!BH34,"&gt;0.7",'remet-mad'!BH34,"&lt;=1.0")</f>
        <v>0</v>
      </c>
      <c r="L27" s="68">
        <f>COUNTIFS('remet-mad'!BH34,"&gt;1.0",'remet-mad'!BH34,"&lt;=3.0")</f>
        <v>0</v>
      </c>
      <c r="M27" s="68">
        <f>COUNTIF('remet-mad'!BH34,"&gt;3.0")</f>
        <v>0</v>
      </c>
      <c r="N27" s="64">
        <f>('remet-mad'!AM34)</f>
        <v>0.16</v>
      </c>
      <c r="O27">
        <f>COUNTIF('remet-mad'!Y34,"=1")</f>
        <v>1</v>
      </c>
      <c r="P27">
        <f>COUNTIF('remet-mad'!Y34,"&gt;1")</f>
        <v>0</v>
      </c>
      <c r="Q27" t="s">
        <v>3589</v>
      </c>
      <c r="R27" t="s">
        <v>3583</v>
      </c>
      <c r="S27" s="64">
        <v>0</v>
      </c>
      <c r="T27">
        <v>0</v>
      </c>
    </row>
    <row r="28" spans="1:20" ht="34">
      <c r="A28" t="str">
        <f>('remet-mad'!E35)</f>
        <v>Chlorophyta</v>
      </c>
      <c r="B28" t="str">
        <f>('remet-mad'!I35)</f>
        <v>Selenastrum</v>
      </c>
      <c r="C28" s="53" t="s">
        <v>3594</v>
      </c>
      <c r="D28" s="80" t="s">
        <v>3034</v>
      </c>
      <c r="E28">
        <f>COUNTIF('remet-mad'!Q35,"&lt;=10")</f>
        <v>1</v>
      </c>
      <c r="F28">
        <f>COUNTIFS('remet-mad'!Q35,"&gt;10",'remet-mad'!Q35,"&lt;=25")</f>
        <v>0</v>
      </c>
      <c r="G28">
        <f>COUNTIFS('remet-mad'!Q35,"&gt;25",'remet-mad'!Q35,"&lt;=100")</f>
        <v>0</v>
      </c>
      <c r="H28">
        <f>COUNTIFS('remet-mad'!Q35,"&gt;100")</f>
        <v>0</v>
      </c>
      <c r="I28" s="68">
        <f>COUNTIF('remet-mad'!BH35,"&lt;=0.3")</f>
        <v>1</v>
      </c>
      <c r="J28" s="68">
        <f>COUNTIFS('remet-mad'!BH35,"&gt;0.3",'remet-mad'!BH35,"&lt;=0.7")</f>
        <v>0</v>
      </c>
      <c r="K28" s="68">
        <f>COUNTIFS('remet-mad'!BH35,"&gt;0.7",'remet-mad'!BH35,"&lt;=1.0")</f>
        <v>0</v>
      </c>
      <c r="L28" s="68">
        <f>COUNTIFS('remet-mad'!BH35,"&gt;1.0",'remet-mad'!BH35,"&lt;=3.0")</f>
        <v>0</v>
      </c>
      <c r="M28" s="68">
        <f>COUNTIF('remet-mad'!BH35,"&gt;3.0")</f>
        <v>0</v>
      </c>
      <c r="N28" s="64">
        <f>('remet-mad'!AM35)</f>
        <v>0.16</v>
      </c>
      <c r="O28">
        <f>COUNTIF('remet-mad'!Y35,"=1")</f>
        <v>1</v>
      </c>
      <c r="P28">
        <f>COUNTIF('remet-mad'!Y35,"&gt;1")</f>
        <v>0</v>
      </c>
      <c r="Q28" t="s">
        <v>3589</v>
      </c>
      <c r="R28" t="s">
        <v>3583</v>
      </c>
      <c r="S28">
        <v>0</v>
      </c>
      <c r="T28">
        <v>0</v>
      </c>
    </row>
    <row r="29" spans="1:20" ht="17">
      <c r="A29" t="str">
        <f>('remet-mad'!E36)</f>
        <v>Bacillariophyta</v>
      </c>
      <c r="B29" t="str">
        <f>('remet-mad'!I36)</f>
        <v>Nitzschia</v>
      </c>
      <c r="C29" s="53" t="s">
        <v>2018</v>
      </c>
      <c r="E29">
        <f>COUNTIF('remet-mad'!Q36,"&lt;=10")</f>
        <v>0</v>
      </c>
      <c r="F29">
        <f>COUNTIFS('remet-mad'!Q36,"&gt;10",'remet-mad'!Q36,"&lt;=25")</f>
        <v>0</v>
      </c>
      <c r="G29">
        <f>COUNTIFS('remet-mad'!Q36,"&gt;25",'remet-mad'!Q36,"&lt;=100")</f>
        <v>1</v>
      </c>
      <c r="H29">
        <f>COUNTIFS('remet-mad'!Q36,"&gt;100")</f>
        <v>0</v>
      </c>
      <c r="I29" s="68">
        <f>COUNTIF('remet-mad'!BH36,"&lt;=0.3")</f>
        <v>0</v>
      </c>
      <c r="J29" s="68">
        <f>COUNTIFS('remet-mad'!BH36,"&gt;0.3",'remet-mad'!BH36,"&lt;=0.7")</f>
        <v>1</v>
      </c>
      <c r="K29" s="68">
        <f>COUNTIFS('remet-mad'!BH36,"&gt;0.7",'remet-mad'!BH36,"&lt;=1.0")</f>
        <v>0</v>
      </c>
      <c r="L29" s="68">
        <f>COUNTIFS('remet-mad'!BH36,"&gt;1.0",'remet-mad'!BH36,"&lt;=3.0")</f>
        <v>0</v>
      </c>
      <c r="M29" s="68">
        <f>COUNTIF('remet-mad'!BH36,"&gt;3.0")</f>
        <v>0</v>
      </c>
      <c r="N29" s="64">
        <f>('remet-mad'!AM36)</f>
        <v>0.11</v>
      </c>
      <c r="O29">
        <f>COUNTIF('remet-mad'!Y36,"=1")</f>
        <v>1</v>
      </c>
      <c r="P29">
        <f>COUNTIF('remet-mad'!Y36,"&gt;1")</f>
        <v>0</v>
      </c>
      <c r="Q29" t="s">
        <v>3586</v>
      </c>
      <c r="R29" t="s">
        <v>3584</v>
      </c>
      <c r="S29">
        <v>0</v>
      </c>
      <c r="T29">
        <v>1</v>
      </c>
    </row>
    <row r="30" spans="1:20" ht="17">
      <c r="A30" t="str">
        <f>('remet-mad'!E37)</f>
        <v>Chlorophyta</v>
      </c>
      <c r="B30" t="str">
        <f>('remet-mad'!I37)</f>
        <v>Oocystis</v>
      </c>
      <c r="C30" s="53" t="s">
        <v>2764</v>
      </c>
      <c r="E30">
        <f>COUNTIF('remet-mad'!Q37,"&lt;=10")</f>
        <v>1</v>
      </c>
      <c r="F30">
        <f>COUNTIFS('remet-mad'!Q37,"&gt;10",'remet-mad'!Q37,"&lt;=25")</f>
        <v>0</v>
      </c>
      <c r="G30">
        <f>COUNTIFS('remet-mad'!Q37,"&gt;25",'remet-mad'!Q37,"&lt;=100")</f>
        <v>0</v>
      </c>
      <c r="H30">
        <f>COUNTIFS('remet-mad'!Q37,"&gt;100")</f>
        <v>0</v>
      </c>
      <c r="I30" s="68">
        <f>COUNTIF('remet-mad'!BH37,"&lt;=0.3")</f>
        <v>1</v>
      </c>
      <c r="J30" s="68">
        <f>COUNTIFS('remet-mad'!BH37,"&gt;0.3",'remet-mad'!BH37,"&lt;=0.7")</f>
        <v>0</v>
      </c>
      <c r="K30" s="68">
        <f>COUNTIFS('remet-mad'!BH37,"&gt;0.7",'remet-mad'!BH37,"&lt;=1.0")</f>
        <v>0</v>
      </c>
      <c r="L30" s="68">
        <f>COUNTIFS('remet-mad'!BH37,"&gt;1.0",'remet-mad'!BH37,"&lt;=3.0")</f>
        <v>0</v>
      </c>
      <c r="M30" s="68">
        <f>COUNTIF('remet-mad'!BH37,"&gt;3.0")</f>
        <v>0</v>
      </c>
      <c r="N30" s="64">
        <f>('remet-mad'!AM37)</f>
        <v>0.16</v>
      </c>
      <c r="O30">
        <f>COUNTIF('remet-mad'!Y37,"=1")</f>
        <v>0</v>
      </c>
      <c r="P30">
        <f>COUNTIF('remet-mad'!Y37,"&gt;1")</f>
        <v>1</v>
      </c>
      <c r="Q30" t="s">
        <v>3589</v>
      </c>
      <c r="R30" t="s">
        <v>3583</v>
      </c>
      <c r="S30">
        <v>0</v>
      </c>
      <c r="T30">
        <v>0</v>
      </c>
    </row>
    <row r="31" spans="1:20" ht="23">
      <c r="A31" t="str">
        <f>('remet-mad'!E38)</f>
        <v>Cyanobacteria</v>
      </c>
      <c r="B31" t="str">
        <f>('remet-mad'!I38)</f>
        <v>Pseudanabaena</v>
      </c>
      <c r="C31" s="53" t="s">
        <v>3710</v>
      </c>
      <c r="D31" s="81" t="s">
        <v>583</v>
      </c>
      <c r="E31">
        <f>COUNTIF('remet-mad'!Q38,"&lt;=10")</f>
        <v>1</v>
      </c>
      <c r="F31">
        <f>COUNTIFS('remet-mad'!Q38,"&gt;10",'remet-mad'!Q38,"&lt;=25")</f>
        <v>0</v>
      </c>
      <c r="G31">
        <f>COUNTIFS('remet-mad'!Q38,"&gt;25",'remet-mad'!Q38,"&lt;=100")</f>
        <v>0</v>
      </c>
      <c r="H31">
        <f>COUNTIFS('remet-mad'!Q38,"&gt;100")</f>
        <v>0</v>
      </c>
      <c r="I31" s="68">
        <f>COUNTIF('remet-mad'!BH38,"&lt;=0.3")</f>
        <v>0</v>
      </c>
      <c r="J31" s="68">
        <f>COUNTIFS('remet-mad'!BH38,"&gt;0.3",'remet-mad'!BH38,"&lt;=0.7")</f>
        <v>1</v>
      </c>
      <c r="K31" s="68">
        <f>COUNTIFS('remet-mad'!BH38,"&gt;0.7",'remet-mad'!BH38,"&lt;=1.0")</f>
        <v>0</v>
      </c>
      <c r="L31" s="68">
        <f>COUNTIFS('remet-mad'!BH38,"&gt;1.0",'remet-mad'!BH38,"&lt;=3.0")</f>
        <v>0</v>
      </c>
      <c r="M31" s="68">
        <f>COUNTIF('remet-mad'!BH38,"&gt;3.0")</f>
        <v>0</v>
      </c>
      <c r="N31" s="64">
        <f>('remet-mad'!AM38)</f>
        <v>0.22</v>
      </c>
      <c r="O31">
        <f>COUNTIF('remet-mad'!Y38,"=1")</f>
        <v>0</v>
      </c>
      <c r="P31">
        <f>COUNTIF('remet-mad'!Y38,"&gt;1")</f>
        <v>1</v>
      </c>
      <c r="Q31" t="s">
        <v>3589</v>
      </c>
      <c r="R31" t="s">
        <v>3583</v>
      </c>
      <c r="S31">
        <v>0</v>
      </c>
      <c r="T31">
        <v>0</v>
      </c>
    </row>
    <row r="32" spans="1:20" ht="17">
      <c r="A32" t="str">
        <f>('remet-mad'!E39)</f>
        <v>Chlorophyta</v>
      </c>
      <c r="B32" t="str">
        <f>('remet-mad'!O39)</f>
        <v>Chlorophycées</v>
      </c>
      <c r="C32" s="53" t="s">
        <v>2810</v>
      </c>
      <c r="E32">
        <f>COUNTIF('remet-mad'!Q39:'remet-mad'!Q40,"&lt;=10")/COUNT('remet-mad'!Q39:'remet-mad'!Q40)</f>
        <v>0</v>
      </c>
      <c r="F32">
        <f>COUNTIFS('remet-mad'!Q39:'remet-mad'!Q40,"&gt;10",'remet-mad'!Q39:'remet-mad'!Q40,"&lt;=25")/COUNT('remet-mad'!Q39:'remet-mad'!Q40)</f>
        <v>1</v>
      </c>
      <c r="G32">
        <f>COUNTIFS('remet-mad'!Q39:'remet-mad'!Q40,"&gt;25",'remet-mad'!Q39:'remet-mad'!Q40,"&lt;=100")/COUNT('remet-mad'!Q39:'remet-mad'!Q40)</f>
        <v>0</v>
      </c>
      <c r="H32">
        <f>COUNTIFS('remet-mad'!Q39:'remet-mad'!Q40,"&gt;100")/COUNT('remet-mad'!Q39:'remet-mad'!Q40)</f>
        <v>0</v>
      </c>
      <c r="I32">
        <f>COUNTIF('remet-mad'!BH39:'remet-mad'!BH40,"&lt;=0.3")/COUNT('remet-mad'!BH39:'remet-mad'!BH40)</f>
        <v>1</v>
      </c>
      <c r="J32">
        <f>COUNTIFS('remet-mad'!BH39:'remet-mad'!BH40,"&gt;0.3",'remet-mad'!BH39:'remet-mad'!BH40,"&lt;=0.7")/COUNT('remet-mad'!BH39:'remet-mad'!BH40)</f>
        <v>0</v>
      </c>
      <c r="K32">
        <f>COUNTIFS('remet-mad'!BH39:'remet-mad'!BH40,"&gt;0.7",'remet-mad'!BH39:'remet-mad'!BH40,"&lt;=1.0")/COUNT('remet-mad'!BH39:'remet-mad'!BH40)</f>
        <v>0</v>
      </c>
      <c r="L32">
        <f>COUNTIFS('remet-mad'!BH39:'remet-mad'!BH40,"&gt;1.0",'remet-mad'!BH39:'remet-mad'!BH40,"&lt;=3.0")/COUNT('remet-mad'!BH39:'remet-mad'!BH40)</f>
        <v>0</v>
      </c>
      <c r="M32">
        <f>COUNTIFS('remet-mad'!BH39:'remet-mad'!BH40,"&gt;3")/COUNT('remet-mad'!BH39:'remet-mad'!BH40)</f>
        <v>0</v>
      </c>
      <c r="N32" s="64">
        <f>('remet-mad'!AM39)</f>
        <v>0.16</v>
      </c>
      <c r="O32">
        <f>COUNTIF('remet-mad'!Y39:'remet-mad'!Y40,"=1")/COUNT('remet-mad'!Y39:'remet-mad'!Y40)</f>
        <v>0</v>
      </c>
      <c r="P32">
        <f>COUNTIF('remet-mad'!Y39:'remet-mad'!Y40,"&gt;1")/COUNT('remet-mad'!Y39:'remet-mad'!Y40)</f>
        <v>1</v>
      </c>
      <c r="Q32" t="s">
        <v>3589</v>
      </c>
      <c r="R32" t="s">
        <v>3583</v>
      </c>
      <c r="S32">
        <v>0</v>
      </c>
      <c r="T32">
        <v>0</v>
      </c>
    </row>
    <row r="33" spans="1:20" ht="17">
      <c r="A33" t="str">
        <f>('remet-mad'!E40)</f>
        <v>Chlorophyta</v>
      </c>
      <c r="B33" t="str">
        <f>('remet-mad'!I40)</f>
        <v>Pediastrum</v>
      </c>
      <c r="C33" s="53" t="s">
        <v>2822</v>
      </c>
      <c r="E33">
        <f>COUNTIF('remet-mad'!Q41,"&lt;=10")</f>
        <v>0</v>
      </c>
      <c r="F33">
        <f>COUNTIFS('remet-mad'!Q41,"&gt;10",'remet-mad'!Q41,"&lt;=25")</f>
        <v>1</v>
      </c>
      <c r="G33">
        <f>COUNTIFS('remet-mad'!Q41,"&gt;25",'remet-mad'!Q41,"&lt;=100")</f>
        <v>0</v>
      </c>
      <c r="H33">
        <f>COUNTIFS('remet-mad'!Q41,"&gt;100")</f>
        <v>0</v>
      </c>
      <c r="I33" s="68">
        <f>COUNTIF('remet-mad'!BH41,"&lt;=0.3")</f>
        <v>1</v>
      </c>
      <c r="J33" s="68">
        <f>COUNTIFS('remet-mad'!BH41,"&gt;0.3",'remet-mad'!BH41,"&lt;=0.7")</f>
        <v>0</v>
      </c>
      <c r="K33" s="68">
        <f>COUNTIFS('remet-mad'!BH41,"&gt;0.7",'remet-mad'!BH41,"&lt;=1.0")</f>
        <v>0</v>
      </c>
      <c r="L33" s="68">
        <f>COUNTIFS('remet-mad'!BH41,"&gt;1.0",'remet-mad'!BH41,"&lt;=3.0")</f>
        <v>0</v>
      </c>
      <c r="M33" s="68">
        <f>COUNTIF('remet-mad'!BH41,"&gt;3.0")</f>
        <v>0</v>
      </c>
      <c r="N33" s="64">
        <f>('remet-mad'!AM41)</f>
        <v>0.16</v>
      </c>
      <c r="O33">
        <f>COUNTIF('remet-mad'!Y41,"=1")</f>
        <v>1</v>
      </c>
      <c r="P33">
        <f>COUNTIF('remet-mad'!Y41,"&gt;1")</f>
        <v>0</v>
      </c>
      <c r="Q33" t="s">
        <v>3587</v>
      </c>
      <c r="R33" t="s">
        <v>3583</v>
      </c>
      <c r="S33">
        <v>0</v>
      </c>
      <c r="T33">
        <v>0</v>
      </c>
    </row>
    <row r="34" spans="1:20" ht="23">
      <c r="A34" t="str">
        <f>('remet-mad'!E42)</f>
        <v>Cyanobacteria</v>
      </c>
      <c r="B34" t="str">
        <f>('remet-mad'!I42)</f>
        <v>Pseudanabaena</v>
      </c>
      <c r="C34" s="53" t="s">
        <v>3595</v>
      </c>
      <c r="D34" s="81" t="s">
        <v>587</v>
      </c>
      <c r="E34">
        <f>COUNTIF('remet-mad'!Q42,"&lt;=10")</f>
        <v>1</v>
      </c>
      <c r="F34">
        <f>COUNTIFS('remet-mad'!Q42,"&gt;10",'remet-mad'!Q42,"&lt;=25")</f>
        <v>0</v>
      </c>
      <c r="G34">
        <f>COUNTIFS('remet-mad'!Q42,"&gt;25",'remet-mad'!Q42,"&lt;=100")</f>
        <v>0</v>
      </c>
      <c r="H34">
        <f>COUNTIFS('remet-mad'!Q42,"&gt;100")</f>
        <v>0</v>
      </c>
      <c r="I34" s="68">
        <f>COUNTIF('remet-mad'!BH42,"&lt;=0.3")</f>
        <v>0</v>
      </c>
      <c r="J34" s="68">
        <f>COUNTIFS('remet-mad'!BH42,"&gt;0.3",'remet-mad'!BH42,"&lt;=0.7")</f>
        <v>1</v>
      </c>
      <c r="K34" s="68">
        <f>COUNTIFS('remet-mad'!BH42,"&gt;0.7",'remet-mad'!BH42,"&lt;=1.0")</f>
        <v>0</v>
      </c>
      <c r="L34" s="68">
        <f>COUNTIFS('remet-mad'!BH42,"&gt;1.0",'remet-mad'!BH42,"&lt;=3.0")</f>
        <v>0</v>
      </c>
      <c r="M34" s="68">
        <f>COUNTIF('remet-mad'!BH42,"&gt;3.0")</f>
        <v>0</v>
      </c>
      <c r="N34" s="64">
        <f>('remet-mad'!AM42)</f>
        <v>0.22</v>
      </c>
      <c r="O34">
        <f>COUNTIF('remet-mad'!Y42,"=1")</f>
        <v>0</v>
      </c>
      <c r="P34">
        <f>COUNTIF('remet-mad'!Y42,"&gt;1")</f>
        <v>1</v>
      </c>
      <c r="Q34" t="s">
        <v>3589</v>
      </c>
      <c r="R34" t="s">
        <v>3583</v>
      </c>
      <c r="S34">
        <v>0</v>
      </c>
      <c r="T34">
        <v>0</v>
      </c>
    </row>
    <row r="35" spans="1:20" ht="34">
      <c r="C35" s="53" t="s">
        <v>3596</v>
      </c>
    </row>
    <row r="36" spans="1:20" ht="17">
      <c r="A36" t="str">
        <f>('remet-mad'!E44)</f>
        <v>Chlorophyta</v>
      </c>
      <c r="B36" t="str">
        <f>('remet-mad'!I44)</f>
        <v>Quadrigula</v>
      </c>
      <c r="C36" s="53" t="s">
        <v>2881</v>
      </c>
      <c r="E36">
        <f>COUNTIF('remet-mad'!Q44,"&lt;=10")</f>
        <v>0</v>
      </c>
      <c r="F36">
        <f>COUNTIFS('remet-mad'!Q44,"&gt;10",'remet-mad'!Q44,"&lt;=25")</f>
        <v>1</v>
      </c>
      <c r="G36">
        <f>COUNTIFS('remet-mad'!Q44,"&gt;25",'remet-mad'!Q44,"&lt;=100")</f>
        <v>0</v>
      </c>
      <c r="H36">
        <f>COUNTIFS('remet-mad'!Q44,"&gt;100")</f>
        <v>0</v>
      </c>
      <c r="I36" s="68">
        <f>COUNTIF('remet-mad'!BH44,"&lt;=0.3")</f>
        <v>1</v>
      </c>
      <c r="J36" s="68">
        <f>COUNTIFS('remet-mad'!BH44,"&gt;0.3",'remet-mad'!BH44,"&lt;=0.7")</f>
        <v>0</v>
      </c>
      <c r="K36" s="68">
        <f>COUNTIFS('remet-mad'!BH44,"&gt;0.7",'remet-mad'!BH44,"&lt;=1.0")</f>
        <v>0</v>
      </c>
      <c r="L36" s="68">
        <f>COUNTIFS('remet-mad'!BH44,"&gt;1.0",'remet-mad'!BH44,"&lt;=3.0")</f>
        <v>0</v>
      </c>
      <c r="M36" s="68">
        <f>COUNTIF('remet-mad'!BH44,"&gt;3.0")</f>
        <v>0</v>
      </c>
      <c r="N36" s="64">
        <f>('remet-mad'!AM44)</f>
        <v>0.16</v>
      </c>
      <c r="O36">
        <f>COUNTIF('remet-mad'!Y44,"=1")</f>
        <v>0</v>
      </c>
      <c r="P36">
        <f>COUNTIF('remet-mad'!Y44,"&gt;1")</f>
        <v>1</v>
      </c>
      <c r="Q36" t="s">
        <v>3589</v>
      </c>
      <c r="R36" t="s">
        <v>3583</v>
      </c>
      <c r="S36">
        <v>0</v>
      </c>
      <c r="T36">
        <v>0</v>
      </c>
    </row>
    <row r="37" spans="1:20" ht="17">
      <c r="A37" t="str">
        <f>('remet-mad'!E45)</f>
        <v>Cryptophyta</v>
      </c>
      <c r="B37" t="str">
        <f>('remet-mad'!I45)</f>
        <v>Rhodomonas</v>
      </c>
      <c r="C37" s="53" t="s">
        <v>855</v>
      </c>
      <c r="E37">
        <f>COUNTIF('remet-mad'!Q45,"&lt;=10")</f>
        <v>0</v>
      </c>
      <c r="F37">
        <f>COUNTIFS('remet-mad'!Q45,"&gt;10",'remet-mad'!Q45,"&lt;=25")</f>
        <v>1</v>
      </c>
      <c r="G37">
        <f>COUNTIFS('remet-mad'!Q45,"&gt;25",'remet-mad'!Q45,"&lt;=100")</f>
        <v>0</v>
      </c>
      <c r="H37">
        <f>COUNTIFS('remet-mad'!Q45,"&gt;100")</f>
        <v>0</v>
      </c>
      <c r="I37" s="68">
        <f>COUNTIF('remet-mad'!BH45,"&lt;=0.3")</f>
        <v>0</v>
      </c>
      <c r="J37" s="68">
        <f>COUNTIFS('remet-mad'!BH45,"&gt;0.3",'remet-mad'!BH45,"&lt;=0.7")</f>
        <v>1</v>
      </c>
      <c r="K37" s="68">
        <f>COUNTIFS('remet-mad'!BH45,"&gt;0.7",'remet-mad'!BH45,"&lt;=1.0")</f>
        <v>0</v>
      </c>
      <c r="L37" s="68">
        <f>COUNTIFS('remet-mad'!BH45,"&gt;1.0",'remet-mad'!BH45,"&lt;=3.0")</f>
        <v>0</v>
      </c>
      <c r="M37" s="68">
        <f>COUNTIF('remet-mad'!BH45,"&gt;3.0")</f>
        <v>0</v>
      </c>
      <c r="N37" s="64">
        <f>('remet-mad'!AM45)</f>
        <v>0.11</v>
      </c>
      <c r="O37">
        <f>COUNTIF('remet-mad'!Y45,"=1")</f>
        <v>1</v>
      </c>
      <c r="P37">
        <f>COUNTIF('remet-mad'!Y45,"&gt;1")</f>
        <v>0</v>
      </c>
      <c r="Q37" t="s">
        <v>3587</v>
      </c>
      <c r="R37" t="s">
        <v>3584</v>
      </c>
      <c r="S37">
        <v>0</v>
      </c>
      <c r="T37">
        <v>0</v>
      </c>
    </row>
    <row r="38" spans="1:20" ht="34">
      <c r="A38" t="str">
        <f>('remet-mad'!E46)</f>
        <v>Cryptophyta</v>
      </c>
      <c r="B38" t="str">
        <f>('remet-mad'!I46)</f>
        <v>Rhodomonas</v>
      </c>
      <c r="C38" s="53" t="s">
        <v>857</v>
      </c>
      <c r="E38">
        <f>COUNTIF('remet-mad'!Q46,"&lt;=10")</f>
        <v>1</v>
      </c>
      <c r="F38">
        <f>COUNTIFS('remet-mad'!Q46,"&gt;10",'remet-mad'!Q46,"&lt;=25")</f>
        <v>0</v>
      </c>
      <c r="G38">
        <f>COUNTIFS('remet-mad'!Q46,"&gt;25",'remet-mad'!Q46,"&lt;=100")</f>
        <v>0</v>
      </c>
      <c r="H38">
        <f>COUNTIFS('remet-mad'!Q46,"&gt;100")</f>
        <v>0</v>
      </c>
      <c r="I38" s="68">
        <f>COUNTIF('remet-mad'!BH46,"&lt;=0.3")</f>
        <v>1</v>
      </c>
      <c r="J38" s="68">
        <f>COUNTIFS('remet-mad'!BH46,"&gt;0.3",'remet-mad'!BH46,"&lt;=0.7")</f>
        <v>0</v>
      </c>
      <c r="K38" s="68">
        <f>COUNTIFS('remet-mad'!BH46,"&gt;0.7",'remet-mad'!BH46,"&lt;=1.0")</f>
        <v>0</v>
      </c>
      <c r="L38" s="68">
        <f>COUNTIFS('remet-mad'!BH46,"&gt;1.0",'remet-mad'!BH46,"&lt;=3.0")</f>
        <v>0</v>
      </c>
      <c r="M38" s="68">
        <f>COUNTIF('remet-mad'!BH46,"&gt;3.0")</f>
        <v>0</v>
      </c>
      <c r="N38" s="64">
        <f>('remet-mad'!AM46)</f>
        <v>0.11</v>
      </c>
      <c r="O38">
        <f>COUNTIF('remet-mad'!Y46,"=1")</f>
        <v>1</v>
      </c>
      <c r="P38">
        <f>COUNTIF('remet-mad'!Y46,"&gt;1")</f>
        <v>0</v>
      </c>
      <c r="Q38" t="s">
        <v>3587</v>
      </c>
      <c r="R38" t="s">
        <v>3584</v>
      </c>
      <c r="S38">
        <v>0</v>
      </c>
      <c r="T38">
        <v>0</v>
      </c>
    </row>
    <row r="39" spans="1:20" ht="17">
      <c r="A39" t="str">
        <f>('remet-mad'!E47)</f>
        <v>Chlorophyta</v>
      </c>
      <c r="B39" t="str">
        <f>('remet-mad'!I47)</f>
        <v>Ankyra</v>
      </c>
      <c r="C39" s="53" t="s">
        <v>3711</v>
      </c>
      <c r="D39" s="81" t="s">
        <v>2273</v>
      </c>
      <c r="E39">
        <f>COUNTIF('remet-mad'!Q47,"&lt;=10")</f>
        <v>0</v>
      </c>
      <c r="F39">
        <f>COUNTIFS('remet-mad'!Q47,"&gt;10",'remet-mad'!Q47,"&lt;=25")</f>
        <v>1</v>
      </c>
      <c r="G39">
        <f>COUNTIFS('remet-mad'!Q47,"&gt;25",'remet-mad'!Q47,"&lt;=100")</f>
        <v>0</v>
      </c>
      <c r="H39">
        <f>COUNTIFS('remet-mad'!Q47,"&gt;100")</f>
        <v>0</v>
      </c>
      <c r="I39" s="68">
        <f>COUNTIF('remet-mad'!BH47,"&lt;=0.3")</f>
        <v>1</v>
      </c>
      <c r="J39" s="68">
        <f>COUNTIFS('remet-mad'!BH47,"&gt;0.3",'remet-mad'!BH47,"&lt;=0.7")</f>
        <v>0</v>
      </c>
      <c r="K39" s="68">
        <f>COUNTIFS('remet-mad'!BH47,"&gt;0.7",'remet-mad'!BH47,"&lt;=1.0")</f>
        <v>0</v>
      </c>
      <c r="L39" s="68">
        <f>COUNTIFS('remet-mad'!BH47,"&gt;1.0",'remet-mad'!BH47,"&lt;=3.0")</f>
        <v>0</v>
      </c>
      <c r="M39" s="68">
        <f>COUNTIF('remet-mad'!BH47,"&gt;3.0")</f>
        <v>0</v>
      </c>
      <c r="N39" s="64">
        <f>('remet-mad'!AM47)</f>
        <v>0.16</v>
      </c>
      <c r="O39">
        <f>COUNTIF('remet-mad'!Y47,"=1")</f>
        <v>1</v>
      </c>
      <c r="P39">
        <f>COUNTIF('remet-mad'!Y47,"&gt;1")</f>
        <v>0</v>
      </c>
      <c r="Q39" t="s">
        <v>3589</v>
      </c>
      <c r="R39" t="s">
        <v>3584</v>
      </c>
      <c r="S39">
        <v>0</v>
      </c>
      <c r="T39">
        <v>0</v>
      </c>
    </row>
    <row r="40" spans="1:20" ht="34">
      <c r="A40" t="str">
        <f>('remet-mad'!E48)</f>
        <v>Chlorophyta</v>
      </c>
      <c r="B40" t="str">
        <f>('remet-mad'!I48)</f>
        <v>Sphaerocystis</v>
      </c>
      <c r="C40" s="53" t="s">
        <v>3055</v>
      </c>
      <c r="E40">
        <f>COUNTIF('remet-mad'!Q48:'remet-mad'!Q49,"&lt;=10")/COUNT('remet-mad'!Q48:'remet-mad'!Q49)</f>
        <v>1</v>
      </c>
      <c r="F40">
        <f>COUNTIFS('remet-mad'!Q48:'remet-mad'!Q49,"&gt;10",'remet-mad'!Q48:'remet-mad'!Q49,"&lt;=25")/COUNT('remet-mad'!Q48:'remet-mad'!Q49)</f>
        <v>0</v>
      </c>
      <c r="G40">
        <f>COUNTIFS('remet-mad'!Q48:'remet-mad'!Q49,"&gt;25",'remet-mad'!Q48:'remet-mad'!Q49,"&lt;=100")/COUNT('remet-mad'!Q48:'remet-mad'!Q49)</f>
        <v>0</v>
      </c>
      <c r="H40">
        <f>COUNTIFS('remet-mad'!Q48:'remet-mad'!Q49,"&gt;100")/COUNT('remet-mad'!Q48:'remet-mad'!Q49)</f>
        <v>0</v>
      </c>
      <c r="I40">
        <f>COUNTIF('remet-mad'!BH48:'remet-mad'!BH49,"&lt;=0.3")/COUNT('remet-mad'!BH48:'remet-mad'!BH49)</f>
        <v>0.5</v>
      </c>
      <c r="J40">
        <f>COUNTIFS('remet-mad'!BH48:'remet-mad'!BH49,"&gt;0.3",'remet-mad'!BH48:'remet-mad'!BH49,"&lt;=0.7")/COUNT('remet-mad'!BH48:'remet-mad'!BH49)</f>
        <v>0.5</v>
      </c>
      <c r="K40">
        <f>COUNTIFS('remet-mad'!BH48:'remet-mad'!BH49,"&gt;0.7",'remet-mad'!BH48:'remet-mad'!BH49,"&lt;=1.0")/COUNT('remet-mad'!BH48:'remet-mad'!BH49)</f>
        <v>0</v>
      </c>
      <c r="L40">
        <f>COUNTIFS('remet-mad'!BH48:'remet-mad'!BH49,"&gt;1.0",'remet-mad'!BH48:'remet-mad'!BH49,"&lt;=3.0")/COUNT('remet-mad'!BH48:'remet-mad'!BH49)</f>
        <v>0</v>
      </c>
      <c r="M40">
        <f>COUNTIFS('remet-mad'!BH48:'remet-mad'!BH49,"&gt;3")/COUNT('remet-mad'!BH48:'remet-mad'!BH49)</f>
        <v>0</v>
      </c>
      <c r="N40" s="64">
        <f>('remet-mad'!AM48)</f>
        <v>0.16</v>
      </c>
      <c r="O40">
        <f>COUNTIF('remet-mad'!Y48:'remet-mad'!Y49,"=1")/COUNT('remet-mad'!Y48:'remet-mad'!Y49)</f>
        <v>0.5</v>
      </c>
      <c r="P40">
        <f>COUNTIF('remet-mad'!Y48:'remet-mad'!Y49,"&gt;1")/COUNT('remet-mad'!Y48:'remet-mad'!Y49)</f>
        <v>0.5</v>
      </c>
      <c r="Q40" t="s">
        <v>3589</v>
      </c>
      <c r="R40" t="s">
        <v>3583</v>
      </c>
      <c r="S40">
        <v>0</v>
      </c>
      <c r="T40">
        <v>0</v>
      </c>
    </row>
    <row r="41" spans="1:20" ht="34">
      <c r="A41" t="str">
        <f>('remet-mad'!E50)</f>
        <v>Bacillariophyta</v>
      </c>
      <c r="B41" t="str">
        <f>('remet-mad'!I50)</f>
        <v>Stephanodiscus</v>
      </c>
      <c r="C41" s="53" t="s">
        <v>3712</v>
      </c>
      <c r="D41" s="76" t="s">
        <v>3602</v>
      </c>
      <c r="E41">
        <f>COUNTIF('remet-mad'!Q50,"&lt;=10")</f>
        <v>0</v>
      </c>
      <c r="F41">
        <f>COUNTIFS('remet-mad'!Q50,"&gt;10",'remet-mad'!Q50,"&lt;=25")</f>
        <v>0</v>
      </c>
      <c r="G41">
        <f>COUNTIFS('remet-mad'!Q50,"&gt;25",'remet-mad'!Q50,"&lt;=100")</f>
        <v>1</v>
      </c>
      <c r="H41">
        <f>COUNTIFS('remet-mad'!Q50,"&gt;100")</f>
        <v>0</v>
      </c>
      <c r="I41" s="68">
        <f>COUNTIF('remet-mad'!BH50,"&lt;=0.3")</f>
        <v>0</v>
      </c>
      <c r="J41" s="68">
        <f>COUNTIFS('remet-mad'!BH50,"&gt;0.3",'remet-mad'!BH50,"&lt;=0.7")</f>
        <v>0</v>
      </c>
      <c r="K41" s="68">
        <f>COUNTIFS('remet-mad'!BH50,"&gt;0.7",'remet-mad'!BH50,"&lt;=1.0")</f>
        <v>0</v>
      </c>
      <c r="L41" s="68">
        <f>COUNTIFS('remet-mad'!BH50,"&gt;1.0",'remet-mad'!BH50,"&lt;=3.0")</f>
        <v>1</v>
      </c>
      <c r="M41" s="68">
        <f>COUNTIF('remet-mad'!BH50,"&gt;3.0")</f>
        <v>0</v>
      </c>
      <c r="N41" s="64">
        <f>('remet-mad'!AM50)</f>
        <v>0.11</v>
      </c>
      <c r="O41">
        <f>COUNTIF('remet-mad'!Y50,"=1")</f>
        <v>0</v>
      </c>
      <c r="P41">
        <f>COUNTIF('remet-mad'!Y50,"&gt;1")</f>
        <v>0</v>
      </c>
      <c r="Q41" t="s">
        <v>3589</v>
      </c>
      <c r="R41" t="s">
        <v>3584</v>
      </c>
      <c r="S41">
        <v>0</v>
      </c>
      <c r="T41">
        <v>1</v>
      </c>
    </row>
    <row r="42" spans="1:20" ht="17">
      <c r="A42" t="str">
        <f>('remet-mad'!E51)</f>
        <v>Cyanobacteria</v>
      </c>
      <c r="B42" t="str">
        <f>('remet-mad'!I51)</f>
        <v>Synechocystis</v>
      </c>
      <c r="C42" s="53" t="s">
        <v>634</v>
      </c>
      <c r="E42">
        <f>COUNTIF('remet-mad'!Q51:'remet-mad'!Q55,"&lt;=10")/COUNT('remet-mad'!Q51:'remet-mad'!Q55)</f>
        <v>0.8</v>
      </c>
      <c r="F42">
        <f>COUNTIFS('remet-mad'!Q51:'remet-mad'!Q55,"&gt;10",'remet-mad'!Q51:'remet-mad'!Q55,"&lt;=25")/COUNT('remet-mad'!Q51:'remet-mad'!Q55)</f>
        <v>0.2</v>
      </c>
      <c r="G42">
        <f>COUNTIFS('remet-mad'!Q51:'remet-mad'!Q55,"&gt;25",'remet-mad'!Q51:'remet-mad'!Q55,"&lt;=100")/COUNT('remet-mad'!Q51:'remet-mad'!Q55)</f>
        <v>0</v>
      </c>
      <c r="H42">
        <f>COUNTIFS('remet-mad'!Q51:'remet-mad'!Q55,"&gt;100")/COUNT('remet-mad'!Q51:'remet-mad'!Q55)</f>
        <v>0</v>
      </c>
      <c r="I42">
        <f>COUNTIF('remet-mad'!BH51:'remet-mad'!BH55,"&lt;=0.3")/COUNT('remet-mad'!BH51:'remet-mad'!BH55)</f>
        <v>0.2</v>
      </c>
      <c r="J42">
        <f>COUNTIFS('remet-mad'!BH51:'remet-mad'!BH55,"&gt;0.3",'remet-mad'!BH51:'remet-mad'!BH55,"&lt;=0.7")/COUNT('remet-mad'!BH51:'remet-mad'!BH55)</f>
        <v>0.4</v>
      </c>
      <c r="K42">
        <f>COUNTIFS('remet-mad'!BH51:'remet-mad'!BH55,"&gt;0.7",'remet-mad'!BH51:'remet-mad'!BH55,"&lt;=1.0")/COUNT('remet-mad'!BH51:'remet-mad'!BH55)</f>
        <v>0.4</v>
      </c>
      <c r="L42">
        <f>COUNTIFS('remet-mad'!BH51:'remet-mad'!BH55,"&gt;1.0",'remet-mad'!BH51:'remet-mad'!BH55,"&lt;=3.0")/COUNT('remet-mad'!BH51:'remet-mad'!BH55)</f>
        <v>0</v>
      </c>
      <c r="M42">
        <f>COUNTIFS('remet-mad'!BH51:'remet-mad'!BH55,"&gt;3")/COUNT('remet-mad'!BH51:'remet-mad'!BH55)</f>
        <v>0</v>
      </c>
      <c r="N42" s="64">
        <f>('remet-mad'!AM51)</f>
        <v>0.22</v>
      </c>
      <c r="O42">
        <f>COUNTIF('remet-mad'!Y51:'remet-mad'!Y55,"=1")/COUNT('remet-mad'!Y51:'remet-mad'!Y55)</f>
        <v>1</v>
      </c>
      <c r="P42">
        <f>COUNTIF('remet-mad'!Y51:'remet-mad'!Y55,"&gt;1")/COUNT('remet-mad'!Y51:'remet-mad'!Y55)</f>
        <v>0</v>
      </c>
      <c r="Q42" t="s">
        <v>3589</v>
      </c>
      <c r="R42" t="s">
        <v>3583</v>
      </c>
      <c r="S42">
        <v>1</v>
      </c>
      <c r="T42">
        <v>0</v>
      </c>
    </row>
    <row r="43" spans="1:20" ht="17">
      <c r="A43" t="str">
        <f>('remet-mad'!E56)</f>
        <v>Bacillariophyta</v>
      </c>
      <c r="B43" t="str">
        <f>('remet-mad'!I56)</f>
        <v>Synedra</v>
      </c>
      <c r="C43" s="53" t="s">
        <v>3598</v>
      </c>
      <c r="D43" s="80" t="s">
        <v>2199</v>
      </c>
      <c r="E43">
        <f>COUNTIF('remet-mad'!Q56,"&lt;=10")</f>
        <v>0</v>
      </c>
      <c r="F43">
        <f>COUNTIFS('remet-mad'!Q56,"&gt;10",'remet-mad'!Q56,"&lt;=25")</f>
        <v>1</v>
      </c>
      <c r="G43">
        <f>COUNTIFS('remet-mad'!Q56,"&gt;25",'remet-mad'!Q56,"&lt;=100")</f>
        <v>0</v>
      </c>
      <c r="H43">
        <f>COUNTIFS('remet-mad'!Q56,"&gt;100")</f>
        <v>0</v>
      </c>
      <c r="I43" s="68">
        <f>COUNTIF('remet-mad'!BH56,"&lt;=0.3")</f>
        <v>0</v>
      </c>
      <c r="J43" s="68">
        <f>COUNTIFS('remet-mad'!BH56,"&gt;0.3",'remet-mad'!BH56,"&lt;=0.7")</f>
        <v>1</v>
      </c>
      <c r="K43" s="68">
        <f>COUNTIFS('remet-mad'!BH56,"&gt;0.7",'remet-mad'!BH56,"&lt;=1.0")</f>
        <v>0</v>
      </c>
      <c r="L43" s="68">
        <f>COUNTIFS('remet-mad'!BH56,"&gt;1.0",'remet-mad'!BH56,"&lt;=3.0")</f>
        <v>0</v>
      </c>
      <c r="M43" s="68">
        <f>COUNTIF('remet-mad'!BH56,"&gt;3.0")</f>
        <v>0</v>
      </c>
      <c r="N43" s="64">
        <f>('remet-mad'!AM56)</f>
        <v>0.11</v>
      </c>
      <c r="O43">
        <f>COUNTIF('remet-mad'!Y56,"=1")</f>
        <v>1</v>
      </c>
      <c r="P43">
        <f>COUNTIF('remet-mad'!Y56,"&gt;1")</f>
        <v>0</v>
      </c>
      <c r="Q43" t="s">
        <v>3589</v>
      </c>
      <c r="R43" t="s">
        <v>3584</v>
      </c>
      <c r="S43">
        <v>0</v>
      </c>
      <c r="T43">
        <v>1</v>
      </c>
    </row>
    <row r="44" spans="1:20" ht="34">
      <c r="A44" t="str">
        <f>('remet-mad'!E57)</f>
        <v>Cyanobacteria</v>
      </c>
      <c r="B44" t="str">
        <f>('remet-mad'!I57)</f>
        <v>Anabaena</v>
      </c>
      <c r="C44" s="53" t="s">
        <v>3713</v>
      </c>
      <c r="D44" s="82" t="s">
        <v>3720</v>
      </c>
      <c r="E44">
        <f>COUNTIF('remet-mad'!Q57,"&lt;=10")</f>
        <v>1</v>
      </c>
      <c r="F44">
        <f>COUNTIFS('remet-mad'!Q57,"&gt;10",'remet-mad'!Q57,"&lt;=25")</f>
        <v>0</v>
      </c>
      <c r="G44">
        <f>COUNTIFS('remet-mad'!Q57,"&gt;25",'remet-mad'!Q57,"&lt;=100")</f>
        <v>0</v>
      </c>
      <c r="H44">
        <f>COUNTIFS('remet-mad'!Q57,"&gt;100")</f>
        <v>0</v>
      </c>
      <c r="I44" s="68">
        <f>COUNTIF('remet-mad'!BH57,"&lt;=0.3")</f>
        <v>1</v>
      </c>
      <c r="J44" s="68">
        <f>COUNTIFS('remet-mad'!BH57,"&gt;0.3",'remet-mad'!BH57,"&lt;=0.7")</f>
        <v>0</v>
      </c>
      <c r="K44" s="68">
        <f>COUNTIFS('remet-mad'!BH57,"&gt;0.7",'remet-mad'!BH57,"&lt;=1.0")</f>
        <v>0</v>
      </c>
      <c r="L44" s="68">
        <f>COUNTIFS('remet-mad'!BH57,"&gt;1.0",'remet-mad'!BH57,"&lt;=3.0")</f>
        <v>0</v>
      </c>
      <c r="M44" s="68">
        <f>COUNTIF('remet-mad'!BH57,"&gt;3.0")</f>
        <v>0</v>
      </c>
      <c r="N44" s="64">
        <f>('remet-mad'!AM57)</f>
        <v>0.22</v>
      </c>
      <c r="O44">
        <v>0</v>
      </c>
      <c r="P44">
        <v>0</v>
      </c>
      <c r="Q44" t="s">
        <v>3589</v>
      </c>
      <c r="R44" t="s">
        <v>3583</v>
      </c>
      <c r="S44">
        <v>1</v>
      </c>
      <c r="T44">
        <v>0</v>
      </c>
    </row>
    <row r="45" spans="1:20" ht="34">
      <c r="A45" t="str">
        <f>('remet-mad'!E60)</f>
        <v>Chlorophyta</v>
      </c>
      <c r="B45" t="str">
        <f>('remet-mad'!I60)</f>
        <v>Monoraphidium</v>
      </c>
      <c r="C45" s="53" t="s">
        <v>3714</v>
      </c>
      <c r="E45">
        <f>COUNTIF('remet-mad'!Q60,"&lt;=10")</f>
        <v>0</v>
      </c>
      <c r="F45">
        <f>COUNTIFS('remet-mad'!Q60,"&gt;10",'remet-mad'!Q60,"&lt;=25")</f>
        <v>1</v>
      </c>
      <c r="G45">
        <f>COUNTIFS('remet-mad'!Q60,"&gt;25",'remet-mad'!Q60,"&lt;=100")</f>
        <v>0</v>
      </c>
      <c r="H45">
        <f>COUNTIFS('remet-mad'!Q60,"&gt;100")</f>
        <v>0</v>
      </c>
      <c r="I45" s="68">
        <f>COUNTIF('remet-mad'!BH60,"&lt;=0.3")</f>
        <v>1</v>
      </c>
      <c r="J45" s="68">
        <f>COUNTIFS('remet-mad'!BH60,"&gt;0.3",'remet-mad'!BH60,"&lt;=0.7")</f>
        <v>0</v>
      </c>
      <c r="K45" s="68">
        <f>COUNTIFS('remet-mad'!BH60,"&gt;0.7",'remet-mad'!BH60,"&lt;=1.0")</f>
        <v>0</v>
      </c>
      <c r="L45" s="68">
        <f>COUNTIFS('remet-mad'!BH60,"&gt;1.0",'remet-mad'!BH60,"&lt;=3.0")</f>
        <v>0</v>
      </c>
      <c r="M45" s="68">
        <f>COUNTIF('remet-mad'!BH60,"&gt;3.0")</f>
        <v>0</v>
      </c>
      <c r="N45" s="64">
        <f>('remet-mad'!AM60)</f>
        <v>0.16</v>
      </c>
      <c r="O45">
        <f>COUNTIF('remet-mad'!Y60,"=1")</f>
        <v>1</v>
      </c>
      <c r="P45">
        <f>COUNTIF('remet-mad'!Y60,"&gt;1")</f>
        <v>0</v>
      </c>
      <c r="Q45" t="s">
        <v>3589</v>
      </c>
      <c r="R45" t="s">
        <v>3583</v>
      </c>
      <c r="S45">
        <v>0</v>
      </c>
      <c r="T45">
        <v>0</v>
      </c>
    </row>
    <row r="46" spans="1:20" ht="17">
      <c r="A46" t="str">
        <f>('remet-mad'!E61)</f>
        <v>Bacillariophyta</v>
      </c>
      <c r="B46" t="str">
        <f>('remet-mad'!I61)</f>
        <v>Asterionella</v>
      </c>
      <c r="C46" s="53" t="s">
        <v>1498</v>
      </c>
      <c r="E46">
        <f>COUNTIF('remet-mad'!Q61,"&lt;=10")</f>
        <v>0</v>
      </c>
      <c r="F46">
        <f>COUNTIFS('remet-mad'!Q61,"&gt;10",'remet-mad'!Q61,"&lt;=25")</f>
        <v>0</v>
      </c>
      <c r="G46">
        <f>COUNTIFS('remet-mad'!Q61,"&gt;25",'remet-mad'!Q61,"&lt;=100")</f>
        <v>1</v>
      </c>
      <c r="H46">
        <f>COUNTIFS('remet-mad'!Q61,"&gt;100")</f>
        <v>0</v>
      </c>
      <c r="I46" s="68">
        <f>COUNTIF('remet-mad'!BH61,"&lt;=0.3")</f>
        <v>0</v>
      </c>
      <c r="J46" s="68">
        <f>COUNTIFS('remet-mad'!BH61,"&gt;0.3",'remet-mad'!BH61,"&lt;=0.7")</f>
        <v>1</v>
      </c>
      <c r="K46" s="68">
        <f>COUNTIFS('remet-mad'!BH61,"&gt;0.7",'remet-mad'!BH61,"&lt;=1.0")</f>
        <v>0</v>
      </c>
      <c r="L46" s="68">
        <f>COUNTIFS('remet-mad'!BH61,"&gt;1.0",'remet-mad'!BH61,"&lt;=3.0")</f>
        <v>0</v>
      </c>
      <c r="M46" s="68">
        <f>COUNTIF('remet-mad'!BH61,"&gt;3.0")</f>
        <v>0</v>
      </c>
      <c r="N46" s="64">
        <f>('remet-mad'!AM61)</f>
        <v>0.11</v>
      </c>
      <c r="O46">
        <f>COUNTIF('remet-mad'!Y61,"=1")</f>
        <v>1</v>
      </c>
      <c r="P46">
        <f>COUNTIF('remet-mad'!Y61,"&gt;1")</f>
        <v>0</v>
      </c>
      <c r="Q46" t="s">
        <v>3589</v>
      </c>
      <c r="R46" t="s">
        <v>3584</v>
      </c>
      <c r="S46">
        <v>0</v>
      </c>
      <c r="T46">
        <v>1</v>
      </c>
    </row>
    <row r="47" spans="1:20" ht="17">
      <c r="A47" t="str">
        <f>('remet-mad'!E62)</f>
        <v>Bacillariophyta</v>
      </c>
      <c r="B47" t="str">
        <f>('remet-mad'!I62)</f>
        <v>Aulacoseira</v>
      </c>
      <c r="C47" s="53" t="s">
        <v>1511</v>
      </c>
      <c r="E47">
        <f>COUNTIF('remet-mad'!Q62,"&lt;=10")</f>
        <v>0</v>
      </c>
      <c r="F47">
        <f>COUNTIFS('remet-mad'!Q62,"&gt;10",'remet-mad'!Q62,"&lt;=25")</f>
        <v>1</v>
      </c>
      <c r="G47">
        <f>COUNTIFS('remet-mad'!Q62,"&gt;25",'remet-mad'!Q62,"&lt;=100")</f>
        <v>0</v>
      </c>
      <c r="H47">
        <f>COUNTIFS('remet-mad'!Q62,"&gt;100")</f>
        <v>0</v>
      </c>
      <c r="I47" s="68">
        <f>COUNTIF('remet-mad'!BH62,"&lt;=0.3")</f>
        <v>0</v>
      </c>
      <c r="J47" s="68">
        <f>COUNTIFS('remet-mad'!BH62,"&gt;0.3",'remet-mad'!BH62,"&lt;=0.7")</f>
        <v>0</v>
      </c>
      <c r="K47" s="68">
        <f>COUNTIFS('remet-mad'!BH62,"&gt;0.7",'remet-mad'!BH62,"&lt;=1.0")</f>
        <v>0</v>
      </c>
      <c r="L47" s="68">
        <f>COUNTIFS('remet-mad'!BH62,"&gt;1.0",'remet-mad'!BH62,"&lt;=3.0")</f>
        <v>1</v>
      </c>
      <c r="M47" s="68">
        <f>COUNTIF('remet-mad'!BH62,"&gt;3.0")</f>
        <v>0</v>
      </c>
      <c r="N47" s="64">
        <f>('remet-mad'!AM62)</f>
        <v>0.11</v>
      </c>
      <c r="O47">
        <f>COUNTIF('remet-mad'!Y62,"=1")</f>
        <v>1</v>
      </c>
      <c r="P47">
        <f>COUNTIF('remet-mad'!Y62,"&gt;1")</f>
        <v>0</v>
      </c>
      <c r="Q47" t="s">
        <v>3589</v>
      </c>
      <c r="R47" t="s">
        <v>3584</v>
      </c>
      <c r="S47">
        <v>0</v>
      </c>
      <c r="T47">
        <v>1</v>
      </c>
    </row>
    <row r="48" spans="1:20" ht="17">
      <c r="A48" t="str">
        <f>('remet-mad'!E63)</f>
        <v>Bacillariophyta</v>
      </c>
      <c r="B48" t="str">
        <f>('remet-mad'!I63)</f>
        <v>Aulacoseira</v>
      </c>
      <c r="C48" s="53" t="s">
        <v>1514</v>
      </c>
      <c r="E48">
        <f>COUNTIF('remet-mad'!Q63:'remet-mad'!Q65,"&lt;=10")/COUNT('remet-mad'!Q63:'remet-mad'!Q65)</f>
        <v>0</v>
      </c>
      <c r="F48">
        <f>COUNTIFS('remet-mad'!Q63:'remet-mad'!Q65,"&gt;10",'remet-mad'!Q63:'remet-mad'!Q65,"&lt;=25")/COUNT('remet-mad'!Q63:'remet-mad'!Q65)</f>
        <v>0.33333333333333331</v>
      </c>
      <c r="G48">
        <f>COUNTIFS('remet-mad'!Q63:'remet-mad'!Q65,"&gt;25",'remet-mad'!Q63:'remet-mad'!Q65,"&lt;=100")/COUNT('remet-mad'!Q63:'remet-mad'!Q65)</f>
        <v>0.66666666666666663</v>
      </c>
      <c r="H48">
        <f>COUNTIFS('remet-mad'!Q63:'remet-mad'!Q65,"&gt;100")/COUNT('remet-mad'!Q63:'remet-mad'!Q65)</f>
        <v>0</v>
      </c>
      <c r="I48">
        <f>COUNTIF('remet-mad'!BH63:'remet-mad'!BH65,"&lt;=0.3")/COUNT('remet-mad'!BH63:'remet-mad'!BH65)</f>
        <v>0</v>
      </c>
      <c r="J48">
        <f>COUNTIFS('remet-mad'!BH63:'remet-mad'!BH65,"&gt;0.3",'remet-mad'!BH63:'remet-mad'!BH65,"&lt;=0.7")/COUNT('remet-mad'!BH63:'remet-mad'!BH65)</f>
        <v>0</v>
      </c>
      <c r="K48">
        <f>COUNTIFS('remet-mad'!BH63:'remet-mad'!BH65,"&gt;0.7",'remet-mad'!BH63:'remet-mad'!BH65,"&lt;=1.0")/COUNT('remet-mad'!BH63:'remet-mad'!BH65)</f>
        <v>0.66666666666666663</v>
      </c>
      <c r="L48">
        <f>COUNTIFS('remet-mad'!BH63:'remet-mad'!BH65,"&gt;1.0",'remet-mad'!BH63:'remet-mad'!BH65,"&lt;=3.0")/COUNT('remet-mad'!BH63:'remet-mad'!BH65)</f>
        <v>0.33333333333333331</v>
      </c>
      <c r="M48">
        <f>COUNTIFS('remet-mad'!BH63:'remet-mad'!BH65,"&gt;3")/COUNT('remet-mad'!BH63:'remet-mad'!BH65)</f>
        <v>0</v>
      </c>
      <c r="N48" s="64">
        <f>('remet-mad'!AM63)</f>
        <v>0.11</v>
      </c>
      <c r="O48">
        <f>COUNTIF('remet-mad'!Y63:'remet-mad'!Y65,"=1")/COUNT('remet-mad'!Y63:'remet-mad'!Y65)</f>
        <v>1</v>
      </c>
      <c r="P48">
        <f>COUNTIF('remet-mad'!Y63:'remet-mad'!Y65,"&gt;1")/COUNT('remet-mad'!Y63:'remet-mad'!Y65)</f>
        <v>0</v>
      </c>
      <c r="Q48" t="s">
        <v>3589</v>
      </c>
      <c r="R48" t="s">
        <v>3584</v>
      </c>
      <c r="S48">
        <v>0</v>
      </c>
      <c r="T48">
        <v>1</v>
      </c>
    </row>
    <row r="49" spans="1:20" ht="17">
      <c r="A49" t="str">
        <f>('remet-mad'!E66)</f>
        <v>Ochrophyta</v>
      </c>
      <c r="B49" t="str">
        <f>('remet-mad'!I66)</f>
        <v>Chrysococcus</v>
      </c>
      <c r="C49" s="53" t="s">
        <v>1150</v>
      </c>
      <c r="E49">
        <f>COUNTIF('remet-mad'!Q66,"&lt;=10")</f>
        <v>1</v>
      </c>
      <c r="F49">
        <f>COUNTIFS('remet-mad'!Q66,"&gt;10",'remet-mad'!Q66,"&lt;=25")</f>
        <v>0</v>
      </c>
      <c r="G49">
        <f>COUNTIFS('remet-mad'!Q66,"&gt;25",'remet-mad'!Q66,"&lt;=100")</f>
        <v>0</v>
      </c>
      <c r="H49">
        <f>COUNTIFS('remet-mad'!Q66,"&gt;100")</f>
        <v>0</v>
      </c>
      <c r="I49" s="68">
        <f>COUNTIF('remet-mad'!BH66,"&lt;=0.3")</f>
        <v>0</v>
      </c>
      <c r="J49" s="68">
        <f>COUNTIFS('remet-mad'!BH66,"&gt;0.3",'remet-mad'!BH66,"&lt;=0.7")</f>
        <v>1</v>
      </c>
      <c r="K49" s="68">
        <f>COUNTIFS('remet-mad'!BH66,"&gt;0.7",'remet-mad'!BH66,"&lt;=1.0")</f>
        <v>0</v>
      </c>
      <c r="L49" s="68">
        <f>COUNTIFS('remet-mad'!BH66,"&gt;1.0",'remet-mad'!BH66,"&lt;=3.0")</f>
        <v>0</v>
      </c>
      <c r="M49" s="68">
        <f>COUNTIF('remet-mad'!BH66,"&gt;3.0")</f>
        <v>0</v>
      </c>
      <c r="N49" s="64">
        <f>('remet-mad'!AM66)</f>
        <v>0.11</v>
      </c>
      <c r="O49">
        <f>COUNTIF('remet-mad'!Y66,"=1")</f>
        <v>1</v>
      </c>
      <c r="P49">
        <f>COUNTIF('remet-mad'!Y66,"&gt;1")</f>
        <v>0</v>
      </c>
      <c r="Q49" t="s">
        <v>3587</v>
      </c>
      <c r="R49" t="s">
        <v>3584</v>
      </c>
      <c r="S49">
        <v>0</v>
      </c>
      <c r="T49">
        <v>0</v>
      </c>
    </row>
    <row r="50" spans="1:20" ht="34">
      <c r="A50" t="str">
        <f>('remet-mad'!E67)</f>
        <v>Cyanobacteria</v>
      </c>
      <c r="B50" t="str">
        <f>('remet-mad'!I67)</f>
        <v>Woronichinia</v>
      </c>
      <c r="C50" s="53" t="s">
        <v>3715</v>
      </c>
      <c r="E50">
        <f>COUNTIF('remet-mad'!Q67:'remet-mad'!Q68,"&lt;=10")/COUNT('remet-mad'!Q67:'remet-mad'!Q68)</f>
        <v>1</v>
      </c>
      <c r="F50">
        <f>COUNTIFS('remet-mad'!Q67:'remet-mad'!Q68,"&gt;10",'remet-mad'!Q67:'remet-mad'!Q68,"&lt;=25")/COUNT('remet-mad'!Q67:'remet-mad'!Q68)</f>
        <v>0</v>
      </c>
      <c r="G50">
        <f>COUNTIFS('remet-mad'!Q67:'remet-mad'!Q68,"&gt;25",'remet-mad'!Q67:'remet-mad'!Q68,"&lt;=100")/COUNT('remet-mad'!Q67:'remet-mad'!Q68)</f>
        <v>0</v>
      </c>
      <c r="H50">
        <f>COUNTIFS('remet-mad'!Q67:'remet-mad'!Q68,"&gt;100")/COUNT('remet-mad'!Q67:'remet-mad'!Q68)</f>
        <v>0</v>
      </c>
      <c r="I50">
        <f>COUNTIF('remet-mad'!BH67:'remet-mad'!BH68,"&lt;=0.3")/COUNT('remet-mad'!BH67:'remet-mad'!BH68)</f>
        <v>1</v>
      </c>
      <c r="J50">
        <f>COUNTIFS('remet-mad'!BH67:'remet-mad'!BH68,"&gt;0.3",'remet-mad'!BH67:'remet-mad'!BH68,"&lt;=0.7")/COUNT('remet-mad'!BH67:'remet-mad'!BH68)</f>
        <v>0</v>
      </c>
      <c r="K50">
        <f>COUNTIFS('remet-mad'!BH67:'remet-mad'!BH68,"&gt;0.7",'remet-mad'!BH67:'remet-mad'!BH68,"&lt;=1.0")/COUNT('remet-mad'!BH67:'remet-mad'!BH68)</f>
        <v>0</v>
      </c>
      <c r="L50">
        <f>COUNTIFS('remet-mad'!BH67:'remet-mad'!BH68,"&gt;1.0",'remet-mad'!BH67:'remet-mad'!BH68,"&lt;=3.0")/COUNT('remet-mad'!BH67:'remet-mad'!BH68)</f>
        <v>0</v>
      </c>
      <c r="M50">
        <f>COUNTIFS('remet-mad'!BH67:'remet-mad'!BH68,"&gt;3")/COUNT('remet-mad'!BH67:'remet-mad'!BH68)</f>
        <v>0</v>
      </c>
      <c r="N50" s="64">
        <f>('remet-mad'!AM67)</f>
        <v>0.22</v>
      </c>
      <c r="O50">
        <f>COUNTIF('remet-mad'!Y67:'remet-mad'!Y68,"=1")/COUNT('remet-mad'!Y67:'remet-mad'!Y68)</f>
        <v>0.5</v>
      </c>
      <c r="P50">
        <f>COUNTIF('remet-mad'!Y67:'remet-mad'!Y68,"&gt;1")/COUNT('remet-mad'!Y67:'remet-mad'!Y68)</f>
        <v>0.5</v>
      </c>
      <c r="Q50" t="s">
        <v>3589</v>
      </c>
      <c r="R50" t="s">
        <v>3583</v>
      </c>
      <c r="S50">
        <v>0</v>
      </c>
      <c r="T50">
        <v>0</v>
      </c>
    </row>
    <row r="51" spans="1:20" ht="17">
      <c r="A51" t="str">
        <f>('remet-mad'!E68)</f>
        <v>Cyanobacteria</v>
      </c>
      <c r="B51" t="str">
        <f>('remet-mad'!I68)</f>
        <v>Woronichinia</v>
      </c>
      <c r="C51" s="53" t="s">
        <v>3716</v>
      </c>
      <c r="E51">
        <f>COUNTIF('remet-mad'!Q69,"&lt;=10")</f>
        <v>0</v>
      </c>
      <c r="F51">
        <f>COUNTIFS('remet-mad'!Q69,"&gt;10",'remet-mad'!Q69,"&lt;=25")</f>
        <v>1</v>
      </c>
      <c r="G51">
        <f>COUNTIFS('remet-mad'!Q69,"&gt;25",'remet-mad'!Q69,"&lt;=100")</f>
        <v>0</v>
      </c>
      <c r="H51">
        <f>COUNTIFS('remet-mad'!Q69,"&gt;100")</f>
        <v>0</v>
      </c>
      <c r="I51" s="68">
        <f>COUNTIF('remet-mad'!BH69,"&lt;=0.3")</f>
        <v>0</v>
      </c>
      <c r="J51" s="68">
        <f>COUNTIFS('remet-mad'!BH69,"&gt;0.3",'remet-mad'!BH69,"&lt;=0.7")</f>
        <v>1</v>
      </c>
      <c r="K51" s="68">
        <f>COUNTIFS('remet-mad'!BH69,"&gt;0.7",'remet-mad'!BH69,"&lt;=1.0")</f>
        <v>0</v>
      </c>
      <c r="L51" s="68">
        <f>COUNTIFS('remet-mad'!BH69,"&gt;1.0",'remet-mad'!BH69,"&lt;=3.0")</f>
        <v>0</v>
      </c>
      <c r="M51" s="68">
        <f>COUNTIF('remet-mad'!BH69,"&gt;3.0")</f>
        <v>0</v>
      </c>
      <c r="N51" s="64">
        <f>('remet-mad'!AM69)</f>
        <v>0.11</v>
      </c>
      <c r="O51">
        <f>COUNTIF('remet-mad'!Y69,"=1")</f>
        <v>1</v>
      </c>
      <c r="P51">
        <f>COUNTIF('remet-mad'!Y69,"&gt;1")</f>
        <v>0</v>
      </c>
      <c r="Q51" t="s">
        <v>3587</v>
      </c>
      <c r="R51" t="s">
        <v>3584</v>
      </c>
      <c r="S51">
        <v>0</v>
      </c>
      <c r="T51">
        <v>0</v>
      </c>
    </row>
    <row r="52" spans="1:20" ht="34">
      <c r="A52" t="str">
        <f>('remet-mad'!E69)</f>
        <v>Cryptophyta</v>
      </c>
      <c r="B52" t="str">
        <f>('remet-mad'!I69)</f>
        <v>Cryptomonas</v>
      </c>
      <c r="C52" s="53" t="s">
        <v>848</v>
      </c>
      <c r="E52">
        <f>COUNTIF('remet-mad'!Q70,"&lt;=10")</f>
        <v>0</v>
      </c>
      <c r="F52">
        <f>COUNTIFS('remet-mad'!Q70,"&gt;10",'remet-mad'!Q70,"&lt;=25")</f>
        <v>0</v>
      </c>
      <c r="G52">
        <f>COUNTIFS('remet-mad'!Q70,"&gt;25",'remet-mad'!Q70,"&lt;=100")</f>
        <v>1</v>
      </c>
      <c r="H52">
        <f>COUNTIFS('remet-mad'!Q70,"&gt;100")</f>
        <v>0</v>
      </c>
      <c r="I52" s="68">
        <f>COUNTIF('remet-mad'!BH70,"&lt;=0.3")</f>
        <v>0</v>
      </c>
      <c r="J52" s="68">
        <f>COUNTIFS('remet-mad'!BH70,"&gt;0.3",'remet-mad'!BH70,"&lt;=0.7")</f>
        <v>1</v>
      </c>
      <c r="K52" s="68">
        <f>COUNTIFS('remet-mad'!BH70,"&gt;0.7",'remet-mad'!BH70,"&lt;=1.0")</f>
        <v>0</v>
      </c>
      <c r="L52" s="68">
        <f>COUNTIFS('remet-mad'!BH70,"&gt;1.0",'remet-mad'!BH70,"&lt;=3.0")</f>
        <v>0</v>
      </c>
      <c r="M52" s="68">
        <f>COUNTIF('remet-mad'!BH70,"&gt;3.0")</f>
        <v>0</v>
      </c>
      <c r="N52" s="64">
        <f>('remet-mad'!AM70)</f>
        <v>0.11</v>
      </c>
      <c r="O52">
        <f>COUNTIF('remet-mad'!Y70,"=1")</f>
        <v>1</v>
      </c>
      <c r="P52">
        <f>COUNTIF('remet-mad'!Y70,"&gt;1")</f>
        <v>0</v>
      </c>
      <c r="Q52" t="s">
        <v>3587</v>
      </c>
      <c r="R52" t="s">
        <v>3584</v>
      </c>
      <c r="S52">
        <v>0</v>
      </c>
      <c r="T52">
        <v>0</v>
      </c>
    </row>
    <row r="53" spans="1:20" ht="34">
      <c r="A53" t="s">
        <v>61</v>
      </c>
      <c r="B53" t="s">
        <v>37</v>
      </c>
      <c r="C53" s="53" t="s">
        <v>3717</v>
      </c>
      <c r="E53">
        <f>COUNTIF('remet-mad'!Q71,"&lt;=10")</f>
        <v>0</v>
      </c>
      <c r="F53">
        <f>COUNTIFS('remet-mad'!Q71,"&gt;10",'remet-mad'!Q71,"&lt;=25")</f>
        <v>0</v>
      </c>
      <c r="G53">
        <f>COUNTIFS('remet-mad'!Q71,"&gt;25",'remet-mad'!Q71,"&lt;=100")</f>
        <v>0</v>
      </c>
      <c r="H53">
        <f>COUNTIFS('remet-mad'!Q71,"&gt;100")</f>
        <v>1</v>
      </c>
      <c r="I53" s="68">
        <f>COUNTIF('remet-mad'!BH71,"&lt;=0.3")</f>
        <v>0</v>
      </c>
      <c r="J53" s="68">
        <f>COUNTIFS('remet-mad'!BH71,"&gt;0.3",'remet-mad'!BH71,"&lt;=0.7")</f>
        <v>1</v>
      </c>
      <c r="K53" s="68">
        <f>COUNTIFS('remet-mad'!BH71,"&gt;0.7",'remet-mad'!BH71,"&lt;=1.0")</f>
        <v>0</v>
      </c>
      <c r="L53" s="68">
        <f>COUNTIFS('remet-mad'!BH71,"&gt;1.0",'remet-mad'!BH71,"&lt;=3.0")</f>
        <v>0</v>
      </c>
      <c r="M53" s="68">
        <f>COUNTIF('remet-mad'!BH71,"&gt;3.0")</f>
        <v>0</v>
      </c>
      <c r="N53" s="64">
        <f>('remet-mad'!AM71)</f>
        <v>0.22</v>
      </c>
      <c r="O53">
        <f>COUNTIF('remet-mad'!Y71,"=1")</f>
        <v>1</v>
      </c>
      <c r="P53">
        <f>COUNTIF('remet-mad'!Y71,"&gt;1")</f>
        <v>0</v>
      </c>
      <c r="Q53" t="s">
        <v>3589</v>
      </c>
      <c r="R53" t="s">
        <v>3583</v>
      </c>
      <c r="S53">
        <v>0</v>
      </c>
      <c r="T53">
        <v>0</v>
      </c>
    </row>
    <row r="54" spans="1:20" ht="17">
      <c r="A54" t="str">
        <f>('remet-mad'!E72)</f>
        <v>Bacillariophyta</v>
      </c>
      <c r="B54" t="str">
        <f>('remet-mad'!I72)</f>
        <v>Fragilaria</v>
      </c>
      <c r="C54" s="53" t="s">
        <v>1812</v>
      </c>
      <c r="E54">
        <f>COUNTIF('remet-mad'!Q72:'remet-mad'!Q74,"&lt;=10")/COUNT('remet-mad'!Q72:'remet-mad'!Q74)</f>
        <v>0</v>
      </c>
      <c r="F54">
        <f>COUNTIFS('remet-mad'!Q72:'remet-mad'!Q74,"&gt;10",'remet-mad'!Q72:'remet-mad'!Q74,"&lt;=25")/COUNT('remet-mad'!Q72:'remet-mad'!Q74)</f>
        <v>0</v>
      </c>
      <c r="G54">
        <f>COUNTIFS('remet-mad'!Q72:'remet-mad'!Q74,"&gt;25",'remet-mad'!Q72:'remet-mad'!Q74,"&lt;=100")/COUNT('remet-mad'!Q72:'remet-mad'!Q74)</f>
        <v>1</v>
      </c>
      <c r="H54">
        <f>COUNTIFS('remet-mad'!Q72:'remet-mad'!Q74,"&gt;100")/COUNT('remet-mad'!Q72:'remet-mad'!Q74)</f>
        <v>0</v>
      </c>
      <c r="I54">
        <f>COUNTIF('remet-mad'!BH72:'remet-mad'!BH74,"&lt;=0.3")/COUNT('remet-mad'!BH72:'remet-mad'!BH74)</f>
        <v>0.66666666666666663</v>
      </c>
      <c r="J54">
        <f>COUNTIFS('remet-mad'!BH72:'remet-mad'!BH74,"&gt;0.3",'remet-mad'!BH72:'remet-mad'!BH74,"&lt;=0.7")/COUNT('remet-mad'!BH72:'remet-mad'!BH74)</f>
        <v>0.33333333333333331</v>
      </c>
      <c r="K54">
        <f>COUNTIFS('remet-mad'!BH72:'remet-mad'!BH74,"&gt;0.7",'remet-mad'!BH72:'remet-mad'!BH74,"&lt;=1.0")/COUNT('remet-mad'!BH72:'remet-mad'!BH74)</f>
        <v>0</v>
      </c>
      <c r="L54">
        <f>COUNTIFS('remet-mad'!BH72:'remet-mad'!BH74,"&gt;1.0",'remet-mad'!BH72:'remet-mad'!BH74,"&lt;=3.0")/COUNT('remet-mad'!BH72:'remet-mad'!BH74)</f>
        <v>0</v>
      </c>
      <c r="M54">
        <f>COUNTIFS('remet-mad'!BH72:'remet-mad'!BH74,"&gt;3")/COUNT('remet-mad'!BH72:'remet-mad'!BH74)</f>
        <v>0</v>
      </c>
      <c r="N54" s="64">
        <f>('remet-mad'!AM72)</f>
        <v>0.11</v>
      </c>
      <c r="O54">
        <f>COUNTIF('remet-mad'!Y72:'remet-mad'!Y74,"=1")/COUNT('remet-mad'!Y72:'remet-mad'!Y74)</f>
        <v>1</v>
      </c>
      <c r="P54">
        <f>COUNTIF('remet-mad'!Y72:'remet-mad'!Y74,"&gt;1")/COUNT('remet-mad'!Y72:'remet-mad'!Y74)</f>
        <v>0</v>
      </c>
      <c r="Q54" t="s">
        <v>3589</v>
      </c>
      <c r="R54" t="s">
        <v>3584</v>
      </c>
      <c r="S54">
        <v>0</v>
      </c>
      <c r="T54">
        <v>1</v>
      </c>
    </row>
    <row r="55" spans="1:20" ht="34">
      <c r="A55" t="str">
        <f>('remet-mad'!E75)</f>
        <v>Cyanobacteria</v>
      </c>
      <c r="B55" t="str">
        <f>('remet-mad'!I75)</f>
        <v>Gomphosphaeria</v>
      </c>
      <c r="C55" s="53" t="s">
        <v>407</v>
      </c>
      <c r="E55">
        <f>COUNTIF('remet-mad'!Q75,"&lt;=10")</f>
        <v>1</v>
      </c>
      <c r="F55">
        <f>COUNTIFS('remet-mad'!Q75,"&gt;10",'remet-mad'!Q75,"&lt;=25")</f>
        <v>0</v>
      </c>
      <c r="G55">
        <f>COUNTIFS('remet-mad'!Q75,"&gt;25",'remet-mad'!Q75,"&lt;=100")</f>
        <v>0</v>
      </c>
      <c r="H55">
        <f>COUNTIFS('remet-mad'!Q75,"&gt;100")</f>
        <v>0</v>
      </c>
      <c r="I55" s="68">
        <f>COUNTIF('remet-mad'!BH75,"&lt;=0.3")</f>
        <v>1</v>
      </c>
      <c r="J55" s="68">
        <f>COUNTIFS('remet-mad'!BH75,"&gt;0.3",'remet-mad'!BH75,"&lt;=0.7")</f>
        <v>0</v>
      </c>
      <c r="K55" s="68">
        <f>COUNTIFS('remet-mad'!BH75,"&gt;0.7",'remet-mad'!BH75,"&lt;=1.0")</f>
        <v>0</v>
      </c>
      <c r="L55" s="68">
        <f>COUNTIFS('remet-mad'!BH75,"&gt;1.0",'remet-mad'!BH75,"&lt;=3.0")</f>
        <v>0</v>
      </c>
      <c r="M55" s="68">
        <f>COUNTIF('remet-mad'!BH75,"&gt;3.0")</f>
        <v>0</v>
      </c>
      <c r="N55" s="64">
        <f>('remet-mad'!AM75)</f>
        <v>0.22</v>
      </c>
      <c r="O55">
        <f>COUNTIF('remet-mad'!Y75,"=1")</f>
        <v>0</v>
      </c>
      <c r="P55">
        <f>COUNTIF('remet-mad'!Y75,"&gt;1")</f>
        <v>1</v>
      </c>
      <c r="Q55" t="s">
        <v>3589</v>
      </c>
      <c r="R55" t="s">
        <v>3583</v>
      </c>
      <c r="S55">
        <v>0</v>
      </c>
      <c r="T55">
        <v>0</v>
      </c>
    </row>
    <row r="56" spans="1:20" ht="17">
      <c r="C56" s="53" t="s">
        <v>3718</v>
      </c>
    </row>
    <row r="57" spans="1:20" ht="17">
      <c r="A57" t="str">
        <f>('remet-mad'!E77)</f>
        <v>Chlorophyta</v>
      </c>
      <c r="B57" t="str">
        <f>('remet-mad'!I77)</f>
        <v>Micractinium</v>
      </c>
      <c r="C57" s="53" t="s">
        <v>2678</v>
      </c>
      <c r="E57">
        <f>COUNTIF('remet-mad'!Q77:'remet-mad'!Q79,"&lt;=10")/COUNT('remet-mad'!Q77:'remet-mad'!Q79)</f>
        <v>1</v>
      </c>
      <c r="F57">
        <f>COUNTIFS('remet-mad'!Q77:'remet-mad'!Q79,"&gt;10",'remet-mad'!Q77:'remet-mad'!Q79,"&lt;=25")/COUNT('remet-mad'!Q77:'remet-mad'!Q79)</f>
        <v>0</v>
      </c>
      <c r="G57">
        <f>COUNTIFS('remet-mad'!Q77:'remet-mad'!Q79,"&gt;25",'remet-mad'!Q77:'remet-mad'!Q79,"&lt;=100")/COUNT('remet-mad'!Q77:'remet-mad'!Q79)</f>
        <v>0</v>
      </c>
      <c r="H57">
        <f>COUNTIFS('remet-mad'!Q77:'remet-mad'!Q79,"&gt;100")/COUNT('remet-mad'!Q77:'remet-mad'!Q79)</f>
        <v>0</v>
      </c>
      <c r="I57">
        <f>COUNTIF('remet-mad'!BH77:'remet-mad'!BH79,"&lt;=0.3")/COUNT('remet-mad'!BH77:'remet-mad'!BH79)</f>
        <v>0</v>
      </c>
      <c r="J57">
        <f>COUNTIFS('remet-mad'!BH77:'remet-mad'!BH79,"&gt;0.3",'remet-mad'!BH77:'remet-mad'!BH79,"&lt;=0.7")/COUNT('remet-mad'!BH77:'remet-mad'!BH79)</f>
        <v>1</v>
      </c>
      <c r="K57">
        <f>COUNTIFS('remet-mad'!BH77:'remet-mad'!BH79,"&gt;0.7",'remet-mad'!BH77:'remet-mad'!BH79,"&lt;=1.0")/COUNT('remet-mad'!BH77:'remet-mad'!BH79)</f>
        <v>0</v>
      </c>
      <c r="L57">
        <f>COUNTIFS('remet-mad'!BH77:'remet-mad'!BH79,"&gt;1.0",'remet-mad'!BH77:'remet-mad'!BH79,"&lt;=3.0")/COUNT('remet-mad'!BH77:'remet-mad'!BH79)</f>
        <v>0</v>
      </c>
      <c r="M57">
        <f>COUNTIFS('remet-mad'!BH77:'remet-mad'!BH79,"&gt;3")/COUNT('remet-mad'!BH77:'remet-mad'!BH79)</f>
        <v>0</v>
      </c>
      <c r="N57" s="64">
        <f>('remet-mad'!AM77)</f>
        <v>0.16</v>
      </c>
      <c r="O57">
        <f>COUNTIF('remet-mad'!Y77:'remet-mad'!Y79,"=1")/COUNT('remet-mad'!Y77:'remet-mad'!Y79)</f>
        <v>0.33333333333333331</v>
      </c>
      <c r="P57">
        <f>COUNTIF('remet-mad'!Y77:'remet-mad'!Y79,"&gt;1")/COUNT('remet-mad'!Y77:'remet-mad'!Y79)</f>
        <v>0.66666666666666663</v>
      </c>
      <c r="Q57" t="s">
        <v>3589</v>
      </c>
      <c r="R57" t="s">
        <v>3583</v>
      </c>
      <c r="S57">
        <v>0</v>
      </c>
      <c r="T57">
        <v>0</v>
      </c>
    </row>
    <row r="58" spans="1:20" ht="17">
      <c r="A58" t="str">
        <f>('remet-mad'!E80)</f>
        <v>Bacillariophyta</v>
      </c>
      <c r="B58" t="str">
        <f>('remet-mad'!I80)</f>
        <v>Nitzschia</v>
      </c>
      <c r="C58" s="53" t="s">
        <v>2044</v>
      </c>
      <c r="E58">
        <f>COUNTIF('remet-mad'!Q80,"&lt;=10")</f>
        <v>0</v>
      </c>
      <c r="F58">
        <f>COUNTIFS('remet-mad'!Q80,"&gt;10",'remet-mad'!Q80,"&lt;=25")</f>
        <v>0</v>
      </c>
      <c r="G58">
        <f>COUNTIFS('remet-mad'!Q80,"&gt;25",'remet-mad'!Q80,"&lt;=100")</f>
        <v>1</v>
      </c>
      <c r="H58">
        <f>COUNTIFS('remet-mad'!Q80,"&gt;100")</f>
        <v>0</v>
      </c>
      <c r="I58" s="68">
        <f>COUNTIF('remet-mad'!BH80,"&lt;=0.3")</f>
        <v>0</v>
      </c>
      <c r="J58" s="68">
        <f>COUNTIFS('remet-mad'!BH80,"&gt;0.3",'remet-mad'!BH80,"&lt;=0.7")</f>
        <v>1</v>
      </c>
      <c r="K58" s="68">
        <f>COUNTIFS('remet-mad'!BH80,"&gt;0.7",'remet-mad'!BH80,"&lt;=1.0")</f>
        <v>0</v>
      </c>
      <c r="L58" s="68">
        <f>COUNTIFS('remet-mad'!BH80,"&gt;1.0",'remet-mad'!BH80,"&lt;=3.0")</f>
        <v>0</v>
      </c>
      <c r="M58" s="68">
        <f>COUNTIF('remet-mad'!BH80,"&gt;3.0")</f>
        <v>0</v>
      </c>
      <c r="N58" s="64">
        <f>('remet-mad'!AM80)</f>
        <v>0.11</v>
      </c>
      <c r="O58">
        <f>COUNTIF('remet-mad'!Y80,"=1")</f>
        <v>1</v>
      </c>
      <c r="P58">
        <f>COUNTIF('remet-mad'!Y80,"&gt;1")</f>
        <v>0</v>
      </c>
      <c r="Q58" t="s">
        <v>3586</v>
      </c>
      <c r="R58" t="s">
        <v>3584</v>
      </c>
      <c r="S58">
        <v>0</v>
      </c>
      <c r="T58">
        <v>1</v>
      </c>
    </row>
    <row r="59" spans="1:20" ht="17">
      <c r="A59" t="str">
        <f>('remet-mad'!E81)</f>
        <v>Bacillariophyta</v>
      </c>
      <c r="B59" t="str">
        <f>('remet-mad'!I81)</f>
        <v>Nitzschia</v>
      </c>
      <c r="C59" s="53" t="s">
        <v>2061</v>
      </c>
      <c r="E59">
        <f>COUNTIF('remet-mad'!Q81,"&lt;=10")</f>
        <v>0</v>
      </c>
      <c r="F59">
        <f>COUNTIFS('remet-mad'!Q81,"&gt;10",'remet-mad'!Q81,"&lt;=25")</f>
        <v>0</v>
      </c>
      <c r="G59">
        <f>COUNTIFS('remet-mad'!Q81,"&gt;25",'remet-mad'!Q81,"&lt;=100")</f>
        <v>1</v>
      </c>
      <c r="H59">
        <f>COUNTIFS('remet-mad'!Q81,"&gt;100")</f>
        <v>0</v>
      </c>
      <c r="I59" s="68">
        <f>COUNTIF('remet-mad'!BH81,"&lt;=0.3")</f>
        <v>0</v>
      </c>
      <c r="J59" s="68">
        <f>COUNTIFS('remet-mad'!BH81,"&gt;0.3",'remet-mad'!BH81,"&lt;=0.7")</f>
        <v>1</v>
      </c>
      <c r="K59" s="68">
        <f>COUNTIFS('remet-mad'!BH81,"&gt;0.7",'remet-mad'!BH81,"&lt;=1.0")</f>
        <v>0</v>
      </c>
      <c r="L59" s="68">
        <f>COUNTIFS('remet-mad'!BH81,"&gt;1.0",'remet-mad'!BH81,"&lt;=3.0")</f>
        <v>0</v>
      </c>
      <c r="M59" s="68">
        <f>COUNTIF('remet-mad'!BH81,"&gt;3.0")</f>
        <v>0</v>
      </c>
      <c r="N59" s="64">
        <f>('remet-mad'!AM81)</f>
        <v>0.11</v>
      </c>
      <c r="O59">
        <f>COUNTIF('remet-mad'!Y81,"=1")</f>
        <v>1</v>
      </c>
      <c r="P59">
        <f>COUNTIF('remet-mad'!Y81,"&gt;1")</f>
        <v>0</v>
      </c>
      <c r="Q59" t="s">
        <v>3586</v>
      </c>
      <c r="R59" t="s">
        <v>3584</v>
      </c>
      <c r="S59">
        <v>0</v>
      </c>
      <c r="T59">
        <v>1</v>
      </c>
    </row>
    <row r="60" spans="1:20" ht="34">
      <c r="A60" t="str">
        <f>('remet-mad'!E82)</f>
        <v xml:space="preserve">Myzozoa </v>
      </c>
      <c r="B60" t="str">
        <f>('remet-mad'!I82)</f>
        <v>Peridinium</v>
      </c>
      <c r="C60" s="53" t="s">
        <v>804</v>
      </c>
      <c r="E60">
        <f>COUNTIF('remet-mad'!Q82:'remet-mad'!Q83,"&lt;=10")/COUNT('remet-mad'!Q82:'remet-mad'!Q83)</f>
        <v>0</v>
      </c>
      <c r="F60">
        <f>COUNTIFS('remet-mad'!Q82:'remet-mad'!Q83,"&gt;10",'remet-mad'!Q82:'remet-mad'!Q83,"&lt;=25")/COUNT('remet-mad'!Q82:'remet-mad'!Q83)</f>
        <v>0</v>
      </c>
      <c r="G60">
        <f>COUNTIFS('remet-mad'!Q82:'remet-mad'!Q83,"&gt;25",'remet-mad'!Q82:'remet-mad'!Q83,"&lt;=100")/COUNT('remet-mad'!Q82:'remet-mad'!Q83)</f>
        <v>1</v>
      </c>
      <c r="H60">
        <f>COUNTIFS('remet-mad'!Q82:'remet-mad'!Q83,"&gt;100")/COUNT('remet-mad'!Q82:'remet-mad'!Q83)</f>
        <v>0</v>
      </c>
      <c r="I60">
        <f>COUNTIF('remet-mad'!BH82:'remet-mad'!BH83,"&lt;=0.3")/COUNT('remet-mad'!BH82:'remet-mad'!BH83)</f>
        <v>0</v>
      </c>
      <c r="J60">
        <f>COUNTIFS('remet-mad'!BH82:'remet-mad'!BH83,"&gt;0.3",'remet-mad'!BH82:'remet-mad'!BH83,"&lt;=0.7")/COUNT('remet-mad'!BH82:'remet-mad'!BH83)</f>
        <v>0</v>
      </c>
      <c r="K60">
        <f>COUNTIFS('remet-mad'!BH82:'remet-mad'!BH83,"&gt;0.7",'remet-mad'!BH82:'remet-mad'!BH83,"&lt;=1.0")/COUNT('remet-mad'!BH82:'remet-mad'!BH83)</f>
        <v>0</v>
      </c>
      <c r="L60">
        <f>COUNTIFS('remet-mad'!BH82:'remet-mad'!BH83,"&gt;1.0",'remet-mad'!BH82:'remet-mad'!BH83,"&lt;=3.0")/COUNT('remet-mad'!BH82:'remet-mad'!BH83)</f>
        <v>1</v>
      </c>
      <c r="M60">
        <f>COUNTIFS('remet-mad'!BH82:'remet-mad'!BH83,"&gt;3")/COUNT('remet-mad'!BH82:'remet-mad'!BH83)</f>
        <v>0</v>
      </c>
      <c r="N60" s="64">
        <f>('remet-mad'!AM82)</f>
        <v>0.13</v>
      </c>
      <c r="O60">
        <f>COUNTIF('remet-mad'!Y82:'remet-mad'!Y83,"=1")/COUNT('remet-mad'!Y82:'remet-mad'!Y83)</f>
        <v>1</v>
      </c>
      <c r="P60">
        <f>COUNTIF('remet-mad'!Y82:'remet-mad'!Y83,"&gt;1")/COUNT('remet-mad'!Y82:'remet-mad'!Y83)</f>
        <v>0</v>
      </c>
      <c r="Q60" t="s">
        <v>3587</v>
      </c>
      <c r="R60" t="s">
        <v>3584</v>
      </c>
      <c r="S60">
        <v>0</v>
      </c>
      <c r="T60">
        <v>0</v>
      </c>
    </row>
    <row r="61" spans="1:20" ht="34">
      <c r="C61" s="53" t="s">
        <v>3719</v>
      </c>
    </row>
    <row r="62" spans="1:20" ht="17">
      <c r="C62" s="53" t="s">
        <v>3518</v>
      </c>
    </row>
    <row r="63" spans="1:20" ht="34">
      <c r="A63" t="str">
        <f>('remet-mad'!E86)</f>
        <v>Chlorophyta</v>
      </c>
      <c r="B63" t="str">
        <f>('remet-mad'!I86)</f>
        <v>Scenedesmus</v>
      </c>
      <c r="C63" s="53" t="s">
        <v>3015</v>
      </c>
      <c r="E63">
        <f>COUNTIF('remet-mad'!Q86,"&lt;=10")</f>
        <v>0</v>
      </c>
      <c r="F63">
        <f>COUNTIFS('remet-mad'!Q86,"&gt;10",'remet-mad'!Q86,"&lt;=25")</f>
        <v>1</v>
      </c>
      <c r="G63">
        <f>COUNTIFS('remet-mad'!Q86,"&gt;25",'remet-mad'!Q86,"&lt;=100")</f>
        <v>0</v>
      </c>
      <c r="H63">
        <f>COUNTIFS('remet-mad'!Q86,"&gt;100")</f>
        <v>0</v>
      </c>
      <c r="I63" s="68">
        <f>COUNTIF('remet-mad'!BH86,"&lt;=0.3")</f>
        <v>0</v>
      </c>
      <c r="J63" s="68">
        <f>COUNTIFS('remet-mad'!BH86,"&gt;0.3",'remet-mad'!BH86,"&lt;=0.7")</f>
        <v>1</v>
      </c>
      <c r="K63" s="68">
        <f>COUNTIFS('remet-mad'!BH86,"&gt;0.7",'remet-mad'!BH86,"&lt;=1.0")</f>
        <v>0</v>
      </c>
      <c r="L63" s="68">
        <f>COUNTIFS('remet-mad'!BH86,"&gt;1.0",'remet-mad'!BH86,"&lt;=3.0")</f>
        <v>0</v>
      </c>
      <c r="M63" s="68">
        <f>COUNTIF('remet-mad'!BH86,"&gt;3.0")</f>
        <v>0</v>
      </c>
      <c r="N63" s="64">
        <f>('remet-mad'!AM86)</f>
        <v>0.16</v>
      </c>
      <c r="O63">
        <f>COUNTIF('remet-mad'!Y86,"=1")</f>
        <v>0</v>
      </c>
      <c r="P63">
        <f>COUNTIF('remet-mad'!Y86,"&gt;1")</f>
        <v>1</v>
      </c>
      <c r="Q63" t="s">
        <v>3589</v>
      </c>
      <c r="R63" t="s">
        <v>3583</v>
      </c>
      <c r="S63">
        <v>0</v>
      </c>
      <c r="T63">
        <v>0</v>
      </c>
    </row>
    <row r="64" spans="1:20" ht="17">
      <c r="A64" t="str">
        <f>('remet-mad'!E87)</f>
        <v>Chlorophyta</v>
      </c>
      <c r="B64" t="str">
        <f>('remet-mad'!I87)</f>
        <v>Scenedesmus</v>
      </c>
      <c r="C64" s="53" t="s">
        <v>2947</v>
      </c>
      <c r="E64">
        <f>COUNTIF('remet-mad'!Q87,"&lt;=10")</f>
        <v>0</v>
      </c>
      <c r="F64">
        <f>COUNTIFS('remet-mad'!Q87,"&gt;10",'remet-mad'!Q87,"&lt;=25")</f>
        <v>1</v>
      </c>
      <c r="G64">
        <f>COUNTIFS('remet-mad'!Q87,"&gt;25",'remet-mad'!Q87,"&lt;=100")</f>
        <v>0</v>
      </c>
      <c r="H64">
        <f>COUNTIFS('remet-mad'!Q87,"&gt;100")</f>
        <v>0</v>
      </c>
      <c r="I64" s="68">
        <f>COUNTIF('remet-mad'!BH87,"&lt;=0.3")</f>
        <v>1</v>
      </c>
      <c r="J64" s="68">
        <f>COUNTIFS('remet-mad'!BH87,"&gt;0.3",'remet-mad'!BH87,"&lt;=0.7")</f>
        <v>0</v>
      </c>
      <c r="K64" s="68">
        <f>COUNTIFS('remet-mad'!BH87,"&gt;0.7",'remet-mad'!BH87,"&lt;=1.0")</f>
        <v>0</v>
      </c>
      <c r="L64" s="68">
        <f>COUNTIFS('remet-mad'!BH87,"&gt;1.0",'remet-mad'!BH87,"&lt;=3.0")</f>
        <v>0</v>
      </c>
      <c r="M64" s="68">
        <f>COUNTIF('remet-mad'!BH87,"&gt;3.0")</f>
        <v>0</v>
      </c>
      <c r="N64" s="64">
        <f>('remet-mad'!AM87)</f>
        <v>0.16</v>
      </c>
      <c r="O64">
        <f>COUNTIF('remet-mad'!Y87,"=1")</f>
        <v>0</v>
      </c>
      <c r="P64">
        <f>COUNTIF('remet-mad'!Y87,"&gt;1")</f>
        <v>1</v>
      </c>
      <c r="Q64" t="s">
        <v>3589</v>
      </c>
      <c r="R64" t="s">
        <v>3583</v>
      </c>
      <c r="S64">
        <v>0</v>
      </c>
      <c r="T64">
        <v>0</v>
      </c>
    </row>
    <row r="65" spans="1:20" ht="34">
      <c r="A65" t="str">
        <f>('remet-mad'!E88)</f>
        <v>Bacillariophyta</v>
      </c>
      <c r="B65" t="str">
        <f>('remet-mad'!I88)</f>
        <v>Stephanodiscus</v>
      </c>
      <c r="C65" s="53" t="s">
        <v>2170</v>
      </c>
      <c r="E65">
        <f>COUNTIF('remet-mad'!Q88:'remet-mad'!Q89,"&lt;=10")/COUNT('remet-mad'!Q88:'remet-mad'!Q89)</f>
        <v>0</v>
      </c>
      <c r="F65">
        <f>COUNTIFS('remet-mad'!Q88:'remet-mad'!Q89,"&gt;10",'remet-mad'!Q88:'remet-mad'!Q89,"&lt;=25")/COUNT('remet-mad'!Q88:'remet-mad'!Q89)</f>
        <v>1</v>
      </c>
      <c r="G65">
        <f>COUNTIFS('remet-mad'!Q88:'remet-mad'!Q89,"&gt;25",'remet-mad'!Q88:'remet-mad'!Q89,"&lt;=100")/COUNT('remet-mad'!Q88:'remet-mad'!Q89)</f>
        <v>0</v>
      </c>
      <c r="H65">
        <f>COUNTIFS('remet-mad'!Q88:'remet-mad'!Q89,"&gt;100")/COUNT('remet-mad'!Q88:'remet-mad'!Q89)</f>
        <v>0</v>
      </c>
      <c r="I65">
        <f>COUNTIF('remet-mad'!BH88:'remet-mad'!BH89,"&lt;=0.3")/COUNT('remet-mad'!BH88:'remet-mad'!BH89)</f>
        <v>0</v>
      </c>
      <c r="J65">
        <f>COUNTIFS('remet-mad'!BH88:'remet-mad'!BH89,"&gt;0.3",'remet-mad'!BH88:'remet-mad'!BH89,"&lt;=0.7")/COUNT('remet-mad'!BH88:'remet-mad'!BH89)</f>
        <v>0</v>
      </c>
      <c r="K65">
        <f>COUNTIFS('remet-mad'!BH88:'remet-mad'!BH89,"&gt;0.7",'remet-mad'!BH88:'remet-mad'!BH89,"&lt;=1.0")/COUNT('remet-mad'!BH88:'remet-mad'!BH89)</f>
        <v>0</v>
      </c>
      <c r="L65">
        <f>COUNTIFS('remet-mad'!BH88:'remet-mad'!BH89,"&gt;1.0",'remet-mad'!BH88:'remet-mad'!BH89,"&lt;=3.0")/COUNT('remet-mad'!BH88:'remet-mad'!BH89)</f>
        <v>0</v>
      </c>
      <c r="M65">
        <f>COUNTIFS('remet-mad'!BH88:'remet-mad'!BH89,"&gt;3")/COUNT('remet-mad'!BH88:'remet-mad'!BH89)</f>
        <v>1</v>
      </c>
      <c r="N65" s="64">
        <f>('remet-mad'!AM88)</f>
        <v>0.11</v>
      </c>
      <c r="O65">
        <f>COUNTIF('remet-mad'!Y88:'remet-mad'!Y89,"=1")/COUNT('remet-mad'!Y88:'remet-mad'!Y89)</f>
        <v>1</v>
      </c>
      <c r="P65">
        <f>COUNTIF('remet-mad'!Y88:'remet-mad'!Y89,"&gt;1")/COUNT('remet-mad'!Y88:'remet-mad'!Y89)</f>
        <v>0</v>
      </c>
      <c r="Q65" t="s">
        <v>3589</v>
      </c>
      <c r="R65" t="s">
        <v>3584</v>
      </c>
      <c r="S65">
        <v>0</v>
      </c>
      <c r="T65">
        <v>1</v>
      </c>
    </row>
    <row r="66" spans="1:20" ht="17">
      <c r="A66" t="str">
        <f>('remet-mad'!E89)</f>
        <v>Bacillariophyta</v>
      </c>
      <c r="B66" t="str">
        <f>('remet-mad'!I89)</f>
        <v>Stephanodiscus</v>
      </c>
      <c r="C66" s="53" t="s">
        <v>2183</v>
      </c>
      <c r="E66">
        <f>COUNTIF('remet-mad'!Q90,"&lt;=10")</f>
        <v>1</v>
      </c>
      <c r="F66">
        <f>COUNTIFS('remet-mad'!Q90,"&gt;10",'remet-mad'!Q90,"&lt;=25")</f>
        <v>0</v>
      </c>
      <c r="G66">
        <f>COUNTIFS('remet-mad'!Q90,"&gt;25",'remet-mad'!Q90,"&lt;=100")</f>
        <v>0</v>
      </c>
      <c r="H66">
        <f>COUNTIFS('remet-mad'!Q90,"&gt;100")</f>
        <v>0</v>
      </c>
      <c r="I66" s="68">
        <f>COUNTIF('remet-mad'!BH90,"&lt;=0.3")</f>
        <v>0</v>
      </c>
      <c r="J66" s="68">
        <f>COUNTIFS('remet-mad'!BH90,"&gt;0.3",'remet-mad'!BH90,"&lt;=0.7")</f>
        <v>1</v>
      </c>
      <c r="K66" s="68">
        <f>COUNTIFS('remet-mad'!BH90,"&gt;0.7",'remet-mad'!BH90,"&lt;=1.0")</f>
        <v>0</v>
      </c>
      <c r="L66" s="68">
        <f>COUNTIFS('remet-mad'!BH90,"&gt;1.0",'remet-mad'!BH90,"&lt;=3.0")</f>
        <v>0</v>
      </c>
      <c r="M66" s="68">
        <f>COUNTIF('remet-mad'!BH90,"&gt;3.0")</f>
        <v>0</v>
      </c>
      <c r="N66" s="64">
        <f>('remet-mad'!AM90)</f>
        <v>0.11</v>
      </c>
      <c r="O66">
        <f>COUNTIF('remet-mad'!Y90,"=1")</f>
        <v>1</v>
      </c>
      <c r="P66">
        <f>COUNTIF('remet-mad'!Y90,"&gt;1")</f>
        <v>0</v>
      </c>
      <c r="Q66" t="s">
        <v>3589</v>
      </c>
      <c r="R66" t="s">
        <v>3584</v>
      </c>
      <c r="S66">
        <v>0</v>
      </c>
      <c r="T66">
        <v>1</v>
      </c>
    </row>
    <row r="67" spans="1:20" ht="17">
      <c r="A67" t="str">
        <f>('remet-mad'!E91)</f>
        <v>Ochrophyta</v>
      </c>
      <c r="B67" t="str">
        <f>('remet-mad'!I91)</f>
        <v>Uroglena</v>
      </c>
      <c r="C67" s="53" t="s">
        <v>1339</v>
      </c>
      <c r="E67">
        <f>COUNTIF('remet-mad'!Q91:'remet-mad'!Q93,"&lt;=10")/COUNT('remet-mad'!Q91:'remet-mad'!Q93)</f>
        <v>1</v>
      </c>
      <c r="F67">
        <f>COUNTIFS('remet-mad'!Q91:'remet-mad'!Q93,"&gt;10",'remet-mad'!Q91:'remet-mad'!Q93,"&lt;=25")/COUNT('remet-mad'!Q91:'remet-mad'!Q93)</f>
        <v>0</v>
      </c>
      <c r="G67">
        <f>COUNTIFS('remet-mad'!Q91:'remet-mad'!Q93,"&gt;25",'remet-mad'!Q91:'remet-mad'!Q93,"&lt;=100")/COUNT('remet-mad'!Q91:'remet-mad'!Q93)</f>
        <v>0</v>
      </c>
      <c r="H67">
        <f>COUNTIFS('remet-mad'!Q91:'remet-mad'!Q93,"&gt;100")/COUNT('remet-mad'!Q91:'remet-mad'!Q93)</f>
        <v>0</v>
      </c>
      <c r="I67">
        <f>COUNTIF('remet-mad'!BH91:'remet-mad'!BH93,"&lt;=0.3")/COUNT('remet-mad'!BH91:'remet-mad'!BH93)</f>
        <v>1</v>
      </c>
      <c r="J67">
        <f>COUNTIFS('remet-mad'!BH91:'remet-mad'!BH93,"&gt;0.3",'remet-mad'!BH91:'remet-mad'!BH93,"&lt;=0.7")/COUNT('remet-mad'!BH91:'remet-mad'!BH93)</f>
        <v>0</v>
      </c>
      <c r="K67">
        <f>COUNTIFS('remet-mad'!BH91:'remet-mad'!BH93,"&gt;0.7",'remet-mad'!BH91:'remet-mad'!BH93,"&lt;=1.0")/COUNT('remet-mad'!BH91:'remet-mad'!BH93)</f>
        <v>0</v>
      </c>
      <c r="L67">
        <f>COUNTIFS('remet-mad'!BH91:'remet-mad'!BH93,"&gt;1.0",'remet-mad'!BH91:'remet-mad'!BH93,"&lt;=3.0")/COUNT('remet-mad'!BH91:'remet-mad'!BH93)</f>
        <v>0</v>
      </c>
      <c r="M67">
        <f>COUNTIFS('remet-mad'!BH91:'remet-mad'!BH93,"&gt;3")/COUNT('remet-mad'!BH91:'remet-mad'!BH93)</f>
        <v>0</v>
      </c>
      <c r="N67" s="64">
        <f>('remet-mad'!AM91)</f>
        <v>0.11</v>
      </c>
      <c r="O67">
        <f>COUNTIF('remet-mad'!Y91:'remet-mad'!Y93,"=1")/COUNT('remet-mad'!Y91:'remet-mad'!Y93)</f>
        <v>0</v>
      </c>
      <c r="P67">
        <f>COUNTIF('remet-mad'!Y91:'remet-mad'!Y93,"&gt;1")/COUNT('remet-mad'!Y91:'remet-mad'!Y93)</f>
        <v>1</v>
      </c>
      <c r="Q67" t="s">
        <v>3587</v>
      </c>
      <c r="R67" t="s">
        <v>3584</v>
      </c>
      <c r="S67">
        <v>0</v>
      </c>
      <c r="T67">
        <v>0</v>
      </c>
    </row>
    <row r="68" spans="1:20" ht="34">
      <c r="A68" t="str">
        <f>('remet-mad'!E94)</f>
        <v>Bacillariophyta</v>
      </c>
      <c r="B68" t="str">
        <f>('remet-mad'!I94)</f>
        <v>Achnanthes</v>
      </c>
      <c r="C68" s="53" t="s">
        <v>1465</v>
      </c>
      <c r="E68">
        <f>COUNTIF('remet-mad'!Q94,"&lt;=10")</f>
        <v>0</v>
      </c>
      <c r="F68">
        <f>COUNTIFS('remet-mad'!Q94,"&gt;10",'remet-mad'!Q94,"&lt;=25")</f>
        <v>0</v>
      </c>
      <c r="G68">
        <f>COUNTIFS('remet-mad'!Q94,"&gt;25",'remet-mad'!Q94,"&lt;=100")</f>
        <v>1</v>
      </c>
      <c r="H68">
        <f>COUNTIFS('remet-mad'!Q94,"&gt;100")</f>
        <v>0</v>
      </c>
      <c r="I68" s="68">
        <f>COUNTIF('remet-mad'!BH94,"&lt;=0.3")</f>
        <v>0</v>
      </c>
      <c r="J68" s="68">
        <f>COUNTIFS('remet-mad'!BH94,"&gt;0.3",'remet-mad'!BH94,"&lt;=0.7")</f>
        <v>1</v>
      </c>
      <c r="K68" s="68">
        <f>COUNTIFS('remet-mad'!BH94,"&gt;0.7",'remet-mad'!BH94,"&lt;=1.0")</f>
        <v>0</v>
      </c>
      <c r="L68" s="68">
        <f>COUNTIFS('remet-mad'!BH94,"&gt;1.0",'remet-mad'!BH94,"&lt;=3.0")</f>
        <v>0</v>
      </c>
      <c r="M68" s="68">
        <f>COUNTIF('remet-mad'!BH94,"&gt;3.0")</f>
        <v>0</v>
      </c>
      <c r="N68" s="64">
        <f>('remet-mad'!AM94)</f>
        <v>0.11</v>
      </c>
      <c r="O68">
        <f>COUNTIF('remet-mad'!Y94,"=1")</f>
        <v>1</v>
      </c>
      <c r="P68">
        <f>COUNTIF('remet-mad'!Y94,"&gt;1")</f>
        <v>0</v>
      </c>
      <c r="Q68" t="s">
        <v>3586</v>
      </c>
      <c r="R68" t="s">
        <v>3584</v>
      </c>
      <c r="S68">
        <v>0</v>
      </c>
      <c r="T68">
        <v>0</v>
      </c>
    </row>
    <row r="69" spans="1:20" ht="17">
      <c r="A69" t="str">
        <f>('remet-mad'!E95)</f>
        <v>Chlorophyta</v>
      </c>
      <c r="B69" t="str">
        <f>('remet-mad'!I95)</f>
        <v>Actinastrum</v>
      </c>
      <c r="C69" s="53" t="s">
        <v>2234</v>
      </c>
      <c r="E69">
        <f>COUNTIF('remet-mad'!Q95,"&lt;=10")</f>
        <v>0</v>
      </c>
      <c r="F69">
        <f>COUNTIFS('remet-mad'!Q95,"&gt;10",'remet-mad'!Q95,"&lt;=25")</f>
        <v>0</v>
      </c>
      <c r="G69">
        <f>COUNTIFS('remet-mad'!Q95,"&gt;25",'remet-mad'!Q95,"&lt;=100")</f>
        <v>1</v>
      </c>
      <c r="H69">
        <f>COUNTIFS('remet-mad'!Q95,"&gt;100")</f>
        <v>0</v>
      </c>
      <c r="I69" s="68">
        <f>COUNTIF('remet-mad'!BH95,"&lt;=0.3")</f>
        <v>1</v>
      </c>
      <c r="J69" s="68">
        <f>COUNTIFS('remet-mad'!BH95,"&gt;0.3",'remet-mad'!BH95,"&lt;=0.7")</f>
        <v>0</v>
      </c>
      <c r="K69" s="68">
        <f>COUNTIFS('remet-mad'!BH95,"&gt;0.7",'remet-mad'!BH95,"&lt;=1.0")</f>
        <v>0</v>
      </c>
      <c r="L69" s="68">
        <f>COUNTIFS('remet-mad'!BH95,"&gt;1.0",'remet-mad'!BH95,"&lt;=3.0")</f>
        <v>0</v>
      </c>
      <c r="M69" s="68">
        <f>COUNTIF('remet-mad'!BH95,"&gt;3.0")</f>
        <v>0</v>
      </c>
      <c r="N69" s="64">
        <f>('remet-mad'!AM95)</f>
        <v>0.16</v>
      </c>
      <c r="O69">
        <f>COUNTIF('remet-mad'!Y95,"=1")</f>
        <v>0</v>
      </c>
      <c r="P69">
        <f>COUNTIF('remet-mad'!Y95,"&gt;1")</f>
        <v>1</v>
      </c>
      <c r="Q69" t="s">
        <v>3589</v>
      </c>
      <c r="R69" t="s">
        <v>3583</v>
      </c>
      <c r="S69">
        <v>0</v>
      </c>
      <c r="T69">
        <v>0</v>
      </c>
    </row>
    <row r="70" spans="1:20" ht="34">
      <c r="C70" s="53" t="s">
        <v>3713</v>
      </c>
    </row>
    <row r="71" spans="1:20" ht="17">
      <c r="A71" t="str">
        <f>('remet-mad'!E97)</f>
        <v>Cyanobacteria</v>
      </c>
      <c r="B71" t="str">
        <f>('remet-mad'!I97)</f>
        <v>Anabaena</v>
      </c>
      <c r="C71" s="53" t="s">
        <v>180</v>
      </c>
      <c r="E71">
        <f>COUNTIF('remet-mad'!Q97:'remet-mad'!Q98,"&lt;=10")/COUNT('remet-mad'!Q97:'remet-mad'!Q98)</f>
        <v>1</v>
      </c>
      <c r="F71">
        <f>COUNTIFS('remet-mad'!Q97:'remet-mad'!Q98,"&gt;10",'remet-mad'!Q97:'remet-mad'!Q98,"&lt;=25")/COUNT('remet-mad'!Q97:'remet-mad'!Q98)</f>
        <v>0</v>
      </c>
      <c r="G71">
        <f>COUNTIFS('remet-mad'!Q97:'remet-mad'!Q98,"&gt;25",'remet-mad'!Q97:'remet-mad'!Q98,"&lt;=100")/COUNT('remet-mad'!Q97:'remet-mad'!Q98)</f>
        <v>0</v>
      </c>
      <c r="H71">
        <f>COUNTIFS('remet-mad'!Q97:'remet-mad'!Q98,"&gt;100")/COUNT('remet-mad'!Q97:'remet-mad'!Q98)</f>
        <v>0</v>
      </c>
      <c r="I71">
        <f>COUNTIF('remet-mad'!BH97:'remet-mad'!BH98,"&lt;=0.3")/COUNT('remet-mad'!BH97:'remet-mad'!BH98)</f>
        <v>0</v>
      </c>
      <c r="J71">
        <f>COUNTIFS('remet-mad'!BH97:'remet-mad'!BH98,"&gt;0.3",'remet-mad'!BH97:'remet-mad'!BH98,"&lt;=0.7")/COUNT('remet-mad'!BH97:'remet-mad'!BH98)</f>
        <v>1</v>
      </c>
      <c r="K71">
        <f>COUNTIFS('remet-mad'!BH97:'remet-mad'!BH98,"&gt;0.7",'remet-mad'!BH97:'remet-mad'!BH98,"&lt;=1.0")/COUNT('remet-mad'!BH97:'remet-mad'!BH98)</f>
        <v>0</v>
      </c>
      <c r="L71">
        <f>COUNTIFS('remet-mad'!BH97:'remet-mad'!BH98,"&gt;1.0",'remet-mad'!BH97:'remet-mad'!BH98,"&lt;=3.0")/COUNT('remet-mad'!BH97:'remet-mad'!BH98)</f>
        <v>0</v>
      </c>
      <c r="M71">
        <f>COUNTIFS('remet-mad'!BH97:'remet-mad'!BH98,"&gt;3")/COUNT('remet-mad'!BH97:'remet-mad'!BH98)</f>
        <v>0</v>
      </c>
      <c r="N71" s="64">
        <f>('remet-mad'!AM97)</f>
        <v>0.22</v>
      </c>
      <c r="O71">
        <f>COUNTIF('remet-mad'!Y97:'remet-mad'!Y98,"=1")/COUNT('remet-mad'!Y97:'remet-mad'!Y98)</f>
        <v>0</v>
      </c>
      <c r="P71">
        <f>COUNTIF('remet-mad'!Y97:'remet-mad'!Y98,"&gt;1")/COUNT('remet-mad'!Y97:'remet-mad'!Y98)</f>
        <v>1</v>
      </c>
      <c r="Q71" t="s">
        <v>3589</v>
      </c>
      <c r="R71" t="s">
        <v>3583</v>
      </c>
      <c r="S71">
        <v>1</v>
      </c>
      <c r="T71">
        <v>0</v>
      </c>
    </row>
    <row r="72" spans="1:20" ht="17">
      <c r="A72" t="str">
        <f>('remet-mad'!E98)</f>
        <v>Cyanobacteria</v>
      </c>
      <c r="B72" t="str">
        <f>('remet-mad'!I98)</f>
        <v>Anabaena</v>
      </c>
      <c r="C72" s="53" t="s">
        <v>187</v>
      </c>
      <c r="E72">
        <f>COUNTIF('remet-mad'!Q99:'remet-mad'!Q101,"&lt;=10")/COUNT('remet-mad'!Q99:'remet-mad'!Q101)</f>
        <v>1</v>
      </c>
      <c r="F72">
        <f>COUNTIFS('remet-mad'!Q99:'remet-mad'!Q101,"&gt;10",'remet-mad'!Q99:'remet-mad'!Q101,"&lt;=25")/COUNT('remet-mad'!Q99:'remet-mad'!Q101)</f>
        <v>0</v>
      </c>
      <c r="G72">
        <f>COUNTIFS('remet-mad'!Q99:'remet-mad'!Q101,"&gt;25",'remet-mad'!Q99:'remet-mad'!Q101,"&lt;=100")/COUNT('remet-mad'!Q99:'remet-mad'!Q101)</f>
        <v>0</v>
      </c>
      <c r="H72">
        <f>COUNTIFS('remet-mad'!Q99:'remet-mad'!Q101,"&gt;100")/COUNT('remet-mad'!Q99:'remet-mad'!Q101)</f>
        <v>0</v>
      </c>
      <c r="I72">
        <f>COUNTIF('remet-mad'!BH99:'remet-mad'!BH101,"&lt;=0.3")/COUNT('remet-mad'!BH99:'remet-mad'!BH101)</f>
        <v>1</v>
      </c>
      <c r="J72">
        <f>COUNTIFS('remet-mad'!BH99:'remet-mad'!BH101,"&gt;0.3",'remet-mad'!BH99:'remet-mad'!BH101,"&lt;=0.7")/COUNT('remet-mad'!BH99:'remet-mad'!BH101)</f>
        <v>0</v>
      </c>
      <c r="K72">
        <f>COUNTIFS('remet-mad'!BH99:'remet-mad'!BH101,"&gt;0.7",'remet-mad'!BH99:'remet-mad'!BH101,"&lt;=1.0")/COUNT('remet-mad'!BH99:'remet-mad'!BH101)</f>
        <v>0</v>
      </c>
      <c r="L72">
        <f>COUNTIFS('remet-mad'!BH99:'remet-mad'!BH101,"&gt;1.0",'remet-mad'!BH99:'remet-mad'!BH101,"&lt;=3.0")/COUNT('remet-mad'!BH99:'remet-mad'!BH101)</f>
        <v>0</v>
      </c>
      <c r="M72">
        <f>COUNTIFS('remet-mad'!BH99:'remet-mad'!BH101,"&gt;3")/COUNT('remet-mad'!BH99:'remet-mad'!BH101)</f>
        <v>0</v>
      </c>
      <c r="N72" s="64">
        <f>('remet-mad'!AM99)</f>
        <v>0.22</v>
      </c>
      <c r="O72">
        <f>COUNTIF('remet-mad'!Y99:'remet-mad'!Y101,"=1")/COUNT('remet-mad'!Y99:'remet-mad'!Y101)</f>
        <v>0</v>
      </c>
      <c r="P72">
        <f>COUNTIF('remet-mad'!Y99:'remet-mad'!Y101,"&gt;1")/COUNT('remet-mad'!Y99:'remet-mad'!Y101)</f>
        <v>1</v>
      </c>
      <c r="Q72" t="s">
        <v>3589</v>
      </c>
      <c r="R72" t="s">
        <v>3583</v>
      </c>
      <c r="S72">
        <v>1</v>
      </c>
      <c r="T72">
        <v>0</v>
      </c>
    </row>
    <row r="73" spans="1:20" ht="34">
      <c r="A73" t="str">
        <f>('remet-mad'!E99)</f>
        <v>Cyanobacteria</v>
      </c>
      <c r="B73" t="str">
        <f>('remet-mad'!I99)</f>
        <v>Anabaena</v>
      </c>
      <c r="C73" s="53" t="s">
        <v>3732</v>
      </c>
      <c r="E73">
        <f>COUNTIF('remet-mad'!Q102,"&lt;=10")</f>
        <v>1</v>
      </c>
      <c r="F73">
        <f>COUNTIFS('remet-mad'!Q102,"&gt;10",'remet-mad'!Q102,"&lt;=25")</f>
        <v>0</v>
      </c>
      <c r="G73">
        <f>COUNTIFS('remet-mad'!Q102,"&gt;25",'remet-mad'!Q102,"&lt;=100")</f>
        <v>0</v>
      </c>
      <c r="H73">
        <f>COUNTIFS('remet-mad'!Q102,"&gt;100")</f>
        <v>0</v>
      </c>
      <c r="I73" s="68">
        <f>COUNTIF('remet-mad'!BH102,"&lt;=0.3")</f>
        <v>1</v>
      </c>
      <c r="J73" s="68">
        <f>COUNTIFS('remet-mad'!BH102,"&gt;0.3",'remet-mad'!BH102,"&lt;=0.7")</f>
        <v>0</v>
      </c>
      <c r="K73" s="68">
        <f>COUNTIFS('remet-mad'!BH102,"&gt;0.7",'remet-mad'!BH102,"&lt;=1.0")</f>
        <v>0</v>
      </c>
      <c r="L73" s="68">
        <f>COUNTIFS('remet-mad'!BH102,"&gt;1.0",'remet-mad'!BH102,"&lt;=3.0")</f>
        <v>0</v>
      </c>
      <c r="M73" s="68">
        <f>COUNTIF('remet-mad'!BH102,"&gt;3.0")</f>
        <v>0</v>
      </c>
      <c r="N73" s="64">
        <f>('remet-mad'!AM102)</f>
        <v>0.22</v>
      </c>
      <c r="O73">
        <f>COUNTIF('remet-mad'!Y102,"=1")</f>
        <v>0</v>
      </c>
      <c r="P73">
        <f>COUNTIF('remet-mad'!Y102,"&gt;1")</f>
        <v>1</v>
      </c>
      <c r="Q73" t="s">
        <v>3589</v>
      </c>
      <c r="R73" t="s">
        <v>3583</v>
      </c>
      <c r="S73">
        <v>1</v>
      </c>
      <c r="T73">
        <v>0</v>
      </c>
    </row>
    <row r="74" spans="1:20" ht="17">
      <c r="A74" t="str">
        <f>('remet-mad'!E103)</f>
        <v>Cyanobacteria</v>
      </c>
      <c r="B74" t="str">
        <f>('remet-mad'!I103)</f>
        <v>Anabaena</v>
      </c>
      <c r="C74" s="53" t="s">
        <v>197</v>
      </c>
      <c r="E74">
        <f>COUNTIF('remet-mad'!Q103,"&lt;=10")</f>
        <v>1</v>
      </c>
      <c r="F74">
        <f>COUNTIFS('remet-mad'!Q103,"&gt;10",'remet-mad'!Q103,"&lt;=25")</f>
        <v>0</v>
      </c>
      <c r="G74">
        <f>COUNTIFS('remet-mad'!Q103,"&gt;25",'remet-mad'!Q103,"&lt;=100")</f>
        <v>0</v>
      </c>
      <c r="H74">
        <f>COUNTIFS('remet-mad'!Q103,"&gt;100")</f>
        <v>0</v>
      </c>
      <c r="I74" s="68">
        <f>COUNTIF('remet-mad'!BH103,"&lt;=0.3")</f>
        <v>0</v>
      </c>
      <c r="J74" s="68">
        <f>COUNTIFS('remet-mad'!BH103,"&gt;0.3",'remet-mad'!BH103,"&lt;=0.7")</f>
        <v>1</v>
      </c>
      <c r="K74" s="68">
        <f>COUNTIFS('remet-mad'!BH103,"&gt;0.7",'remet-mad'!BH103,"&lt;=1.0")</f>
        <v>0</v>
      </c>
      <c r="L74" s="68">
        <f>COUNTIFS('remet-mad'!BH103,"&gt;1.0",'remet-mad'!BH103,"&lt;=3.0")</f>
        <v>0</v>
      </c>
      <c r="M74" s="68">
        <f>COUNTIF('remet-mad'!BH103,"&gt;3.0")</f>
        <v>0</v>
      </c>
      <c r="N74" s="64">
        <f>('remet-mad'!AM103)</f>
        <v>0.22</v>
      </c>
      <c r="O74">
        <f>COUNTIF('remet-mad'!Y103,"=1")</f>
        <v>0</v>
      </c>
      <c r="P74">
        <f>COUNTIF('remet-mad'!Y103,"&gt;1")</f>
        <v>1</v>
      </c>
      <c r="Q74" t="s">
        <v>3589</v>
      </c>
      <c r="R74" t="s">
        <v>3583</v>
      </c>
      <c r="S74">
        <v>1</v>
      </c>
      <c r="T74">
        <v>0</v>
      </c>
    </row>
    <row r="75" spans="1:20" ht="17">
      <c r="C75" s="53" t="s">
        <v>3733</v>
      </c>
    </row>
    <row r="76" spans="1:20" ht="34">
      <c r="C76" s="53" t="s">
        <v>3714</v>
      </c>
    </row>
    <row r="77" spans="1:20" ht="34">
      <c r="A77" t="str">
        <f>('remet-mad'!E106)</f>
        <v>Chlorophyta</v>
      </c>
      <c r="B77" t="str">
        <f>('remet-mad'!I106)</f>
        <v>Ankistrodesmus</v>
      </c>
      <c r="C77" s="53" t="s">
        <v>2252</v>
      </c>
      <c r="E77">
        <f>COUNTIF('remet-mad'!Q106,"&lt;=10")</f>
        <v>0</v>
      </c>
      <c r="F77">
        <f>COUNTIFS('remet-mad'!Q106,"&gt;10",'remet-mad'!Q106,"&lt;=25")</f>
        <v>0</v>
      </c>
      <c r="G77">
        <f>COUNTIFS('remet-mad'!Q106,"&gt;25",'remet-mad'!Q106,"&lt;=100")</f>
        <v>1</v>
      </c>
      <c r="H77">
        <f>COUNTIFS('remet-mad'!Q106,"&gt;100")</f>
        <v>0</v>
      </c>
      <c r="I77" s="68">
        <f>COUNTIF('remet-mad'!BH106,"&lt;=0.3")</f>
        <v>1</v>
      </c>
      <c r="J77" s="68">
        <f>COUNTIFS('remet-mad'!BH106,"&gt;0.3",'remet-mad'!BH106,"&lt;=0.7")</f>
        <v>0</v>
      </c>
      <c r="K77" s="68">
        <f>COUNTIFS('remet-mad'!BH106,"&gt;0.7",'remet-mad'!BH106,"&lt;=1.0")</f>
        <v>0</v>
      </c>
      <c r="L77" s="68">
        <f>COUNTIFS('remet-mad'!BH106,"&gt;1.0",'remet-mad'!BH106,"&lt;=3.0")</f>
        <v>0</v>
      </c>
      <c r="M77" s="68">
        <f>COUNTIF('remet-mad'!BH106,"&gt;3.0")</f>
        <v>0</v>
      </c>
      <c r="N77" s="64">
        <f>('remet-mad'!AM106)</f>
        <v>0.16</v>
      </c>
      <c r="O77">
        <f>COUNTIF('remet-mad'!Y106,"=1")</f>
        <v>0</v>
      </c>
      <c r="P77">
        <f>COUNTIF('remet-mad'!Y106,"&gt;1")</f>
        <v>1</v>
      </c>
      <c r="Q77" t="s">
        <v>3589</v>
      </c>
      <c r="R77" t="s">
        <v>3583</v>
      </c>
      <c r="S77">
        <v>0</v>
      </c>
      <c r="T77">
        <v>0</v>
      </c>
    </row>
    <row r="78" spans="1:20" ht="34">
      <c r="A78" t="str">
        <f>('remet-mad'!E107)</f>
        <v>Cyanobacteria</v>
      </c>
      <c r="B78" t="str">
        <f>('remet-mad'!I107)</f>
        <v>Aphanizomenon</v>
      </c>
      <c r="C78" s="53" t="s">
        <v>3734</v>
      </c>
      <c r="E78">
        <f>COUNTIF('remet-mad'!Q107,"&lt;=10")</f>
        <v>1</v>
      </c>
      <c r="F78">
        <f>COUNTIFS('remet-mad'!Q107,"&gt;10",'remet-mad'!Q107,"&lt;=25")</f>
        <v>0</v>
      </c>
      <c r="G78">
        <f>COUNTIFS('remet-mad'!Q107,"&gt;25",'remet-mad'!Q107,"&lt;=100")</f>
        <v>0</v>
      </c>
      <c r="H78">
        <f>COUNTIFS('remet-mad'!Q107,"&gt;100")</f>
        <v>0</v>
      </c>
      <c r="I78" s="68">
        <f>COUNTIF('remet-mad'!BH107,"&lt;=0.3")</f>
        <v>1</v>
      </c>
      <c r="J78" s="68">
        <f>COUNTIFS('remet-mad'!BH107,"&gt;0.3",'remet-mad'!BH107,"&lt;=0.7")</f>
        <v>0</v>
      </c>
      <c r="K78" s="68">
        <f>COUNTIFS('remet-mad'!BH107,"&gt;0.7",'remet-mad'!BH107,"&lt;=1.0")</f>
        <v>0</v>
      </c>
      <c r="L78" s="68">
        <f>COUNTIFS('remet-mad'!BH107,"&gt;1.0",'remet-mad'!BH107,"&lt;=3.0")</f>
        <v>0</v>
      </c>
      <c r="M78" s="68">
        <f>COUNTIF('remet-mad'!BH107,"&gt;3.0")</f>
        <v>0</v>
      </c>
      <c r="N78" s="64">
        <f>('remet-mad'!AM107)</f>
        <v>0.22</v>
      </c>
      <c r="O78">
        <f>COUNTIF('remet-mad'!Y107,"=1")</f>
        <v>0</v>
      </c>
      <c r="P78">
        <f>COUNTIF('remet-mad'!Y107,"&gt;1")</f>
        <v>1</v>
      </c>
      <c r="Q78" t="s">
        <v>3589</v>
      </c>
      <c r="R78" t="s">
        <v>3583</v>
      </c>
      <c r="S78">
        <v>1</v>
      </c>
      <c r="T78">
        <v>0</v>
      </c>
    </row>
    <row r="79" spans="1:20" ht="34">
      <c r="A79" t="str">
        <f>('remet-mad'!E108)</f>
        <v>Cyanobacteria</v>
      </c>
      <c r="B79" t="str">
        <f>('remet-mad'!I108)</f>
        <v>Aphanizomenon</v>
      </c>
      <c r="C79" s="53" t="s">
        <v>223</v>
      </c>
      <c r="E79">
        <f>COUNTIF('remet-mad'!Q108,"&lt;=10")</f>
        <v>1</v>
      </c>
      <c r="F79">
        <f>COUNTIFS('remet-mad'!Q108,"&gt;10",'remet-mad'!Q108,"&lt;=25")</f>
        <v>0</v>
      </c>
      <c r="G79">
        <f>COUNTIFS('remet-mad'!Q108,"&gt;25",'remet-mad'!Q108,"&lt;=100")</f>
        <v>0</v>
      </c>
      <c r="H79">
        <f>COUNTIFS('remet-mad'!Q108,"&gt;100")</f>
        <v>0</v>
      </c>
      <c r="I79" s="68">
        <f>COUNTIF('remet-mad'!BH108,"&lt;=0.3")</f>
        <v>1</v>
      </c>
      <c r="J79" s="68">
        <f>COUNTIFS('remet-mad'!BH108,"&gt;0.3",'remet-mad'!BH108,"&lt;=0.7")</f>
        <v>0</v>
      </c>
      <c r="K79" s="68">
        <f>COUNTIFS('remet-mad'!BH108,"&gt;0.7",'remet-mad'!BH108,"&lt;=1.0")</f>
        <v>0</v>
      </c>
      <c r="L79" s="68">
        <f>COUNTIFS('remet-mad'!BH108,"&gt;1.0",'remet-mad'!BH108,"&lt;=3.0")</f>
        <v>0</v>
      </c>
      <c r="M79" s="68">
        <f>COUNTIF('remet-mad'!BH108,"&gt;3.0")</f>
        <v>0</v>
      </c>
      <c r="N79" s="64">
        <f>('remet-mad'!AM108)</f>
        <v>0.22</v>
      </c>
      <c r="O79">
        <f>COUNTIF('remet-mad'!Y108,"=1")</f>
        <v>0</v>
      </c>
      <c r="P79">
        <f>COUNTIF('remet-mad'!Y108,"&gt;1")</f>
        <v>1</v>
      </c>
      <c r="Q79" t="s">
        <v>3589</v>
      </c>
      <c r="R79" t="s">
        <v>3583</v>
      </c>
      <c r="S79">
        <v>1</v>
      </c>
      <c r="T79">
        <v>0</v>
      </c>
    </row>
    <row r="80" spans="1:20" ht="17">
      <c r="A80" t="str">
        <f>('remet-mad'!E109)</f>
        <v>Cyanobacteria</v>
      </c>
      <c r="B80" t="str">
        <f>('remet-mad'!I109)</f>
        <v>Aphanocapsa</v>
      </c>
      <c r="C80" s="53" t="s">
        <v>259</v>
      </c>
      <c r="E80">
        <f>COUNTIF('remet-mad'!Q109:'remet-mad'!Q111,"&lt;=10")/COUNT('remet-mad'!Q109:'remet-mad'!Q111)</f>
        <v>1</v>
      </c>
      <c r="F80">
        <f>COUNTIFS('remet-mad'!Q109:'remet-mad'!Q111,"&gt;10",'remet-mad'!Q109:'remet-mad'!Q111,"&lt;=25")/COUNT('remet-mad'!Q109:'remet-mad'!Q111)</f>
        <v>0</v>
      </c>
      <c r="G80">
        <f>COUNTIFS('remet-mad'!Q109:'remet-mad'!Q111,"&gt;25",'remet-mad'!Q109:'remet-mad'!Q111,"&lt;=100")/COUNT('remet-mad'!Q109:'remet-mad'!Q111)</f>
        <v>0</v>
      </c>
      <c r="H80">
        <f>COUNTIFS('remet-mad'!Q109:'remet-mad'!Q111,"&gt;100")/COUNT('remet-mad'!Q109:'remet-mad'!Q111)</f>
        <v>0</v>
      </c>
      <c r="I80">
        <f>COUNTIF('remet-mad'!BH109:'remet-mad'!BH111,"&lt;=0.3")/COUNT('remet-mad'!BH109:'remet-mad'!BH111)</f>
        <v>1</v>
      </c>
      <c r="J80">
        <f>COUNTIFS('remet-mad'!BH109:'remet-mad'!BH111,"&gt;0.3",'remet-mad'!BH109:'remet-mad'!BH111,"&lt;=0.7")/COUNT('remet-mad'!BH109:'remet-mad'!BH111)</f>
        <v>0</v>
      </c>
      <c r="K80">
        <f>COUNTIFS('remet-mad'!BH109:'remet-mad'!BH111,"&gt;0.7",'remet-mad'!BH109:'remet-mad'!BH111,"&lt;=1.0")/COUNT('remet-mad'!BH109:'remet-mad'!BH111)</f>
        <v>0</v>
      </c>
      <c r="L80">
        <f>COUNTIFS('remet-mad'!BH109:'remet-mad'!BH111,"&gt;1.0",'remet-mad'!BH109:'remet-mad'!BH111,"&lt;=3.0")/COUNT('remet-mad'!BH109:'remet-mad'!BH111)</f>
        <v>0</v>
      </c>
      <c r="M80">
        <f>COUNTIFS('remet-mad'!BH109:'remet-mad'!BH111,"&gt;3")/COUNT('remet-mad'!BH109:'remet-mad'!BH111)</f>
        <v>0</v>
      </c>
      <c r="N80" s="64">
        <f>('remet-mad'!AM109)</f>
        <v>0.22</v>
      </c>
      <c r="O80">
        <f>COUNTIF('remet-mad'!Y109:'remet-mad'!Y111,"=1")/COUNT('remet-mad'!Y109:'remet-mad'!Y111)</f>
        <v>0.33333333333333331</v>
      </c>
      <c r="P80">
        <f>COUNTIF('remet-mad'!Y109:'remet-mad'!Y111,"&gt;1")/COUNT('remet-mad'!Y109:'remet-mad'!Y111)</f>
        <v>0.66666666666666663</v>
      </c>
      <c r="Q80" t="s">
        <v>3589</v>
      </c>
      <c r="R80" t="s">
        <v>3583</v>
      </c>
      <c r="S80">
        <v>0</v>
      </c>
      <c r="T80">
        <v>0</v>
      </c>
    </row>
    <row r="81" spans="1:20" ht="17">
      <c r="A81" t="str">
        <f>('remet-mad'!E110)</f>
        <v>Cyanobacteria</v>
      </c>
      <c r="B81" t="str">
        <f>('remet-mad'!I110)</f>
        <v>Aphanocapsa</v>
      </c>
      <c r="C81" s="53" t="s">
        <v>267</v>
      </c>
      <c r="E81">
        <f>COUNTIF('remet-mad'!Q112:'remet-mad'!Q113,"&lt;=10")/COUNT('remet-mad'!Q112:'remet-mad'!Q113)</f>
        <v>1</v>
      </c>
      <c r="F81">
        <f>COUNTIFS('remet-mad'!Q112:'remet-mad'!Q113,"&gt;10",'remet-mad'!Q112:'remet-mad'!Q113,"&lt;=25")/COUNT('remet-mad'!Q112:'remet-mad'!Q113)</f>
        <v>0</v>
      </c>
      <c r="G81">
        <f>COUNTIFS('remet-mad'!Q112:'remet-mad'!Q113,"&gt;25",'remet-mad'!Q112:'remet-mad'!Q113,"&lt;=100")/COUNT('remet-mad'!Q112:'remet-mad'!Q113)</f>
        <v>0</v>
      </c>
      <c r="H81">
        <f>COUNTIFS('remet-mad'!Q112:'remet-mad'!Q113,"&gt;100")/COUNT('remet-mad'!Q112:'remet-mad'!Q113)</f>
        <v>0</v>
      </c>
      <c r="I81">
        <f>COUNTIF('remet-mad'!BH112:'remet-mad'!BH113,"&lt;=0.3")/COUNT('remet-mad'!BH112:'remet-mad'!BH113)</f>
        <v>1</v>
      </c>
      <c r="J81">
        <f>COUNTIFS('remet-mad'!BH112:'remet-mad'!BH113,"&gt;0.3",'remet-mad'!BH112:'remet-mad'!BH113,"&lt;=0.7")/COUNT('remet-mad'!BH112:'remet-mad'!BH113)</f>
        <v>0</v>
      </c>
      <c r="K81">
        <f>COUNTIFS('remet-mad'!BH112:'remet-mad'!BH113,"&gt;0.7",'remet-mad'!BH112:'remet-mad'!BH113,"&lt;=1.0")/COUNT('remet-mad'!BH112:'remet-mad'!BH113)</f>
        <v>0</v>
      </c>
      <c r="L81">
        <f>COUNTIFS('remet-mad'!BH112:'remet-mad'!BH113,"&gt;1.0",'remet-mad'!BH112:'remet-mad'!BH113,"&lt;=3.0")/COUNT('remet-mad'!BH112:'remet-mad'!BH113)</f>
        <v>0</v>
      </c>
      <c r="M81">
        <f>COUNTIFS('remet-mad'!BH112:'remet-mad'!BH113,"&gt;3")/COUNT('remet-mad'!BH112:'remet-mad'!BH113)</f>
        <v>0</v>
      </c>
      <c r="N81" s="64">
        <f>('remet-mad'!AM112)</f>
        <v>0.22</v>
      </c>
      <c r="O81">
        <f>COUNTIF('remet-mad'!Y112:'remet-mad'!Y113,"=1")/COUNT('remet-mad'!Y112:'remet-mad'!Y113)</f>
        <v>0</v>
      </c>
      <c r="P81">
        <f>COUNTIF('remet-mad'!Y112:'remet-mad'!Y113,"&gt;1")/COUNT('remet-mad'!Y112:'remet-mad'!Y113)</f>
        <v>1</v>
      </c>
      <c r="Q81" t="s">
        <v>3589</v>
      </c>
      <c r="R81" t="s">
        <v>3583</v>
      </c>
      <c r="S81">
        <v>0</v>
      </c>
      <c r="T81">
        <v>0</v>
      </c>
    </row>
    <row r="82" spans="1:20" ht="17">
      <c r="C82" s="53" t="s">
        <v>294</v>
      </c>
    </row>
    <row r="83" spans="1:20" ht="17">
      <c r="A83" t="str">
        <f>('remet-mad'!E115)</f>
        <v>Cyanobacteria</v>
      </c>
      <c r="B83" t="str">
        <f>('remet-mad'!I115)</f>
        <v>Aphanothece</v>
      </c>
      <c r="C83" s="53" t="s">
        <v>292</v>
      </c>
      <c r="E83">
        <f>COUNTIF('remet-mad'!Q115,"&lt;=10")</f>
        <v>1</v>
      </c>
      <c r="F83">
        <f>COUNTIFS('remet-mad'!Q115,"&gt;10",'remet-mad'!Q115,"&lt;=25")</f>
        <v>0</v>
      </c>
      <c r="G83">
        <f>COUNTIFS('remet-mad'!Q115,"&gt;25",'remet-mad'!Q115,"&lt;=100")</f>
        <v>0</v>
      </c>
      <c r="H83">
        <f>COUNTIFS('remet-mad'!Q115,"&gt;100")</f>
        <v>0</v>
      </c>
      <c r="I83" s="68">
        <f>COUNTIF('remet-mad'!BH115,"&lt;=0.3")</f>
        <v>1</v>
      </c>
      <c r="J83" s="68">
        <f>COUNTIFS('remet-mad'!BH115,"&gt;0.3",'remet-mad'!BH115,"&lt;=0.7")</f>
        <v>0</v>
      </c>
      <c r="K83" s="68">
        <f>COUNTIFS('remet-mad'!BH115,"&gt;0.7",'remet-mad'!BH115,"&lt;=1.0")</f>
        <v>0</v>
      </c>
      <c r="L83" s="68">
        <f>COUNTIFS('remet-mad'!BH115,"&gt;1.0",'remet-mad'!BH115,"&lt;=3.0")</f>
        <v>0</v>
      </c>
      <c r="M83" s="68">
        <f>COUNTIF('remet-mad'!BH115,"&gt;3.0")</f>
        <v>0</v>
      </c>
      <c r="N83" s="64">
        <f>('remet-mad'!AM115)</f>
        <v>0.22</v>
      </c>
      <c r="O83">
        <f>COUNTIF('remet-mad'!Y115,"=1")</f>
        <v>0</v>
      </c>
      <c r="P83">
        <f>COUNTIF('remet-mad'!Y115,"&gt;1")</f>
        <v>1</v>
      </c>
      <c r="Q83" t="s">
        <v>3589</v>
      </c>
      <c r="R83" t="s">
        <v>3583</v>
      </c>
      <c r="S83">
        <v>0</v>
      </c>
      <c r="T83">
        <v>0</v>
      </c>
    </row>
    <row r="84" spans="1:20" ht="17">
      <c r="A84" t="str">
        <f>('remet-mad'!E121)</f>
        <v>Chlorophyta</v>
      </c>
      <c r="B84" t="str">
        <f>('remet-mad'!I121)</f>
        <v>Botryococcus</v>
      </c>
      <c r="C84" s="53" t="s">
        <v>2278</v>
      </c>
      <c r="E84">
        <f>COUNTIF('remet-mad'!Q121,"&lt;=10")</f>
        <v>1</v>
      </c>
      <c r="F84">
        <f>COUNTIFS('remet-mad'!Q121,"&gt;10",'remet-mad'!Q121,"&lt;=25")</f>
        <v>0</v>
      </c>
      <c r="G84">
        <f>COUNTIFS('remet-mad'!Q121,"&gt;25",'remet-mad'!Q121,"&lt;=100")</f>
        <v>0</v>
      </c>
      <c r="H84">
        <f>COUNTIFS('remet-mad'!Q121,"&gt;100")</f>
        <v>0</v>
      </c>
      <c r="I84" s="68">
        <f>COUNTIF('remet-mad'!BH121,"&lt;=0.3")</f>
        <v>1</v>
      </c>
      <c r="J84" s="68">
        <f>COUNTIFS('remet-mad'!BH121,"&gt;0.3",'remet-mad'!BH121,"&lt;=0.7")</f>
        <v>0</v>
      </c>
      <c r="K84" s="68">
        <f>COUNTIFS('remet-mad'!BH121,"&gt;0.7",'remet-mad'!BH121,"&lt;=1.0")</f>
        <v>0</v>
      </c>
      <c r="L84" s="68">
        <f>COUNTIFS('remet-mad'!BH121,"&gt;1.0",'remet-mad'!BH121,"&lt;=3.0")</f>
        <v>0</v>
      </c>
      <c r="M84" s="68">
        <f>COUNTIF('remet-mad'!BH121,"&gt;3.0")</f>
        <v>0</v>
      </c>
      <c r="N84" s="64">
        <f>('remet-mad'!AM121)</f>
        <v>0.16</v>
      </c>
      <c r="O84">
        <f>COUNTIF('remet-mad'!Y121,"=1")</f>
        <v>0</v>
      </c>
      <c r="P84">
        <f>COUNTIF('remet-mad'!Y121,"&gt;1")</f>
        <v>1</v>
      </c>
      <c r="Q84" t="s">
        <v>3589</v>
      </c>
      <c r="R84" t="s">
        <v>3583</v>
      </c>
      <c r="S84">
        <v>0</v>
      </c>
      <c r="T84">
        <v>0</v>
      </c>
    </row>
    <row r="85" spans="1:20" ht="17">
      <c r="A85" t="str">
        <f>('remet-mad'!E122)</f>
        <v xml:space="preserve">Myzozoa </v>
      </c>
      <c r="B85" t="str">
        <f>('remet-mad'!I122)</f>
        <v>Ceratium</v>
      </c>
      <c r="C85" s="53" t="s">
        <v>674</v>
      </c>
      <c r="E85">
        <f>COUNTIF('remet-mad'!Q122,"&lt;=10")</f>
        <v>0</v>
      </c>
      <c r="F85">
        <f>COUNTIFS('remet-mad'!Q122,"&gt;10",'remet-mad'!Q122,"&lt;=25")</f>
        <v>0</v>
      </c>
      <c r="G85">
        <f>COUNTIFS('remet-mad'!Q122,"&gt;25",'remet-mad'!Q122,"&lt;=100")</f>
        <v>1</v>
      </c>
      <c r="H85">
        <f>COUNTIFS('remet-mad'!Q122,"&gt;100")</f>
        <v>0</v>
      </c>
      <c r="I85" s="68">
        <f>COUNTIF('remet-mad'!BH122,"&lt;=0.3")</f>
        <v>0</v>
      </c>
      <c r="J85" s="68">
        <f>COUNTIFS('remet-mad'!BH122,"&gt;0.3",'remet-mad'!BH122,"&lt;=0.7")</f>
        <v>0</v>
      </c>
      <c r="K85" s="68">
        <f>COUNTIFS('remet-mad'!BH122,"&gt;0.7",'remet-mad'!BH122,"&lt;=1.0")</f>
        <v>0</v>
      </c>
      <c r="L85" s="68">
        <f>COUNTIFS('remet-mad'!BH122,"&gt;1.0",'remet-mad'!BH122,"&lt;=3.0")</f>
        <v>1</v>
      </c>
      <c r="M85" s="68">
        <f>COUNTIF('remet-mad'!BH122,"&gt;3.0")</f>
        <v>0</v>
      </c>
      <c r="N85" s="64">
        <f>('remet-mad'!AM122)</f>
        <v>0.13</v>
      </c>
      <c r="O85">
        <f>COUNTIF('remet-mad'!Y122,"=1")</f>
        <v>1</v>
      </c>
      <c r="P85">
        <f>COUNTIF('remet-mad'!Y122,"&gt;1")</f>
        <v>0</v>
      </c>
      <c r="Q85" t="s">
        <v>3587</v>
      </c>
      <c r="R85" t="s">
        <v>3584</v>
      </c>
      <c r="S85">
        <v>0</v>
      </c>
      <c r="T85">
        <v>0</v>
      </c>
    </row>
    <row r="86" spans="1:20" ht="17">
      <c r="C86" s="53" t="s">
        <v>45</v>
      </c>
    </row>
    <row r="87" spans="1:20" ht="34">
      <c r="A87" t="str">
        <f>('remet-mad'!E124)</f>
        <v>Chlorophyta</v>
      </c>
      <c r="B87" t="str">
        <f>('remet-mad'!I124)</f>
        <v>Chlamydomonas</v>
      </c>
      <c r="C87" s="53" t="s">
        <v>2337</v>
      </c>
      <c r="E87">
        <f>COUNTIF('remet-mad'!Q124,"&lt;=10")</f>
        <v>1</v>
      </c>
      <c r="F87">
        <f>COUNTIFS('remet-mad'!Q124,"&gt;10",'remet-mad'!Q124,"&lt;=25")</f>
        <v>0</v>
      </c>
      <c r="G87">
        <f>COUNTIFS('remet-mad'!Q124,"&gt;25",'remet-mad'!Q124,"&lt;=100")</f>
        <v>0</v>
      </c>
      <c r="H87">
        <f>COUNTIFS('remet-mad'!Q124,"&gt;100")</f>
        <v>0</v>
      </c>
      <c r="I87" s="68">
        <f>COUNTIF('remet-mad'!BH124,"&lt;=0.3")</f>
        <v>0</v>
      </c>
      <c r="J87" s="68">
        <f>COUNTIFS('remet-mad'!BH124,"&gt;0.3",'remet-mad'!BH124,"&lt;=0.7")</f>
        <v>1</v>
      </c>
      <c r="K87" s="68">
        <f>COUNTIFS('remet-mad'!BH124,"&gt;0.7",'remet-mad'!BH124,"&lt;=1.0")</f>
        <v>0</v>
      </c>
      <c r="L87" s="68">
        <f>COUNTIFS('remet-mad'!BH124,"&gt;1.0",'remet-mad'!BH124,"&lt;=3.0")</f>
        <v>0</v>
      </c>
      <c r="M87" s="68">
        <f>COUNTIF('remet-mad'!BH124,"&gt;3.0")</f>
        <v>0</v>
      </c>
      <c r="N87" s="64">
        <f>('remet-mad'!AM124)</f>
        <v>0.16</v>
      </c>
      <c r="O87">
        <f>COUNTIF('remet-mad'!Y124,"=1")</f>
        <v>1</v>
      </c>
      <c r="P87">
        <f>COUNTIF('remet-mad'!Y124,"&gt;1")</f>
        <v>0</v>
      </c>
      <c r="Q87" t="s">
        <v>3587</v>
      </c>
      <c r="R87" t="s">
        <v>3583</v>
      </c>
      <c r="S87">
        <v>0</v>
      </c>
      <c r="T87">
        <v>0</v>
      </c>
    </row>
    <row r="88" spans="1:20" ht="34">
      <c r="C88" s="53" t="s">
        <v>3735</v>
      </c>
    </row>
    <row r="89" spans="1:20" ht="34">
      <c r="C89" s="53" t="s">
        <v>3736</v>
      </c>
    </row>
    <row r="90" spans="1:20" ht="34">
      <c r="C90" s="53" t="s">
        <v>3737</v>
      </c>
    </row>
    <row r="91" spans="1:20" ht="17">
      <c r="A91" t="str">
        <f>('remet-mad'!E128)</f>
        <v>Chlorophyta</v>
      </c>
      <c r="B91" t="str">
        <f>('remet-mad'!I128)</f>
        <v>Chlorella</v>
      </c>
      <c r="C91" s="53" t="s">
        <v>2366</v>
      </c>
      <c r="E91">
        <f>COUNTIF('remet-mad'!Q128,"&lt;=10")</f>
        <v>1</v>
      </c>
      <c r="F91">
        <f>COUNTIFS('remet-mad'!Q128,"&gt;10",'remet-mad'!Q128,"&lt;=25")</f>
        <v>0</v>
      </c>
      <c r="G91">
        <f>COUNTIFS('remet-mad'!Q128,"&gt;25",'remet-mad'!Q128,"&lt;=100")</f>
        <v>0</v>
      </c>
      <c r="H91">
        <f>COUNTIFS('remet-mad'!Q128,"&gt;100")</f>
        <v>0</v>
      </c>
      <c r="I91" s="68">
        <f>COUNTIF('remet-mad'!BH128,"&lt;=0.3")</f>
        <v>1</v>
      </c>
      <c r="J91" s="68">
        <f>COUNTIFS('remet-mad'!BH128,"&gt;0.3",'remet-mad'!BH128,"&lt;=0.7")</f>
        <v>0</v>
      </c>
      <c r="K91" s="68">
        <f>COUNTIFS('remet-mad'!BH128,"&gt;0.7",'remet-mad'!BH128,"&lt;=1.0")</f>
        <v>0</v>
      </c>
      <c r="L91" s="68">
        <f>COUNTIFS('remet-mad'!BH128,"&gt;1.0",'remet-mad'!BH128,"&lt;=3.0")</f>
        <v>0</v>
      </c>
      <c r="M91" s="68">
        <f>COUNTIF('remet-mad'!BH128,"&gt;3.0")</f>
        <v>0</v>
      </c>
      <c r="N91" s="64">
        <f>('remet-mad'!AM128)</f>
        <v>0.16</v>
      </c>
      <c r="O91">
        <f>COUNTIF('remet-mad'!Y128,"=1")</f>
        <v>1</v>
      </c>
      <c r="P91">
        <f>COUNTIF('remet-mad'!Y128,"&gt;1")</f>
        <v>0</v>
      </c>
      <c r="Q91" t="s">
        <v>3589</v>
      </c>
      <c r="R91" t="s">
        <v>3583</v>
      </c>
      <c r="S91">
        <v>0</v>
      </c>
      <c r="T91">
        <v>0</v>
      </c>
    </row>
    <row r="92" spans="1:20" ht="17">
      <c r="C92" s="53" t="s">
        <v>63</v>
      </c>
    </row>
    <row r="93" spans="1:20" ht="17">
      <c r="C93" s="53" t="s">
        <v>1012</v>
      </c>
    </row>
    <row r="94" spans="1:20" ht="17">
      <c r="A94" t="str">
        <f>('remet-mad'!E131)</f>
        <v>Cyanobacteria</v>
      </c>
      <c r="B94" t="str">
        <f>('remet-mad'!I131)</f>
        <v>Chroococcus</v>
      </c>
      <c r="C94" s="53" t="s">
        <v>332</v>
      </c>
      <c r="E94">
        <f>COUNTIF('remet-mad'!Q131,"&lt;=10")</f>
        <v>0</v>
      </c>
      <c r="F94">
        <f>COUNTIFS('remet-mad'!Q131,"&gt;10",'remet-mad'!Q131,"&lt;=25")</f>
        <v>1</v>
      </c>
      <c r="G94">
        <f>COUNTIFS('remet-mad'!Q131,"&gt;25",'remet-mad'!Q131,"&lt;=100")</f>
        <v>0</v>
      </c>
      <c r="H94">
        <f>COUNTIFS('remet-mad'!Q131,"&gt;100")</f>
        <v>0</v>
      </c>
      <c r="I94" s="68">
        <f>COUNTIF('remet-mad'!BH131,"&lt;=0.3")</f>
        <v>0</v>
      </c>
      <c r="J94" s="68">
        <f>COUNTIFS('remet-mad'!BH131,"&gt;0.3",'remet-mad'!BH131,"&lt;=0.7")</f>
        <v>0</v>
      </c>
      <c r="K94" s="68">
        <f>COUNTIFS('remet-mad'!BH131,"&gt;0.7",'remet-mad'!BH131,"&lt;=1.0")</f>
        <v>0</v>
      </c>
      <c r="L94" s="68">
        <f>COUNTIFS('remet-mad'!BH131,"&gt;1.0",'remet-mad'!BH131,"&lt;=3.0")</f>
        <v>1</v>
      </c>
      <c r="M94" s="68">
        <f>COUNTIF('remet-mad'!BH131,"&gt;3.0")</f>
        <v>0</v>
      </c>
      <c r="N94" s="64">
        <f>('remet-mad'!AM131)</f>
        <v>0.22</v>
      </c>
      <c r="O94">
        <f>COUNTIF('remet-mad'!Y131,"=1")</f>
        <v>0</v>
      </c>
      <c r="P94">
        <f>COUNTIF('remet-mad'!Y131,"&gt;1")</f>
        <v>1</v>
      </c>
      <c r="Q94" t="s">
        <v>3589</v>
      </c>
      <c r="R94" t="s">
        <v>3583</v>
      </c>
      <c r="S94">
        <v>0</v>
      </c>
      <c r="T94">
        <v>0</v>
      </c>
    </row>
    <row r="95" spans="1:20" ht="17">
      <c r="A95" t="str">
        <f>('remet-mad'!E132)</f>
        <v>Cyanobacteria</v>
      </c>
      <c r="B95" t="str">
        <f>('remet-mad'!I132)</f>
        <v>Chroococcus</v>
      </c>
      <c r="C95" s="53" t="s">
        <v>339</v>
      </c>
      <c r="E95">
        <f>COUNTIF('remet-mad'!Q132,"&lt;=10")</f>
        <v>1</v>
      </c>
      <c r="F95">
        <f>COUNTIFS('remet-mad'!Q132,"&gt;10",'remet-mad'!Q132,"&lt;=25")</f>
        <v>0</v>
      </c>
      <c r="G95">
        <f>COUNTIFS('remet-mad'!Q132,"&gt;25",'remet-mad'!Q132,"&lt;=100")</f>
        <v>0</v>
      </c>
      <c r="H95">
        <f>COUNTIFS('remet-mad'!Q132,"&gt;100")</f>
        <v>0</v>
      </c>
      <c r="I95" s="68">
        <f>COUNTIF('remet-mad'!BH132,"&lt;=0.3")</f>
        <v>0</v>
      </c>
      <c r="J95" s="68">
        <f>COUNTIFS('remet-mad'!BH132,"&gt;0.3",'remet-mad'!BH132,"&lt;=0.7")</f>
        <v>1</v>
      </c>
      <c r="K95" s="68">
        <f>COUNTIFS('remet-mad'!BH132,"&gt;0.7",'remet-mad'!BH132,"&lt;=1.0")</f>
        <v>0</v>
      </c>
      <c r="L95" s="68">
        <f>COUNTIFS('remet-mad'!BH132,"&gt;1.0",'remet-mad'!BH132,"&lt;=3.0")</f>
        <v>0</v>
      </c>
      <c r="M95" s="68">
        <f>COUNTIF('remet-mad'!BH132,"&gt;3.0")</f>
        <v>0</v>
      </c>
      <c r="N95" s="64">
        <f>('remet-mad'!AM132)</f>
        <v>0.22</v>
      </c>
      <c r="O95">
        <f>COUNTIF('remet-mad'!Y132,"=1")</f>
        <v>0</v>
      </c>
      <c r="P95">
        <f>COUNTIF('remet-mad'!Y132,"&gt;1")</f>
        <v>1</v>
      </c>
      <c r="Q95" t="s">
        <v>3589</v>
      </c>
      <c r="R95" t="s">
        <v>3583</v>
      </c>
      <c r="S95">
        <v>0</v>
      </c>
      <c r="T95">
        <v>0</v>
      </c>
    </row>
    <row r="96" spans="1:20" ht="34">
      <c r="A96" t="str">
        <f>('remet-mad'!E133)</f>
        <v>Haptophyta</v>
      </c>
      <c r="B96" t="str">
        <f>('remet-mad'!I133)</f>
        <v>Erkenia</v>
      </c>
      <c r="C96" s="53" t="s">
        <v>3738</v>
      </c>
      <c r="D96" s="81" t="s">
        <v>1152</v>
      </c>
      <c r="E96">
        <f>COUNTIF('remet-mad'!Q133,"&lt;=10")</f>
        <v>1</v>
      </c>
      <c r="F96">
        <f>COUNTIFS('remet-mad'!Q133,"&gt;10",'remet-mad'!Q133,"&lt;=25")</f>
        <v>0</v>
      </c>
      <c r="G96">
        <f>COUNTIFS('remet-mad'!Q133,"&gt;25",'remet-mad'!Q133,"&lt;=100")</f>
        <v>0</v>
      </c>
      <c r="H96">
        <f>COUNTIFS('remet-mad'!Q133,"&gt;100")</f>
        <v>0</v>
      </c>
      <c r="I96" s="68">
        <f>COUNTIF('remet-mad'!BH133,"&lt;=0.3")</f>
        <v>1</v>
      </c>
      <c r="J96" s="68">
        <f>COUNTIFS('remet-mad'!BH133,"&gt;0.3",'remet-mad'!BH133,"&lt;=0.7")</f>
        <v>0</v>
      </c>
      <c r="K96" s="68">
        <f>COUNTIFS('remet-mad'!BH133,"&gt;0.7",'remet-mad'!BH133,"&lt;=1.0")</f>
        <v>0</v>
      </c>
      <c r="L96" s="68">
        <f>COUNTIFS('remet-mad'!BH133,"&gt;1.0",'remet-mad'!BH133,"&lt;=3.0")</f>
        <v>0</v>
      </c>
      <c r="M96" s="68">
        <f>COUNTIF('remet-mad'!BH133,"&gt;3.0")</f>
        <v>0</v>
      </c>
      <c r="N96" s="64">
        <f>('remet-mad'!AM133)</f>
        <v>0.11</v>
      </c>
      <c r="O96">
        <f>COUNTIF('remet-mad'!Y133,"=1")</f>
        <v>1</v>
      </c>
      <c r="P96">
        <f>COUNTIF('remet-mad'!Y133,"&gt;1")</f>
        <v>0</v>
      </c>
      <c r="Q96" t="s">
        <v>3587</v>
      </c>
      <c r="R96" t="s">
        <v>3584</v>
      </c>
    </row>
    <row r="97" spans="1:20" ht="17">
      <c r="C97" s="53" t="s">
        <v>992</v>
      </c>
    </row>
    <row r="98" spans="1:20" ht="17">
      <c r="C98" s="53" t="s">
        <v>48</v>
      </c>
    </row>
    <row r="99" spans="1:20" ht="17">
      <c r="A99" t="str">
        <f>('remet-mad'!E137)</f>
        <v>Bacillariophyta</v>
      </c>
      <c r="B99" t="str">
        <f>('remet-mad'!I137)</f>
        <v>Cocconeis</v>
      </c>
      <c r="C99" s="53" t="s">
        <v>1565</v>
      </c>
      <c r="E99">
        <f>COUNTIF('remet-mad'!Q137,"&lt;=10")</f>
        <v>0</v>
      </c>
      <c r="F99">
        <f>COUNTIFS('remet-mad'!Q137,"&gt;10",'remet-mad'!Q137,"&lt;=25")</f>
        <v>0</v>
      </c>
      <c r="G99">
        <f>COUNTIFS('remet-mad'!Q137,"&gt;25",'remet-mad'!Q137,"&lt;=100")</f>
        <v>1</v>
      </c>
      <c r="H99">
        <f>COUNTIFS('remet-mad'!Q137,"&gt;100")</f>
        <v>0</v>
      </c>
      <c r="I99" s="68">
        <f>COUNTIF('remet-mad'!BH137,"&lt;=0.3")</f>
        <v>0</v>
      </c>
      <c r="J99" s="68">
        <f>COUNTIFS('remet-mad'!BH137,"&gt;0.3",'remet-mad'!BH137,"&lt;=0.7")</f>
        <v>0</v>
      </c>
      <c r="K99" s="68">
        <f>COUNTIFS('remet-mad'!BH137,"&gt;0.7",'remet-mad'!BH137,"&lt;=1.0")</f>
        <v>0</v>
      </c>
      <c r="L99" s="68">
        <f>COUNTIFS('remet-mad'!BH137,"&gt;1.0",'remet-mad'!BH137,"&lt;=3.0")</f>
        <v>1</v>
      </c>
      <c r="M99" s="68">
        <f>COUNTIF('remet-mad'!BH137,"&gt;3.0")</f>
        <v>0</v>
      </c>
      <c r="N99" s="64">
        <f>('remet-mad'!AM137)</f>
        <v>0.11</v>
      </c>
      <c r="O99">
        <f>COUNTIF('remet-mad'!Y137,"=1")</f>
        <v>1</v>
      </c>
      <c r="P99">
        <f>COUNTIF('remet-mad'!Y137,"&gt;1")</f>
        <v>0</v>
      </c>
      <c r="Q99" t="s">
        <v>3586</v>
      </c>
      <c r="R99" t="s">
        <v>3584</v>
      </c>
      <c r="S99">
        <v>0</v>
      </c>
      <c r="T99">
        <v>1</v>
      </c>
    </row>
    <row r="100" spans="1:20" ht="34">
      <c r="C100" s="53" t="s">
        <v>3739</v>
      </c>
    </row>
    <row r="101" spans="1:20" ht="34">
      <c r="A101" t="str">
        <f>('remet-mad'!E139)</f>
        <v>Chlorophyta</v>
      </c>
      <c r="B101" t="str">
        <f>('remet-mad'!I139)</f>
        <v>Coelastrum</v>
      </c>
      <c r="C101" s="53" t="s">
        <v>2420</v>
      </c>
      <c r="E101">
        <f>COUNTIF('remet-mad'!Q139,"&lt;=10")</f>
        <v>0</v>
      </c>
      <c r="F101">
        <f>COUNTIFS('remet-mad'!Q139,"&gt;10",'remet-mad'!Q139,"&lt;=25")</f>
        <v>1</v>
      </c>
      <c r="G101">
        <f>COUNTIFS('remet-mad'!Q139,"&gt;25",'remet-mad'!Q139,"&lt;=100")</f>
        <v>0</v>
      </c>
      <c r="H101">
        <f>COUNTIFS('remet-mad'!Q139,"&gt;100")</f>
        <v>0</v>
      </c>
      <c r="I101" s="68">
        <f>COUNTIF('remet-mad'!BH139,"&lt;=0.3")</f>
        <v>0</v>
      </c>
      <c r="J101" s="68">
        <f>COUNTIFS('remet-mad'!BH139,"&gt;0.3",'remet-mad'!BH139,"&lt;=0.7")</f>
        <v>1</v>
      </c>
      <c r="K101" s="68">
        <f>COUNTIFS('remet-mad'!BH139,"&gt;0.7",'remet-mad'!BH139,"&lt;=1.0")</f>
        <v>0</v>
      </c>
      <c r="L101" s="68">
        <f>COUNTIFS('remet-mad'!BH139,"&gt;1.0",'remet-mad'!BH139,"&lt;=3.0")</f>
        <v>0</v>
      </c>
      <c r="M101" s="68">
        <f>COUNTIF('remet-mad'!BH139,"&gt;3.0")</f>
        <v>0</v>
      </c>
      <c r="N101" s="64">
        <f>('remet-mad'!AM139)</f>
        <v>0.16</v>
      </c>
      <c r="O101">
        <f>COUNTIF('remet-mad'!Y139,"=1")</f>
        <v>0</v>
      </c>
      <c r="P101">
        <f>COUNTIF('remet-mad'!Y139,"&gt;1")</f>
        <v>1</v>
      </c>
      <c r="Q101" t="s">
        <v>3589</v>
      </c>
      <c r="R101" t="s">
        <v>3583</v>
      </c>
      <c r="S101">
        <v>0</v>
      </c>
      <c r="T101">
        <v>0</v>
      </c>
    </row>
    <row r="102" spans="1:20" ht="17">
      <c r="A102" t="str">
        <f>('remet-mad'!E141)</f>
        <v>Chlorophyta</v>
      </c>
      <c r="B102" t="str">
        <f>('remet-mad'!I141)</f>
        <v>Crucigeniella</v>
      </c>
      <c r="C102" s="53" t="s">
        <v>3740</v>
      </c>
      <c r="E102">
        <f>COUNTIF('remet-mad'!Q141,"&lt;=10")</f>
        <v>1</v>
      </c>
      <c r="F102">
        <f>COUNTIFS('remet-mad'!Q141,"&gt;10",'remet-mad'!Q141,"&lt;=25")</f>
        <v>0</v>
      </c>
      <c r="G102">
        <f>COUNTIFS('remet-mad'!Q141,"&gt;25",'remet-mad'!Q141,"&lt;=100")</f>
        <v>0</v>
      </c>
      <c r="H102">
        <f>COUNTIFS('remet-mad'!Q141,"&gt;100")</f>
        <v>0</v>
      </c>
      <c r="I102" s="68">
        <f>COUNTIF('remet-mad'!BH141,"&lt;=0.3")</f>
        <v>1</v>
      </c>
      <c r="J102" s="68">
        <f>COUNTIFS('remet-mad'!BH141,"&gt;0.3",'remet-mad'!BH141,"&lt;=0.7")</f>
        <v>0</v>
      </c>
      <c r="K102" s="68">
        <f>COUNTIFS('remet-mad'!BH141,"&gt;0.7",'remet-mad'!BH141,"&lt;=1.0")</f>
        <v>0</v>
      </c>
      <c r="L102" s="68">
        <f>COUNTIFS('remet-mad'!BH141,"&gt;1.0",'remet-mad'!BH141,"&lt;=3.0")</f>
        <v>0</v>
      </c>
      <c r="M102" s="68">
        <f>COUNTIF('remet-mad'!BH141,"&gt;3.0")</f>
        <v>0</v>
      </c>
      <c r="N102" s="64">
        <f>('remet-mad'!AM141)</f>
        <v>0.16</v>
      </c>
      <c r="O102">
        <f>COUNTIF('remet-mad'!Y141,"=1")</f>
        <v>0</v>
      </c>
      <c r="P102">
        <f>COUNTIF('remet-mad'!Y141,"&gt;1")</f>
        <v>1</v>
      </c>
      <c r="Q102" t="s">
        <v>3589</v>
      </c>
      <c r="R102" t="s">
        <v>3583</v>
      </c>
      <c r="S102">
        <v>0</v>
      </c>
      <c r="T102">
        <v>0</v>
      </c>
    </row>
    <row r="103" spans="1:20" ht="17">
      <c r="C103" s="53" t="s">
        <v>3743</v>
      </c>
    </row>
    <row r="104" spans="1:20" ht="17">
      <c r="C104" s="53" t="s">
        <v>3716</v>
      </c>
    </row>
    <row r="105" spans="1:20" ht="17">
      <c r="A105" t="str">
        <f>('remet-mad'!E144)</f>
        <v>Cryptophyta</v>
      </c>
      <c r="B105" t="str">
        <f>('remet-mad'!I144)</f>
        <v>Cryptomonas</v>
      </c>
      <c r="C105" s="53" t="s">
        <v>845</v>
      </c>
      <c r="E105">
        <f>COUNTIF('remet-mad'!Q144,"&lt;=10")</f>
        <v>0</v>
      </c>
      <c r="F105">
        <f>COUNTIFS('remet-mad'!Q144,"&gt;10",'remet-mad'!Q144,"&lt;=25")</f>
        <v>0</v>
      </c>
      <c r="G105">
        <f>COUNTIFS('remet-mad'!Q144,"&gt;25",'remet-mad'!Q144,"&lt;=100")</f>
        <v>1</v>
      </c>
      <c r="H105">
        <f>COUNTIFS('remet-mad'!Q144,"&gt;100")</f>
        <v>0</v>
      </c>
      <c r="I105" s="68">
        <f>COUNTIF('remet-mad'!BH144,"&lt;=0.3")</f>
        <v>0</v>
      </c>
      <c r="J105" s="68">
        <f>COUNTIFS('remet-mad'!BH144,"&gt;0.3",'remet-mad'!BH144,"&lt;=0.7")</f>
        <v>1</v>
      </c>
      <c r="K105" s="68">
        <f>COUNTIFS('remet-mad'!BH144,"&gt;0.7",'remet-mad'!BH144,"&lt;=1.0")</f>
        <v>0</v>
      </c>
      <c r="L105" s="68">
        <f>COUNTIFS('remet-mad'!BH144,"&gt;1.0",'remet-mad'!BH144,"&lt;=3.0")</f>
        <v>0</v>
      </c>
      <c r="M105" s="68">
        <f>COUNTIF('remet-mad'!BH144,"&gt;3.0")</f>
        <v>0</v>
      </c>
      <c r="N105" s="64">
        <f>('remet-mad'!AM144)</f>
        <v>0.11</v>
      </c>
      <c r="O105">
        <f>COUNTIF('remet-mad'!Y144,"=1")</f>
        <v>1</v>
      </c>
      <c r="P105">
        <f>COUNTIF('remet-mad'!Y144,"&gt;1")</f>
        <v>0</v>
      </c>
      <c r="Q105" t="s">
        <v>3587</v>
      </c>
      <c r="R105" t="s">
        <v>3584</v>
      </c>
      <c r="S105">
        <v>0</v>
      </c>
      <c r="T105">
        <v>0</v>
      </c>
    </row>
    <row r="106" spans="1:20" ht="34">
      <c r="A106" t="str">
        <f>('remet-mad'!E146)</f>
        <v>Cyanobacteria</v>
      </c>
      <c r="B106" t="str">
        <f>('remet-mad'!I146)</f>
        <v>Aphanizomenon</v>
      </c>
      <c r="C106" s="53" t="s">
        <v>3741</v>
      </c>
      <c r="D106" s="80" t="s">
        <v>223</v>
      </c>
      <c r="E106">
        <f>COUNTIF('remet-mad'!Q146,"&lt;=10")</f>
        <v>1</v>
      </c>
      <c r="F106">
        <f>COUNTIFS('remet-mad'!Q146,"&gt;10",'remet-mad'!Q146,"&lt;=25")</f>
        <v>0</v>
      </c>
      <c r="G106">
        <f>COUNTIFS('remet-mad'!Q146,"&gt;25",'remet-mad'!Q146,"&lt;=100")</f>
        <v>0</v>
      </c>
      <c r="H106">
        <f>COUNTIFS('remet-mad'!Q146,"&gt;100")</f>
        <v>0</v>
      </c>
      <c r="I106" s="68">
        <f>COUNTIF('remet-mad'!BH146,"&lt;=0.3")</f>
        <v>1</v>
      </c>
      <c r="J106" s="68">
        <f>COUNTIFS('remet-mad'!BH146,"&gt;0.3",'remet-mad'!BH146,"&lt;=0.7")</f>
        <v>0</v>
      </c>
      <c r="K106" s="68">
        <f>COUNTIFS('remet-mad'!BH146,"&gt;0.7",'remet-mad'!BH146,"&lt;=1.0")</f>
        <v>0</v>
      </c>
      <c r="L106" s="68">
        <f>COUNTIFS('remet-mad'!BH146,"&gt;1.0",'remet-mad'!BH146,"&lt;=3.0")</f>
        <v>0</v>
      </c>
      <c r="M106" s="68">
        <f>COUNTIF('remet-mad'!BH146,"&gt;3.0")</f>
        <v>0</v>
      </c>
      <c r="N106" s="64">
        <f>('remet-mad'!AM146)</f>
        <v>0.22</v>
      </c>
      <c r="O106">
        <f>COUNTIF('remet-mad'!Y146,"=1")</f>
        <v>0</v>
      </c>
      <c r="P106">
        <f>COUNTIF('remet-mad'!Y146,"&gt;1")</f>
        <v>1</v>
      </c>
      <c r="Q106" t="s">
        <v>3589</v>
      </c>
      <c r="R106" t="s">
        <v>3583</v>
      </c>
      <c r="S106">
        <v>1</v>
      </c>
      <c r="T106">
        <v>0</v>
      </c>
    </row>
    <row r="107" spans="1:20" ht="34">
      <c r="C107" s="53" t="s">
        <v>3742</v>
      </c>
    </row>
    <row r="108" spans="1:20" ht="34">
      <c r="C108" s="53" t="s">
        <v>3744</v>
      </c>
    </row>
    <row r="109" spans="1:20" ht="34">
      <c r="A109" t="str">
        <f>('remet-mad'!E149)</f>
        <v>Bacillariophyta</v>
      </c>
      <c r="B109" t="str">
        <f>('remet-mad'!I149)</f>
        <v>Cyclostephanos</v>
      </c>
      <c r="C109" s="53" t="s">
        <v>1575</v>
      </c>
      <c r="E109">
        <f>COUNTIF('remet-mad'!Q149,"&lt;=10")</f>
        <v>1</v>
      </c>
      <c r="F109">
        <f>COUNTIFS('remet-mad'!Q149,"&gt;10",'remet-mad'!Q149,"&lt;=25")</f>
        <v>0</v>
      </c>
      <c r="G109">
        <f>COUNTIFS('remet-mad'!Q149,"&gt;25",'remet-mad'!Q149,"&lt;=100")</f>
        <v>0</v>
      </c>
      <c r="H109">
        <f>COUNTIFS('remet-mad'!Q149,"&gt;100")</f>
        <v>0</v>
      </c>
      <c r="I109" s="68">
        <f>COUNTIF('remet-mad'!BH149,"&lt;=0.3")</f>
        <v>0</v>
      </c>
      <c r="J109" s="68">
        <f>COUNTIFS('remet-mad'!BH149,"&gt;0.3",'remet-mad'!BH149,"&lt;=0.7")</f>
        <v>0</v>
      </c>
      <c r="K109" s="68">
        <f>COUNTIFS('remet-mad'!BH149,"&gt;0.7",'remet-mad'!BH149,"&lt;=1.0")</f>
        <v>0</v>
      </c>
      <c r="L109" s="68">
        <f>COUNTIFS('remet-mad'!BH149,"&gt;1.0",'remet-mad'!BH149,"&lt;=3.0")</f>
        <v>1</v>
      </c>
      <c r="M109" s="68">
        <f>COUNTIF('remet-mad'!BH149,"&gt;3.0")</f>
        <v>0</v>
      </c>
      <c r="N109" s="64">
        <f>('remet-mad'!AM149)</f>
        <v>0.11</v>
      </c>
      <c r="O109">
        <f>COUNTIF('remet-mad'!Y149,"=1")</f>
        <v>1</v>
      </c>
      <c r="P109">
        <f>COUNTIF('remet-mad'!Y149,"&gt;1")</f>
        <v>0</v>
      </c>
      <c r="Q109" t="s">
        <v>3589</v>
      </c>
      <c r="R109" t="s">
        <v>3584</v>
      </c>
      <c r="S109">
        <v>0</v>
      </c>
      <c r="T109">
        <v>1</v>
      </c>
    </row>
    <row r="110" spans="1:20" ht="34">
      <c r="C110" s="53" t="s">
        <v>3745</v>
      </c>
    </row>
    <row r="111" spans="1:20" ht="34">
      <c r="A111" t="str">
        <f>('remet-mad'!E151)</f>
        <v>Bacillariophyta</v>
      </c>
      <c r="B111" t="str">
        <f>('remet-mad'!I151)</f>
        <v>Cyclotella</v>
      </c>
      <c r="C111" s="53" t="s">
        <v>1622</v>
      </c>
      <c r="E111">
        <f>COUNTIF('remet-mad'!Q151,"&lt;=10")</f>
        <v>0</v>
      </c>
      <c r="F111">
        <f>COUNTIFS('remet-mad'!Q151,"&gt;10",'remet-mad'!Q151,"&lt;=25")</f>
        <v>1</v>
      </c>
      <c r="G111">
        <f>COUNTIFS('remet-mad'!Q151,"&gt;25",'remet-mad'!Q151,"&lt;=100")</f>
        <v>0</v>
      </c>
      <c r="H111">
        <f>COUNTIFS('remet-mad'!Q151,"&gt;100")</f>
        <v>0</v>
      </c>
      <c r="I111" s="68">
        <f>COUNTIF('remet-mad'!BH151,"&lt;=0.3")</f>
        <v>0</v>
      </c>
      <c r="J111" s="68">
        <f>COUNTIFS('remet-mad'!BH151,"&gt;0.3",'remet-mad'!BH151,"&lt;=0.7")</f>
        <v>0</v>
      </c>
      <c r="K111" s="68">
        <f>COUNTIFS('remet-mad'!BH151,"&gt;0.7",'remet-mad'!BH151,"&lt;=1.0")</f>
        <v>0</v>
      </c>
      <c r="L111" s="68">
        <f>COUNTIFS('remet-mad'!BH151,"&gt;1.0",'remet-mad'!BH151,"&lt;=3.0")</f>
        <v>0</v>
      </c>
      <c r="M111" s="68">
        <f>COUNTIF('remet-mad'!BH151,"&gt;3.0")</f>
        <v>1</v>
      </c>
      <c r="N111" s="64">
        <f>('remet-mad'!AM151)</f>
        <v>0.11</v>
      </c>
      <c r="O111">
        <f>COUNTIF('remet-mad'!Y151,"=1")</f>
        <v>1</v>
      </c>
      <c r="P111">
        <f>COUNTIF('remet-mad'!Y151,"&gt;1")</f>
        <v>0</v>
      </c>
      <c r="Q111" t="s">
        <v>3589</v>
      </c>
      <c r="R111" t="s">
        <v>3584</v>
      </c>
      <c r="S111">
        <v>0</v>
      </c>
      <c r="T111">
        <v>1</v>
      </c>
    </row>
    <row r="112" spans="1:20" ht="17">
      <c r="A112" t="str">
        <f>('remet-mad'!E152)</f>
        <v>Bacillariophyta</v>
      </c>
      <c r="B112" t="str">
        <f>('remet-mad'!I152)</f>
        <v>Cyclotella</v>
      </c>
      <c r="C112" s="53" t="s">
        <v>1627</v>
      </c>
      <c r="E112">
        <f>COUNTIF('remet-mad'!Q152,"&lt;=10")</f>
        <v>1</v>
      </c>
      <c r="F112">
        <f>COUNTIFS('remet-mad'!Q152,"&gt;10",'remet-mad'!Q152,"&lt;=25")</f>
        <v>0</v>
      </c>
      <c r="G112">
        <f>COUNTIFS('remet-mad'!Q152,"&gt;25",'remet-mad'!Q152,"&lt;=100")</f>
        <v>0</v>
      </c>
      <c r="H112">
        <f>COUNTIFS('remet-mad'!Q152,"&gt;100")</f>
        <v>0</v>
      </c>
      <c r="I112" s="68">
        <f>COUNTIF('remet-mad'!BH152,"&lt;=0.3")</f>
        <v>0</v>
      </c>
      <c r="J112" s="68">
        <f>COUNTIFS('remet-mad'!BH152,"&gt;0.3",'remet-mad'!BH152,"&lt;=0.7")</f>
        <v>0</v>
      </c>
      <c r="K112" s="68">
        <f>COUNTIFS('remet-mad'!BH152,"&gt;0.7",'remet-mad'!BH152,"&lt;=1.0")</f>
        <v>0</v>
      </c>
      <c r="L112" s="68">
        <f>COUNTIFS('remet-mad'!BH152,"&gt;1.0",'remet-mad'!BH152,"&lt;=3.0")</f>
        <v>1</v>
      </c>
      <c r="M112" s="68">
        <f>COUNTIF('remet-mad'!BH152,"&gt;3.0")</f>
        <v>0</v>
      </c>
      <c r="N112" s="64">
        <f>('remet-mad'!AM152)</f>
        <v>0.11</v>
      </c>
      <c r="O112">
        <f>COUNTIF('remet-mad'!Y152,"=1")</f>
        <v>1</v>
      </c>
      <c r="P112">
        <f>COUNTIF('remet-mad'!Y152,"&gt;1")</f>
        <v>0</v>
      </c>
      <c r="Q112" t="s">
        <v>3589</v>
      </c>
      <c r="R112" t="s">
        <v>3584</v>
      </c>
      <c r="S112">
        <v>0</v>
      </c>
      <c r="T112">
        <v>1</v>
      </c>
    </row>
    <row r="113" spans="1:20" ht="34">
      <c r="A113" t="str">
        <f>('remet-mad'!E153)</f>
        <v>Bacillariophyta</v>
      </c>
      <c r="B113" t="str">
        <f>('remet-mad'!I153)</f>
        <v>Cyclotella</v>
      </c>
      <c r="C113" s="53" t="s">
        <v>1637</v>
      </c>
      <c r="E113">
        <f>COUNTIF('remet-mad'!Q153,"&lt;=10")</f>
        <v>1</v>
      </c>
      <c r="F113">
        <f>COUNTIFS('remet-mad'!Q153,"&gt;10",'remet-mad'!Q153,"&lt;=25")</f>
        <v>0</v>
      </c>
      <c r="G113">
        <f>COUNTIFS('remet-mad'!Q153,"&gt;25",'remet-mad'!Q153,"&lt;=100")</f>
        <v>0</v>
      </c>
      <c r="H113">
        <f>COUNTIFS('remet-mad'!Q153,"&gt;100")</f>
        <v>0</v>
      </c>
      <c r="I113" s="68">
        <f>COUNTIF('remet-mad'!BH153,"&lt;=0.3")</f>
        <v>0</v>
      </c>
      <c r="J113" s="68">
        <f>COUNTIFS('remet-mad'!BH153,"&gt;0.3",'remet-mad'!BH153,"&lt;=0.7")</f>
        <v>0</v>
      </c>
      <c r="K113" s="68">
        <f>COUNTIFS('remet-mad'!BH153,"&gt;0.7",'remet-mad'!BH153,"&lt;=1.0")</f>
        <v>0</v>
      </c>
      <c r="L113" s="68">
        <f>COUNTIFS('remet-mad'!BH153,"&gt;1.0",'remet-mad'!BH153,"&lt;=3.0")</f>
        <v>1</v>
      </c>
      <c r="M113" s="68">
        <f>COUNTIF('remet-mad'!BH153,"&gt;3.0")</f>
        <v>0</v>
      </c>
      <c r="N113" s="64">
        <f>('remet-mad'!AM153)</f>
        <v>0.11</v>
      </c>
      <c r="O113">
        <f>COUNTIF('remet-mad'!Y153,"=1")</f>
        <v>1</v>
      </c>
      <c r="P113">
        <f>COUNTIF('remet-mad'!Y153,"&gt;1")</f>
        <v>0</v>
      </c>
      <c r="Q113" t="s">
        <v>3589</v>
      </c>
      <c r="R113" t="s">
        <v>3584</v>
      </c>
      <c r="S113">
        <v>0</v>
      </c>
      <c r="T113">
        <v>1</v>
      </c>
    </row>
    <row r="114" spans="1:20" ht="17">
      <c r="C114" s="53" t="s">
        <v>3746</v>
      </c>
    </row>
    <row r="115" spans="1:20" ht="17">
      <c r="C115" s="53" t="s">
        <v>3747</v>
      </c>
    </row>
    <row r="116" spans="1:20" ht="17">
      <c r="A116" t="str">
        <f>('remet-mad'!E156)</f>
        <v>Bacillariophyta</v>
      </c>
      <c r="B116" t="str">
        <f>('remet-mad'!I156)</f>
        <v>Cyclotella</v>
      </c>
      <c r="C116" s="53" t="s">
        <v>1648</v>
      </c>
      <c r="E116">
        <f>COUNTIF('remet-mad'!Q156,"&lt;=10")</f>
        <v>1</v>
      </c>
      <c r="F116">
        <f>COUNTIFS('remet-mad'!Q156,"&gt;10",'remet-mad'!Q156,"&lt;=25")</f>
        <v>0</v>
      </c>
      <c r="G116">
        <f>COUNTIFS('remet-mad'!Q156,"&gt;25",'remet-mad'!Q156,"&lt;=100")</f>
        <v>0</v>
      </c>
      <c r="H116">
        <f>COUNTIFS('remet-mad'!Q156,"&gt;100")</f>
        <v>0</v>
      </c>
      <c r="I116" s="68">
        <f>COUNTIF('remet-mad'!BH156,"&lt;=0.3")</f>
        <v>0</v>
      </c>
      <c r="J116" s="68">
        <f>COUNTIFS('remet-mad'!BH156,"&gt;0.3",'remet-mad'!BH156,"&lt;=0.7")</f>
        <v>0</v>
      </c>
      <c r="K116" s="68">
        <f>COUNTIFS('remet-mad'!BH156,"&gt;0.7",'remet-mad'!BH156,"&lt;=1.0")</f>
        <v>0</v>
      </c>
      <c r="L116" s="68">
        <f>COUNTIFS('remet-mad'!BH156,"&gt;1.0",'remet-mad'!BH156,"&lt;=3.0")</f>
        <v>1</v>
      </c>
      <c r="M116" s="68">
        <f>COUNTIF('remet-mad'!BH156,"&gt;3.0")</f>
        <v>0</v>
      </c>
      <c r="N116" s="64">
        <f>('remet-mad'!AM156)</f>
        <v>0.11</v>
      </c>
      <c r="O116">
        <f>COUNTIF('remet-mad'!Y156,"=1")</f>
        <v>1</v>
      </c>
      <c r="P116">
        <f>COUNTIF('remet-mad'!Y156,"&gt;1")</f>
        <v>0</v>
      </c>
      <c r="Q116" t="s">
        <v>3589</v>
      </c>
      <c r="R116" t="s">
        <v>3584</v>
      </c>
      <c r="S116">
        <v>0</v>
      </c>
      <c r="T116">
        <v>1</v>
      </c>
    </row>
    <row r="117" spans="1:20" ht="34">
      <c r="A117" t="str">
        <f>('remet-mad'!E157)</f>
        <v>Chlorophyta</v>
      </c>
      <c r="B117" t="str">
        <f>('remet-mad'!I157)</f>
        <v>Monoraphidium</v>
      </c>
      <c r="C117" s="53" t="s">
        <v>3748</v>
      </c>
      <c r="D117" s="80" t="s">
        <v>2712</v>
      </c>
      <c r="E117">
        <f>COUNTIF('remet-mad'!Q157,"&lt;=10")</f>
        <v>0</v>
      </c>
      <c r="F117">
        <f>COUNTIFS('remet-mad'!Q157,"&gt;10",'remet-mad'!Q157,"&lt;=25")</f>
        <v>0</v>
      </c>
      <c r="G117">
        <f>COUNTIFS('remet-mad'!Q157,"&gt;25",'remet-mad'!Q157,"&lt;=100")</f>
        <v>1</v>
      </c>
      <c r="H117">
        <f>COUNTIFS('remet-mad'!Q157,"&gt;100")</f>
        <v>0</v>
      </c>
      <c r="I117" s="68">
        <f>COUNTIF('remet-mad'!BH157,"&lt;=0.3")</f>
        <v>1</v>
      </c>
      <c r="J117" s="68">
        <f>COUNTIFS('remet-mad'!BH157,"&gt;0.3",'remet-mad'!BH157,"&lt;=0.7")</f>
        <v>0</v>
      </c>
      <c r="K117" s="68">
        <f>COUNTIFS('remet-mad'!BH157,"&gt;0.7",'remet-mad'!BH157,"&lt;=1.0")</f>
        <v>0</v>
      </c>
      <c r="L117" s="68">
        <f>COUNTIFS('remet-mad'!BH157,"&gt;1.0",'remet-mad'!BH157,"&lt;=3.0")</f>
        <v>0</v>
      </c>
      <c r="M117" s="68">
        <f>COUNTIF('remet-mad'!BH157,"&gt;3.0")</f>
        <v>0</v>
      </c>
      <c r="N117" s="64">
        <f>('remet-mad'!AM157)</f>
        <v>0.16</v>
      </c>
      <c r="O117">
        <f>COUNTIF('remet-mad'!Y157,"=1")</f>
        <v>1</v>
      </c>
      <c r="P117">
        <f>COUNTIF('remet-mad'!Y157,"&gt;1")</f>
        <v>0</v>
      </c>
      <c r="Q117" t="s">
        <v>3589</v>
      </c>
      <c r="R117" t="s">
        <v>3583</v>
      </c>
      <c r="S117">
        <v>0</v>
      </c>
      <c r="T117">
        <v>0</v>
      </c>
    </row>
    <row r="118" spans="1:20" ht="17">
      <c r="C118" s="53" t="s">
        <v>3749</v>
      </c>
    </row>
    <row r="119" spans="1:20" ht="17">
      <c r="C119" s="53" t="s">
        <v>1051</v>
      </c>
    </row>
    <row r="120" spans="1:20" ht="34">
      <c r="C120" s="53" t="s">
        <v>3750</v>
      </c>
    </row>
    <row r="121" spans="1:20" ht="17">
      <c r="C121" s="53" t="s">
        <v>1054</v>
      </c>
    </row>
    <row r="122" spans="1:20" ht="17">
      <c r="A122" t="str">
        <f>('remet-mad'!E163)</f>
        <v>Ochrophyta</v>
      </c>
      <c r="B122" t="str">
        <f>('remet-mad'!I163)</f>
        <v>Dinobryon</v>
      </c>
      <c r="C122" s="53" t="s">
        <v>1102</v>
      </c>
      <c r="E122">
        <f>COUNTIF('remet-mad'!Q163:'remet-mad'!Q165,"&lt;=10")/COUNT('remet-mad'!Q163:'remet-mad'!Q165)</f>
        <v>0</v>
      </c>
      <c r="F122">
        <f>COUNTIFS('remet-mad'!Q163:'remet-mad'!Q165,"&gt;10",'remet-mad'!Q163:'remet-mad'!Q165,"&lt;=25")/COUNT('remet-mad'!Q163:'remet-mad'!Q165)</f>
        <v>0</v>
      </c>
      <c r="G122">
        <f>COUNTIFS('remet-mad'!Q163:'remet-mad'!Q165,"&gt;25",'remet-mad'!Q163:'remet-mad'!Q165,"&lt;=100")/COUNT('remet-mad'!Q163:'remet-mad'!Q165)</f>
        <v>1</v>
      </c>
      <c r="H122">
        <f>COUNTIFS('remet-mad'!Q163:'remet-mad'!Q165,"&gt;100")/COUNT('remet-mad'!Q163:'remet-mad'!Q165)</f>
        <v>0</v>
      </c>
      <c r="I122">
        <f>COUNTIF('remet-mad'!BH163:'remet-mad'!BH165,"&lt;=0.3")/COUNT('remet-mad'!BH163:'remet-mad'!BH165)</f>
        <v>1</v>
      </c>
      <c r="J122">
        <f>COUNTIFS('remet-mad'!BH163:'remet-mad'!BH165,"&gt;0.3",'remet-mad'!BH163:'remet-mad'!BH165,"&lt;=0.7")/COUNT('remet-mad'!BH163:'remet-mad'!BH165)</f>
        <v>0</v>
      </c>
      <c r="K122">
        <f>COUNTIFS('remet-mad'!BH163:'remet-mad'!BH165,"&gt;0.7",'remet-mad'!BH163:'remet-mad'!BH165,"&lt;=1.0")/COUNT('remet-mad'!BH163:'remet-mad'!BH165)</f>
        <v>0</v>
      </c>
      <c r="L122">
        <f>COUNTIFS('remet-mad'!BH163:'remet-mad'!BH165,"&gt;1.0",'remet-mad'!BH163:'remet-mad'!BH165,"&lt;=3.0")/COUNT('remet-mad'!BH163:'remet-mad'!BH165)</f>
        <v>0</v>
      </c>
      <c r="M122">
        <f>COUNTIFS('remet-mad'!BH163:'remet-mad'!BH165,"&gt;3")/COUNT('remet-mad'!BH163:'remet-mad'!BH165)</f>
        <v>0</v>
      </c>
      <c r="N122" s="64">
        <f>('remet-mad'!AM163)</f>
        <v>0.11</v>
      </c>
      <c r="O122">
        <f>COUNTIF('remet-mad'!Y163:'remet-mad'!Y165,"=1")/COUNT('remet-mad'!Y163:'remet-mad'!Y165)</f>
        <v>1</v>
      </c>
      <c r="P122">
        <f>COUNTIF('remet-mad'!Y163:'remet-mad'!Y165,"&gt;1")/COUNT('remet-mad'!Y163:'remet-mad'!Y165)</f>
        <v>0</v>
      </c>
      <c r="Q122" t="s">
        <v>3587</v>
      </c>
      <c r="R122" t="s">
        <v>3584</v>
      </c>
      <c r="S122">
        <v>0</v>
      </c>
      <c r="T122">
        <v>0</v>
      </c>
    </row>
    <row r="123" spans="1:20" ht="17">
      <c r="A123" t="str">
        <f>('remet-mad'!E164)</f>
        <v>Ochrophyta</v>
      </c>
      <c r="B123" t="str">
        <f>('remet-mad'!I164)</f>
        <v>Dinobryon</v>
      </c>
      <c r="C123" s="53" t="s">
        <v>3751</v>
      </c>
      <c r="E123">
        <f>COUNTIF('remet-mad'!Q166:'remet-mad'!Q171,"&lt;=10")/COUNT('remet-mad'!Q166:'remet-mad'!Q171)</f>
        <v>0</v>
      </c>
      <c r="F123">
        <f>COUNTIFS('remet-mad'!Q166:'remet-mad'!Q171,"&gt;10",'remet-mad'!Q166:'remet-mad'!Q171,"&lt;=25")/COUNT('remet-mad'!Q166:'remet-mad'!Q171)</f>
        <v>0</v>
      </c>
      <c r="G123">
        <f>COUNTIFS('remet-mad'!Q166:'remet-mad'!Q171,"&gt;25",'remet-mad'!Q166:'remet-mad'!Q171,"&lt;=100")/COUNT('remet-mad'!Q166:'remet-mad'!Q171)</f>
        <v>1</v>
      </c>
      <c r="H123">
        <f>COUNTIFS('remet-mad'!Q166:'remet-mad'!Q171,"&gt;100")/COUNT('remet-mad'!Q166:'remet-mad'!Q171)</f>
        <v>0</v>
      </c>
      <c r="I123">
        <f>COUNTIF('remet-mad'!BH166:'remet-mad'!BH171,"&lt;=0.3")/COUNT('remet-mad'!BH166:'remet-mad'!BH171)</f>
        <v>1</v>
      </c>
      <c r="J123">
        <f>COUNTIFS('remet-mad'!BH166:'remet-mad'!BH171,"&gt;0.3",'remet-mad'!BH166:'remet-mad'!BH171,"&lt;=0.7")/COUNT('remet-mad'!BH166:'remet-mad'!BH171)</f>
        <v>0</v>
      </c>
      <c r="K123">
        <f>COUNTIFS('remet-mad'!BH166:'remet-mad'!BH171,"&gt;0.7",'remet-mad'!BH166:'remet-mad'!BH171,"&lt;=1.0")/COUNT('remet-mad'!BH166:'remet-mad'!BH171)</f>
        <v>0</v>
      </c>
      <c r="L123">
        <f>COUNTIFS('remet-mad'!BH166:'remet-mad'!BH171,"&gt;1.0",'remet-mad'!BH166:'remet-mad'!BH171,"&lt;=3.0")/COUNT('remet-mad'!BH166:'remet-mad'!BH171)</f>
        <v>0</v>
      </c>
      <c r="M123">
        <f>COUNTIFS('remet-mad'!BH167:'remet-mad'!BH171,"&gt;3")/COUNT('remet-mad'!BH166:'remet-mad'!BH171)</f>
        <v>0</v>
      </c>
      <c r="N123" s="64">
        <f>('remet-mad'!AM166)</f>
        <v>0.11</v>
      </c>
      <c r="O123">
        <f>COUNTIF('remet-mad'!Y166:'remet-mad'!Y171,"=1")/COUNT('remet-mad'!Y166:'remet-mad'!Y171)</f>
        <v>1</v>
      </c>
      <c r="P123">
        <f>COUNTIF('remet-mad'!Y166:'remet-mad'!Y171,"&gt;1")/COUNT('remet-mad'!Y166:'remet-mad'!Y171)</f>
        <v>0</v>
      </c>
      <c r="Q123" t="s">
        <v>3587</v>
      </c>
      <c r="R123" t="s">
        <v>3584</v>
      </c>
      <c r="S123">
        <v>0</v>
      </c>
      <c r="T123">
        <v>0</v>
      </c>
    </row>
    <row r="124" spans="1:20" ht="34">
      <c r="A124" t="str">
        <f>('remet-mad'!E172)</f>
        <v>Cyanobacteria</v>
      </c>
      <c r="B124" t="str">
        <f>('remet-mad'!I172)</f>
        <v>Anabaena</v>
      </c>
      <c r="C124" s="53" t="s">
        <v>3752</v>
      </c>
      <c r="D124" s="81" t="s">
        <v>180</v>
      </c>
      <c r="E124">
        <f>COUNTIF('remet-mad'!Q172:'remet-mad'!Q173,"&lt;=10")/COUNT('remet-mad'!Q172:'remet-mad'!Q173)</f>
        <v>1</v>
      </c>
      <c r="F124">
        <f>COUNTIFS('remet-mad'!Q172:'remet-mad'!Q173,"&gt;10",'remet-mad'!Q172:'remet-mad'!Q173,"&lt;=25")/COUNT('remet-mad'!Q172:'remet-mad'!Q173)</f>
        <v>0</v>
      </c>
      <c r="G124">
        <f>COUNTIFS('remet-mad'!Q172:'remet-mad'!Q173,"&gt;25",'remet-mad'!Q172:'remet-mad'!Q173,"&lt;=100")/COUNT('remet-mad'!Q172:'remet-mad'!Q173)</f>
        <v>0</v>
      </c>
      <c r="H124">
        <f>COUNTIFS('remet-mad'!Q172:'remet-mad'!Q173,"&gt;100")/COUNT('remet-mad'!Q172:'remet-mad'!Q173)</f>
        <v>0</v>
      </c>
      <c r="I124">
        <f>COUNTIF('remet-mad'!BH172:'remet-mad'!BH173,"&lt;=0.3")/COUNT('remet-mad'!BH172:'remet-mad'!BH173)</f>
        <v>0</v>
      </c>
      <c r="J124">
        <f>COUNTIFS('remet-mad'!BH172:'remet-mad'!BH173,"&gt;0.3",'remet-mad'!BH172:'remet-mad'!BH173,"&lt;=0.7")/COUNT('remet-mad'!BH172:'remet-mad'!BH173)</f>
        <v>1</v>
      </c>
      <c r="K124">
        <f>COUNTIFS('remet-mad'!BH172:'remet-mad'!BH173,"&gt;0.7",'remet-mad'!BH172:'remet-mad'!BH173,"&lt;=1.0")/COUNT('remet-mad'!BH172:'remet-mad'!BH173)</f>
        <v>0</v>
      </c>
      <c r="L124">
        <f>COUNTIFS('remet-mad'!BH172:'remet-mad'!BH173,"&gt;1.0",'remet-mad'!BH172:'remet-mad'!BH173,"&lt;=3.0")/COUNT('remet-mad'!BH172:'remet-mad'!BH173)</f>
        <v>0</v>
      </c>
      <c r="M124">
        <f>COUNTIFS('remet-mad'!BH172:'remet-mad'!BH173,"&gt;3")/COUNT('remet-mad'!BH172:'remet-mad'!BH173)</f>
        <v>0</v>
      </c>
      <c r="N124" s="64">
        <f>('remet-mad'!AM172)</f>
        <v>0.22</v>
      </c>
      <c r="O124">
        <f>COUNTIF('remet-mad'!Y172:'remet-mad'!Y173,"=1")/COUNT('remet-mad'!Y172:'remet-mad'!Y173)</f>
        <v>0</v>
      </c>
      <c r="P124">
        <f>COUNTIF('remet-mad'!Y172:'remet-mad'!Y173,"&gt;1")/COUNT('remet-mad'!Y172:'remet-mad'!Y173)</f>
        <v>1</v>
      </c>
      <c r="Q124" t="s">
        <v>3589</v>
      </c>
      <c r="R124" t="s">
        <v>3583</v>
      </c>
      <c r="S124">
        <v>1</v>
      </c>
      <c r="T124">
        <v>0</v>
      </c>
    </row>
    <row r="125" spans="1:20" ht="34">
      <c r="C125" s="53" t="s">
        <v>3753</v>
      </c>
    </row>
    <row r="126" spans="1:20" ht="34">
      <c r="A126" t="str">
        <f>('remet-mad'!E175)</f>
        <v>Cyanobacteria</v>
      </c>
      <c r="B126" t="str">
        <f>('remet-mad'!I175)</f>
        <v>Anabaena</v>
      </c>
      <c r="C126" s="53" t="s">
        <v>3754</v>
      </c>
      <c r="D126" s="80" t="s">
        <v>190</v>
      </c>
      <c r="E126">
        <f>COUNTIF('remet-mad'!Q175,"&lt;=10")</f>
        <v>1</v>
      </c>
      <c r="F126">
        <f>COUNTIFS('remet-mad'!Q175,"&gt;10",'remet-mad'!Q175,"&lt;=25")</f>
        <v>0</v>
      </c>
      <c r="G126">
        <f>COUNTIFS('remet-mad'!Q175,"&gt;25",'remet-mad'!Q175,"&lt;=100")</f>
        <v>0</v>
      </c>
      <c r="H126">
        <f>COUNTIFS('remet-mad'!Q175,"&gt;100")</f>
        <v>0</v>
      </c>
      <c r="I126" s="68">
        <f>COUNTIF('remet-mad'!BH175,"&lt;=0.3")</f>
        <v>1</v>
      </c>
      <c r="J126" s="68">
        <f>COUNTIFS('remet-mad'!BH175,"&gt;0.3",'remet-mad'!BH175,"&lt;=0.7")</f>
        <v>0</v>
      </c>
      <c r="K126" s="68">
        <f>COUNTIFS('remet-mad'!BH175,"&gt;0.7",'remet-mad'!BH175,"&lt;=1.0")</f>
        <v>0</v>
      </c>
      <c r="L126" s="68">
        <f>COUNTIFS('remet-mad'!BH175,"&gt;1.0",'remet-mad'!BH175,"&lt;=3.0")</f>
        <v>0</v>
      </c>
      <c r="M126" s="68">
        <f>COUNTIF('remet-mad'!BH175,"&gt;3.0")</f>
        <v>0</v>
      </c>
      <c r="N126" s="64">
        <f>('remet-mad'!AM175)</f>
        <v>0.22</v>
      </c>
      <c r="O126">
        <f>COUNTIF('remet-mad'!Y175,"=1")</f>
        <v>0</v>
      </c>
      <c r="P126">
        <f>COUNTIF('remet-mad'!Y175,"&gt;1")</f>
        <v>1</v>
      </c>
      <c r="Q126" t="s">
        <v>3589</v>
      </c>
      <c r="R126" t="s">
        <v>3583</v>
      </c>
      <c r="S126">
        <v>1</v>
      </c>
      <c r="T126">
        <v>0</v>
      </c>
    </row>
    <row r="127" spans="1:20" ht="34">
      <c r="A127" t="str">
        <f>('remet-mad'!E176)</f>
        <v>Cyanobacteria</v>
      </c>
      <c r="B127" t="str">
        <f>('remet-mad'!I176)</f>
        <v>Anabaena</v>
      </c>
      <c r="C127" s="53" t="s">
        <v>3755</v>
      </c>
      <c r="D127" s="81" t="s">
        <v>197</v>
      </c>
      <c r="E127">
        <f>COUNTIF('remet-mad'!Q176,"&lt;=10")</f>
        <v>1</v>
      </c>
      <c r="F127">
        <f>COUNTIFS('remet-mad'!Q176,"&gt;10",'remet-mad'!Q176,"&lt;=25")</f>
        <v>0</v>
      </c>
      <c r="G127">
        <f>COUNTIFS('remet-mad'!Q176,"&gt;25",'remet-mad'!Q176,"&lt;=100")</f>
        <v>0</v>
      </c>
      <c r="H127">
        <f>COUNTIFS('remet-mad'!Q176,"&gt;100")</f>
        <v>0</v>
      </c>
      <c r="I127" s="68">
        <f>COUNTIF('remet-mad'!BH176,"&lt;=0.3")</f>
        <v>0</v>
      </c>
      <c r="J127" s="68">
        <f>COUNTIFS('remet-mad'!BH176,"&gt;0.3",'remet-mad'!BH176,"&lt;=0.7")</f>
        <v>1</v>
      </c>
      <c r="K127" s="68">
        <f>COUNTIFS('remet-mad'!BH176,"&gt;0.7",'remet-mad'!BH176,"&lt;=1.0")</f>
        <v>0</v>
      </c>
      <c r="L127" s="68">
        <f>COUNTIFS('remet-mad'!BH176,"&gt;1.0",'remet-mad'!BH176,"&lt;=3.0")</f>
        <v>0</v>
      </c>
      <c r="M127" s="68">
        <f>COUNTIF('remet-mad'!BH176,"&gt;3.0")</f>
        <v>0</v>
      </c>
      <c r="N127" s="64">
        <f>('remet-mad'!AM176)</f>
        <v>0.22</v>
      </c>
      <c r="O127">
        <f>COUNTIF('remet-mad'!Y176,"=1")</f>
        <v>0</v>
      </c>
      <c r="P127">
        <f>COUNTIF('remet-mad'!Y176,"&gt;1")</f>
        <v>1</v>
      </c>
      <c r="Q127" t="s">
        <v>3589</v>
      </c>
      <c r="R127" t="s">
        <v>3583</v>
      </c>
      <c r="S127">
        <v>1</v>
      </c>
      <c r="T127">
        <v>0</v>
      </c>
    </row>
    <row r="128" spans="1:20" ht="34">
      <c r="A128" t="str">
        <f>('remet-mad'!E177)</f>
        <v>Cyanobacteria</v>
      </c>
      <c r="B128" t="str">
        <f>('remet-mad'!I177)</f>
        <v>Anabaena</v>
      </c>
      <c r="C128" s="53" t="s">
        <v>3756</v>
      </c>
      <c r="D128" s="80" t="s">
        <v>208</v>
      </c>
      <c r="E128">
        <f>COUNTIF('remet-mad'!Q177,"&lt;=10")</f>
        <v>1</v>
      </c>
      <c r="F128">
        <f>COUNTIFS('remet-mad'!Q177,"&gt;10",'remet-mad'!Q177,"&lt;=25")</f>
        <v>0</v>
      </c>
      <c r="G128">
        <f>COUNTIFS('remet-mad'!Q177,"&gt;25",'remet-mad'!Q177,"&lt;=100")</f>
        <v>0</v>
      </c>
      <c r="H128">
        <f>COUNTIFS('remet-mad'!Q177,"&gt;100")</f>
        <v>0</v>
      </c>
      <c r="I128" s="68">
        <f>COUNTIF('remet-mad'!BH177,"&lt;=0.3")</f>
        <v>1</v>
      </c>
      <c r="J128" s="68">
        <f>COUNTIFS('remet-mad'!BH177,"&gt;0.3",'remet-mad'!BH177,"&lt;=0.7")</f>
        <v>0</v>
      </c>
      <c r="K128" s="68">
        <f>COUNTIFS('remet-mad'!BH177,"&gt;0.7",'remet-mad'!BH177,"&lt;=1.0")</f>
        <v>0</v>
      </c>
      <c r="L128" s="68">
        <f>COUNTIFS('remet-mad'!BH177,"&gt;1.0",'remet-mad'!BH177,"&lt;=3.0")</f>
        <v>0</v>
      </c>
      <c r="M128" s="68">
        <f>COUNTIF('remet-mad'!BH177,"&gt;3.0")</f>
        <v>0</v>
      </c>
      <c r="N128" s="64">
        <f>('remet-mad'!AM177)</f>
        <v>0.22</v>
      </c>
      <c r="O128">
        <f>COUNTIF('remet-mad'!Y177,"=1")</f>
        <v>0</v>
      </c>
      <c r="P128">
        <f>COUNTIF('remet-mad'!Y177,"&gt;1")</f>
        <v>1</v>
      </c>
      <c r="Q128" t="s">
        <v>3589</v>
      </c>
      <c r="R128" t="s">
        <v>3583</v>
      </c>
      <c r="S128">
        <v>1</v>
      </c>
      <c r="T128">
        <v>0</v>
      </c>
    </row>
    <row r="129" spans="1:20" ht="34">
      <c r="A129" t="str">
        <f>('remet-mad'!E178)</f>
        <v>Cyanobacteria</v>
      </c>
      <c r="B129" t="str">
        <f>('remet-mad'!I178)</f>
        <v>Anabaena</v>
      </c>
      <c r="C129" s="53" t="s">
        <v>3757</v>
      </c>
      <c r="D129" s="80" t="s">
        <v>213</v>
      </c>
      <c r="E129">
        <f>COUNTIF('remet-mad'!Q178:'remet-mad'!Q179,"&lt;=10")/COUNT('remet-mad'!Q178:'remet-mad'!Q179)</f>
        <v>1</v>
      </c>
      <c r="F129">
        <f>COUNTIFS('remet-mad'!Q178:'remet-mad'!Q179,"&gt;10",'remet-mad'!Q178:'remet-mad'!Q179,"&lt;=25")/COUNT('remet-mad'!Q178:'remet-mad'!Q179)</f>
        <v>0</v>
      </c>
      <c r="G129">
        <f>COUNTIFS('remet-mad'!Q178:'remet-mad'!Q179,"&gt;25",'remet-mad'!Q178:'remet-mad'!Q179,"&lt;=100")/COUNT('remet-mad'!Q178:'remet-mad'!Q179)</f>
        <v>0</v>
      </c>
      <c r="H129">
        <f>COUNTIFS('remet-mad'!Q178:'remet-mad'!Q179,"&gt;100")/COUNT('remet-mad'!Q178:'remet-mad'!Q179)</f>
        <v>0</v>
      </c>
      <c r="I129">
        <f>COUNTIF('remet-mad'!BH178:'remet-mad'!BH179,"&lt;=0.3")/COUNT('remet-mad'!BH178:'remet-mad'!BH179)</f>
        <v>0</v>
      </c>
      <c r="J129">
        <f>COUNTIFS('remet-mad'!BH178:'remet-mad'!BH179,"&gt;0.3",'remet-mad'!BH178:'remet-mad'!BH179,"&lt;=0.7")/COUNT('remet-mad'!BH178:'remet-mad'!BH179)</f>
        <v>1</v>
      </c>
      <c r="K129">
        <f>COUNTIFS('remet-mad'!BH178:'remet-mad'!BH179,"&gt;0.7",'remet-mad'!BH178:'remet-mad'!BH179,"&lt;=1.0")/COUNT('remet-mad'!BH178:'remet-mad'!BH179)</f>
        <v>0</v>
      </c>
      <c r="L129">
        <f>COUNTIFS('remet-mad'!BH178:'remet-mad'!BH179,"&gt;1.0",'remet-mad'!BH178:'remet-mad'!BH179,"&lt;=3.0")/COUNT('remet-mad'!BH178:'remet-mad'!BH179)</f>
        <v>0</v>
      </c>
      <c r="M129">
        <f>COUNTIFS('remet-mad'!BH178:'remet-mad'!BH179,"&gt;3")/COUNT('remet-mad'!BH178:'remet-mad'!BH179)</f>
        <v>0</v>
      </c>
      <c r="N129" s="64">
        <f>('remet-mad'!AM178)</f>
        <v>0.22</v>
      </c>
      <c r="O129">
        <f>COUNTIF('remet-mad'!Y178:'remet-mad'!Y179,"=1")/COUNT('remet-mad'!Y178:'remet-mad'!Y179)</f>
        <v>0</v>
      </c>
      <c r="P129">
        <f>COUNTIF('remet-mad'!Y178:'remet-mad'!Y179,"&gt;1")/COUNT('remet-mad'!Y178:'remet-mad'!Y179)</f>
        <v>1</v>
      </c>
      <c r="Q129" t="s">
        <v>3589</v>
      </c>
      <c r="R129" t="s">
        <v>3583</v>
      </c>
      <c r="S129">
        <v>1</v>
      </c>
      <c r="T129">
        <v>0</v>
      </c>
    </row>
    <row r="130" spans="1:20" ht="17">
      <c r="C130" s="53" t="s">
        <v>871</v>
      </c>
    </row>
    <row r="131" spans="1:20" ht="34">
      <c r="A131" t="str">
        <f>('remet-mad'!E181)</f>
        <v>Bacillariophyta</v>
      </c>
      <c r="B131" t="str">
        <f>('remet-mad'!I181)</f>
        <v>Fragilaria</v>
      </c>
      <c r="C131" s="53" t="s">
        <v>1818</v>
      </c>
      <c r="E131">
        <f>COUNTIF('remet-mad'!Q181,"&lt;=10")</f>
        <v>0</v>
      </c>
      <c r="F131">
        <f>COUNTIFS('remet-mad'!Q181,"&gt;10",'remet-mad'!Q181,"&lt;=25")</f>
        <v>0</v>
      </c>
      <c r="G131">
        <f>COUNTIFS('remet-mad'!Q181,"&gt;25",'remet-mad'!Q181,"&lt;=100")</f>
        <v>1</v>
      </c>
      <c r="H131">
        <f>COUNTIFS('remet-mad'!Q181,"&gt;100")</f>
        <v>0</v>
      </c>
      <c r="I131" s="68">
        <f>COUNTIF('remet-mad'!BH181,"&lt;=0.3")</f>
        <v>0</v>
      </c>
      <c r="J131" s="68">
        <f>COUNTIFS('remet-mad'!BH181,"&gt;0.3",'remet-mad'!BH181,"&lt;=0.7")</f>
        <v>1</v>
      </c>
      <c r="K131" s="68">
        <f>COUNTIFS('remet-mad'!BH181,"&gt;0.7",'remet-mad'!BH181,"&lt;=1.0")</f>
        <v>0</v>
      </c>
      <c r="L131" s="68">
        <f>COUNTIFS('remet-mad'!BH181,"&gt;1.0",'remet-mad'!BH181,"&lt;=3.0")</f>
        <v>0</v>
      </c>
      <c r="M131" s="68">
        <f>COUNTIF('remet-mad'!BH181,"&gt;3.0")</f>
        <v>0</v>
      </c>
      <c r="N131" s="64">
        <f>('remet-mad'!AM181)</f>
        <v>0.11</v>
      </c>
      <c r="O131">
        <f>COUNTIF('remet-mad'!Y181,"=1")</f>
        <v>1</v>
      </c>
      <c r="P131">
        <f>COUNTIF('remet-mad'!Y181,"&gt;1")</f>
        <v>0</v>
      </c>
      <c r="Q131" t="s">
        <v>3589</v>
      </c>
      <c r="R131" t="s">
        <v>3584</v>
      </c>
      <c r="S131">
        <v>0</v>
      </c>
      <c r="T131">
        <v>1</v>
      </c>
    </row>
    <row r="132" spans="1:20" ht="17">
      <c r="A132" t="str">
        <f>('remet-mad'!E182)</f>
        <v>Bacillariophyta</v>
      </c>
      <c r="B132" t="str">
        <f>('remet-mad'!I182)</f>
        <v>Fragilaria</v>
      </c>
      <c r="C132" s="53" t="s">
        <v>1838</v>
      </c>
      <c r="E132">
        <f>COUNTIF('remet-mad'!Q182,"&lt;=10")</f>
        <v>0</v>
      </c>
      <c r="F132">
        <f>COUNTIFS('remet-mad'!Q182,"&gt;10",'remet-mad'!Q182,"&lt;=25")</f>
        <v>0</v>
      </c>
      <c r="G132">
        <f>COUNTIFS('remet-mad'!Q182,"&gt;25",'remet-mad'!Q182,"&lt;=100")</f>
        <v>1</v>
      </c>
      <c r="H132">
        <f>COUNTIFS('remet-mad'!Q182,"&gt;100")</f>
        <v>0</v>
      </c>
      <c r="I132" s="68">
        <f>COUNTIF('remet-mad'!BH182,"&lt;=0.3")</f>
        <v>0</v>
      </c>
      <c r="J132" s="68">
        <f>COUNTIFS('remet-mad'!BH182,"&gt;0.3",'remet-mad'!BH182,"&lt;=0.7")</f>
        <v>1</v>
      </c>
      <c r="K132" s="68">
        <f>COUNTIFS('remet-mad'!BH182,"&gt;0.7",'remet-mad'!BH182,"&lt;=1.0")</f>
        <v>0</v>
      </c>
      <c r="L132" s="68">
        <f>COUNTIFS('remet-mad'!BH182,"&gt;1.0",'remet-mad'!BH182,"&lt;=3.0")</f>
        <v>0</v>
      </c>
      <c r="M132" s="68">
        <f>COUNTIF('remet-mad'!BH182,"&gt;3.0")</f>
        <v>0</v>
      </c>
      <c r="N132" s="64">
        <f>('remet-mad'!AM182)</f>
        <v>0.11</v>
      </c>
      <c r="O132">
        <f>COUNTIF('remet-mad'!Y182,"=1")</f>
        <v>1</v>
      </c>
      <c r="P132">
        <f>COUNTIF('remet-mad'!Y182,"&gt;1")</f>
        <v>0</v>
      </c>
      <c r="Q132" t="s">
        <v>3589</v>
      </c>
      <c r="R132" t="s">
        <v>3584</v>
      </c>
      <c r="S132">
        <v>0</v>
      </c>
      <c r="T132">
        <v>1</v>
      </c>
    </row>
    <row r="133" spans="1:20" ht="17">
      <c r="C133" s="53" t="s">
        <v>3758</v>
      </c>
    </row>
    <row r="134" spans="1:20" ht="34">
      <c r="A134" t="str">
        <f>('remet-mad'!E184)</f>
        <v xml:space="preserve">Myzozoa </v>
      </c>
      <c r="B134" t="str">
        <f>('remet-mad'!I184)</f>
        <v>Peridiniopsis</v>
      </c>
      <c r="C134" s="53" t="s">
        <v>3759</v>
      </c>
      <c r="D134" s="81" t="s">
        <v>765</v>
      </c>
      <c r="E134">
        <f>COUNTIF('remet-mad'!Q184,"&lt;=10")</f>
        <v>0</v>
      </c>
      <c r="F134">
        <f>COUNTIFS('remet-mad'!Q184,"&gt;10",'remet-mad'!Q184,"&lt;=25")</f>
        <v>0</v>
      </c>
      <c r="G134">
        <f>COUNTIFS('remet-mad'!Q184,"&gt;25",'remet-mad'!Q184,"&lt;=100")</f>
        <v>1</v>
      </c>
      <c r="H134">
        <f>COUNTIFS('remet-mad'!Q184,"&gt;100")</f>
        <v>0</v>
      </c>
      <c r="I134" s="68">
        <f>COUNTIF('remet-mad'!BH184,"&lt;=0.3")</f>
        <v>0</v>
      </c>
      <c r="J134" s="68">
        <f>COUNTIFS('remet-mad'!BH184,"&gt;0.3",'remet-mad'!BH184,"&lt;=0.7")</f>
        <v>0</v>
      </c>
      <c r="K134" s="68">
        <f>COUNTIFS('remet-mad'!BH184,"&gt;0.7",'remet-mad'!BH184,"&lt;=1.0")</f>
        <v>1</v>
      </c>
      <c r="L134" s="68">
        <f>COUNTIFS('remet-mad'!BH184,"&gt;1.0",'remet-mad'!BH184,"&lt;=3.0")</f>
        <v>0</v>
      </c>
      <c r="M134" s="68">
        <f>COUNTIF('remet-mad'!BH184,"&gt;3.0")</f>
        <v>0</v>
      </c>
      <c r="N134" s="64">
        <f>('remet-mad'!AM184)</f>
        <v>0.13</v>
      </c>
      <c r="O134">
        <f>COUNTIF('remet-mad'!Y184,"=1")</f>
        <v>1</v>
      </c>
      <c r="P134">
        <f>COUNTIF('remet-mad'!Y184,"&gt;1")</f>
        <v>0</v>
      </c>
      <c r="Q134" t="s">
        <v>3587</v>
      </c>
      <c r="R134" t="s">
        <v>3584</v>
      </c>
      <c r="S134">
        <v>0</v>
      </c>
      <c r="T134">
        <v>0</v>
      </c>
    </row>
    <row r="135" spans="1:20" ht="17">
      <c r="C135" s="53" t="s">
        <v>2308</v>
      </c>
    </row>
    <row r="136" spans="1:20" ht="17">
      <c r="C136" s="53" t="s">
        <v>3760</v>
      </c>
    </row>
    <row r="137" spans="1:20" ht="17">
      <c r="A137" t="str">
        <f>('remet-mad'!E187)</f>
        <v>Chlorophyta</v>
      </c>
      <c r="B137" t="str">
        <f>('remet-mad'!I187)</f>
        <v>Golenkinia</v>
      </c>
      <c r="C137" s="53" t="s">
        <v>2566</v>
      </c>
      <c r="E137">
        <f>COUNTIF('remet-mad'!Q187,"&lt;=10")</f>
        <v>0</v>
      </c>
      <c r="F137">
        <f>COUNTIFS('remet-mad'!Q187,"&gt;10",'remet-mad'!Q187,"&lt;=25")</f>
        <v>1</v>
      </c>
      <c r="G137">
        <f>COUNTIFS('remet-mad'!Q187,"&gt;25",'remet-mad'!Q187,"&lt;=100")</f>
        <v>0</v>
      </c>
      <c r="H137">
        <f>COUNTIFS('remet-mad'!Q187,"&gt;100")</f>
        <v>0</v>
      </c>
      <c r="I137" s="68">
        <f>COUNTIF('remet-mad'!BH187,"&lt;=0.3")</f>
        <v>0</v>
      </c>
      <c r="J137" s="68">
        <f>COUNTIFS('remet-mad'!BH187,"&gt;0.3",'remet-mad'!BH187,"&lt;=0.7")</f>
        <v>0</v>
      </c>
      <c r="K137" s="68">
        <f>COUNTIFS('remet-mad'!BH187,"&gt;0.7",'remet-mad'!BH187,"&lt;=1.0")</f>
        <v>0</v>
      </c>
      <c r="L137" s="68">
        <f>COUNTIFS('remet-mad'!BH187,"&gt;1.0",'remet-mad'!BH187,"&lt;=3.0")</f>
        <v>1</v>
      </c>
      <c r="M137" s="68">
        <f>COUNTIF('remet-mad'!BH187,"&gt;3.0")</f>
        <v>0</v>
      </c>
      <c r="N137" s="64">
        <f>('remet-mad'!AM187)</f>
        <v>0.16</v>
      </c>
      <c r="O137">
        <f>COUNTIF('remet-mad'!Y187,"=1")</f>
        <v>1</v>
      </c>
      <c r="P137">
        <f>COUNTIF('remet-mad'!Y187,"&gt;1")</f>
        <v>0</v>
      </c>
      <c r="Q137" t="s">
        <v>3589</v>
      </c>
      <c r="R137" t="s">
        <v>3583</v>
      </c>
      <c r="S137">
        <v>0</v>
      </c>
      <c r="T137">
        <v>0</v>
      </c>
    </row>
    <row r="138" spans="1:20" ht="17">
      <c r="C138" s="53" t="s">
        <v>1891</v>
      </c>
    </row>
    <row r="139" spans="1:20" ht="17">
      <c r="C139" s="53" t="s">
        <v>3761</v>
      </c>
    </row>
    <row r="140" spans="1:20" ht="17">
      <c r="C140" s="53" t="s">
        <v>3762</v>
      </c>
    </row>
    <row r="141" spans="1:20" ht="17">
      <c r="C141" s="53" t="s">
        <v>3763</v>
      </c>
    </row>
    <row r="142" spans="1:20" ht="17">
      <c r="C142" s="53" t="s">
        <v>3764</v>
      </c>
    </row>
    <row r="143" spans="1:20" ht="34">
      <c r="C143" s="53" t="s">
        <v>3765</v>
      </c>
    </row>
    <row r="144" spans="1:20" ht="34">
      <c r="A144" t="str">
        <f>('remet-mad'!E194)</f>
        <v>Chlorophyta</v>
      </c>
      <c r="B144" t="str">
        <f>('remet-mad'!I194)</f>
        <v>Lagerheimia</v>
      </c>
      <c r="C144" s="53" t="s">
        <v>2661</v>
      </c>
      <c r="E144">
        <f>COUNTIF('remet-mad'!Q194,"&lt;=10")</f>
        <v>1</v>
      </c>
      <c r="F144">
        <f>COUNTIFS('remet-mad'!Q194,"&gt;10",'remet-mad'!Q194,"&lt;=25")</f>
        <v>0</v>
      </c>
      <c r="G144">
        <f>COUNTIFS('remet-mad'!Q194,"&gt;25",'remet-mad'!Q194,"&lt;=100")</f>
        <v>0</v>
      </c>
      <c r="H144">
        <f>COUNTIFS('remet-mad'!Q194,"&gt;100")</f>
        <v>0</v>
      </c>
      <c r="I144" s="68">
        <f>COUNTIF('remet-mad'!BH194,"&lt;=0.3")</f>
        <v>1</v>
      </c>
      <c r="J144" s="68">
        <f>COUNTIFS('remet-mad'!BH194,"&gt;0.3",'remet-mad'!BH194,"&lt;=0.7")</f>
        <v>0</v>
      </c>
      <c r="K144" s="68">
        <f>COUNTIFS('remet-mad'!BH194,"&gt;0.7",'remet-mad'!BH194,"&lt;=1.0")</f>
        <v>0</v>
      </c>
      <c r="L144" s="68">
        <f>COUNTIFS('remet-mad'!BH194,"&gt;1.0",'remet-mad'!BH194,"&lt;=3.0")</f>
        <v>0</v>
      </c>
      <c r="M144" s="68">
        <f>COUNTIF('remet-mad'!BH194,"&gt;3.0")</f>
        <v>0</v>
      </c>
      <c r="N144" s="64">
        <f>('remet-mad'!AM194)</f>
        <v>0.16</v>
      </c>
      <c r="O144">
        <f>COUNTIF('remet-mad'!Y194,"=1")</f>
        <v>1</v>
      </c>
      <c r="P144">
        <f>COUNTIF('remet-mad'!Y194,"&gt;1")</f>
        <v>0</v>
      </c>
      <c r="Q144" t="s">
        <v>3589</v>
      </c>
      <c r="R144" t="s">
        <v>3583</v>
      </c>
      <c r="S144">
        <v>0</v>
      </c>
      <c r="T144">
        <v>0</v>
      </c>
    </row>
    <row r="145" spans="1:20" ht="17">
      <c r="C145" s="53" t="s">
        <v>3766</v>
      </c>
    </row>
    <row r="146" spans="1:20" ht="17">
      <c r="C146" s="53" t="s">
        <v>3767</v>
      </c>
    </row>
    <row r="147" spans="1:20" ht="17">
      <c r="C147" s="53" t="s">
        <v>3768</v>
      </c>
    </row>
    <row r="148" spans="1:20" ht="23">
      <c r="A148" t="str">
        <f>('remet-mad'!E198)</f>
        <v>Cyanobacteria</v>
      </c>
      <c r="B148" t="str">
        <f>('remet-mad'!I198)</f>
        <v>Leptolyngbya</v>
      </c>
      <c r="C148" s="53" t="s">
        <v>3769</v>
      </c>
      <c r="D148" s="81" t="s">
        <v>446</v>
      </c>
      <c r="E148">
        <f>COUNTIF('remet-mad'!Q198,"&lt;=10")</f>
        <v>1</v>
      </c>
      <c r="F148">
        <f>COUNTIFS('remet-mad'!Q198,"&gt;10",'remet-mad'!Q198,"&lt;=25")</f>
        <v>0</v>
      </c>
      <c r="G148">
        <f>COUNTIFS('remet-mad'!Q198,"&gt;25",'remet-mad'!Q198,"&lt;=100")</f>
        <v>0</v>
      </c>
      <c r="H148">
        <f>COUNTIFS('remet-mad'!Q198,"&gt;100")</f>
        <v>0</v>
      </c>
      <c r="I148" s="68">
        <f>COUNTIF('remet-mad'!BH198,"&lt;=0.3")</f>
        <v>1</v>
      </c>
      <c r="J148" s="68">
        <f>COUNTIFS('remet-mad'!BH198,"&gt;0.3",'remet-mad'!BH198,"&lt;=0.7")</f>
        <v>0</v>
      </c>
      <c r="K148" s="68">
        <f>COUNTIFS('remet-mad'!BH198,"&gt;0.7",'remet-mad'!BH198,"&lt;=1.0")</f>
        <v>0</v>
      </c>
      <c r="L148" s="68">
        <f>COUNTIFS('remet-mad'!BH198,"&gt;1.0",'remet-mad'!BH198,"&lt;=3.0")</f>
        <v>0</v>
      </c>
      <c r="M148" s="68">
        <f>COUNTIF('remet-mad'!BH198,"&gt;3.0")</f>
        <v>0</v>
      </c>
      <c r="N148" s="64">
        <f>('remet-mad'!AM198)</f>
        <v>0.22</v>
      </c>
      <c r="O148">
        <f>COUNTIF('remet-mad'!Y198,"=1")</f>
        <v>0</v>
      </c>
      <c r="P148">
        <f>COUNTIF('remet-mad'!Y198,"&gt;1")</f>
        <v>1</v>
      </c>
      <c r="Q148" t="s">
        <v>3589</v>
      </c>
      <c r="R148" t="s">
        <v>3583</v>
      </c>
      <c r="S148">
        <v>0</v>
      </c>
      <c r="T148">
        <v>0</v>
      </c>
    </row>
    <row r="149" spans="1:20" ht="34">
      <c r="C149" s="53" t="s">
        <v>3770</v>
      </c>
    </row>
    <row r="150" spans="1:20" ht="34">
      <c r="A150" t="str">
        <f>('remet-mad'!E200)</f>
        <v>Ochrophyta</v>
      </c>
      <c r="B150" t="str">
        <f>('remet-mad'!I200)</f>
        <v>Mallomonas</v>
      </c>
      <c r="C150" s="53" t="s">
        <v>3771</v>
      </c>
      <c r="E150">
        <f>COUNTIF('remet-mad'!Q200,"&lt;=10")</f>
        <v>0</v>
      </c>
      <c r="F150">
        <f>COUNTIFS('remet-mad'!Q200,"&gt;10",'remet-mad'!Q200,"&lt;=25")</f>
        <v>0</v>
      </c>
      <c r="G150">
        <f>COUNTIFS('remet-mad'!Q200,"&gt;25",'remet-mad'!Q200,"&lt;=100")</f>
        <v>1</v>
      </c>
      <c r="H150">
        <f>COUNTIFS('remet-mad'!Q200,"&gt;100")</f>
        <v>0</v>
      </c>
      <c r="I150" s="68">
        <f>COUNTIF('remet-mad'!BH200,"&lt;=0.3")</f>
        <v>1</v>
      </c>
      <c r="J150" s="68">
        <f>COUNTIFS('remet-mad'!BH200,"&gt;0.3",'remet-mad'!BH200,"&lt;=0.7")</f>
        <v>0</v>
      </c>
      <c r="K150" s="68">
        <f>COUNTIFS('remet-mad'!BH200,"&gt;0.7",'remet-mad'!BH200,"&lt;=1.0")</f>
        <v>0</v>
      </c>
      <c r="L150" s="68">
        <f>COUNTIFS('remet-mad'!BH200,"&gt;1.0",'remet-mad'!BH200,"&lt;=3.0")</f>
        <v>0</v>
      </c>
      <c r="M150" s="68">
        <f>COUNTIF('remet-mad'!BH200,"&gt;3.0")</f>
        <v>0</v>
      </c>
      <c r="N150" s="64">
        <f>('remet-mad'!AM200)</f>
        <v>0.11</v>
      </c>
      <c r="O150">
        <f>COUNTIF('remet-mad'!Y200,"=1")</f>
        <v>1</v>
      </c>
      <c r="P150">
        <f>COUNTIF('remet-mad'!Y200,"&gt;1")</f>
        <v>0</v>
      </c>
      <c r="Q150" t="s">
        <v>3587</v>
      </c>
      <c r="R150" t="s">
        <v>3584</v>
      </c>
      <c r="S150">
        <v>0</v>
      </c>
      <c r="T150">
        <v>1</v>
      </c>
    </row>
    <row r="151" spans="1:20" ht="17">
      <c r="A151" t="str">
        <f>('remet-mad'!E201)</f>
        <v>Cyanobacteria</v>
      </c>
      <c r="B151" t="str">
        <f>('remet-mad'!I201)</f>
        <v>Merismopedia</v>
      </c>
      <c r="C151" s="53" t="s">
        <v>3772</v>
      </c>
      <c r="E151">
        <f>COUNTIF('remet-mad'!Q201,"&lt;=10")</f>
        <v>1</v>
      </c>
      <c r="F151">
        <f>COUNTIFS('remet-mad'!Q201,"&gt;10",'remet-mad'!Q201,"&lt;=25")</f>
        <v>0</v>
      </c>
      <c r="G151">
        <f>COUNTIFS('remet-mad'!Q201,"&gt;25",'remet-mad'!Q201,"&lt;=100")</f>
        <v>0</v>
      </c>
      <c r="H151">
        <f>COUNTIFS('remet-mad'!Q201,"&gt;100")</f>
        <v>0</v>
      </c>
      <c r="I151" s="68">
        <f>COUNTIF('remet-mad'!BH201,"&lt;=0.3")</f>
        <v>1</v>
      </c>
      <c r="J151" s="68">
        <f>COUNTIFS('remet-mad'!BH201,"&gt;0.3",'remet-mad'!BH201,"&lt;=0.7")</f>
        <v>0</v>
      </c>
      <c r="K151" s="68">
        <f>COUNTIFS('remet-mad'!BH201,"&gt;0.7",'remet-mad'!BH201,"&lt;=1.0")</f>
        <v>0</v>
      </c>
      <c r="L151" s="68">
        <f>COUNTIFS('remet-mad'!BH201,"&gt;1.0",'remet-mad'!BH201,"&lt;=3.0")</f>
        <v>0</v>
      </c>
      <c r="M151" s="68">
        <f>COUNTIF('remet-mad'!BH201,"&gt;3.0")</f>
        <v>0</v>
      </c>
      <c r="N151" s="64">
        <f>('remet-mad'!AM201)</f>
        <v>0.22</v>
      </c>
      <c r="O151">
        <f>COUNTIF('remet-mad'!Y201,"=1")</f>
        <v>0</v>
      </c>
      <c r="P151">
        <f>COUNTIF('remet-mad'!Y201,"&gt;1")</f>
        <v>1</v>
      </c>
      <c r="Q151" t="s">
        <v>3589</v>
      </c>
      <c r="R151" t="s">
        <v>3583</v>
      </c>
      <c r="S151">
        <v>0</v>
      </c>
      <c r="T151">
        <v>0</v>
      </c>
    </row>
    <row r="152" spans="1:20" ht="34">
      <c r="A152" t="str">
        <f>('remet-mad'!E202)</f>
        <v>Cyanobacteria</v>
      </c>
      <c r="B152" t="str">
        <f>('remet-mad'!I202)</f>
        <v>Merismopedia</v>
      </c>
      <c r="C152" s="53" t="s">
        <v>3773</v>
      </c>
      <c r="D152" s="81" t="s">
        <v>483</v>
      </c>
      <c r="E152">
        <f>COUNTIF('remet-mad'!Q202,"&lt;=10")</f>
        <v>1</v>
      </c>
      <c r="F152">
        <f>COUNTIFS('remet-mad'!Q202,"&gt;10",'remet-mad'!Q202,"&lt;=25")</f>
        <v>0</v>
      </c>
      <c r="G152">
        <f>COUNTIFS('remet-mad'!Q202,"&gt;25",'remet-mad'!Q202,"&lt;=100")</f>
        <v>0</v>
      </c>
      <c r="H152">
        <f>COUNTIFS('remet-mad'!Q202,"&gt;100")</f>
        <v>0</v>
      </c>
      <c r="I152" s="68">
        <f>COUNTIF('remet-mad'!BH202,"&lt;=0.3")</f>
        <v>1</v>
      </c>
      <c r="J152" s="68">
        <f>COUNTIFS('remet-mad'!BH202,"&gt;0.3",'remet-mad'!BH202,"&lt;=0.7")</f>
        <v>0</v>
      </c>
      <c r="K152" s="68">
        <f>COUNTIFS('remet-mad'!BH202,"&gt;0.7",'remet-mad'!BH202,"&lt;=1.0")</f>
        <v>0</v>
      </c>
      <c r="L152" s="68">
        <f>COUNTIFS('remet-mad'!BH202,"&gt;1.0",'remet-mad'!BH202,"&lt;=3.0")</f>
        <v>0</v>
      </c>
      <c r="M152" s="68">
        <f>COUNTIF('remet-mad'!BH202,"&gt;3.0")</f>
        <v>0</v>
      </c>
      <c r="N152" s="64">
        <f>('remet-mad'!AM202)</f>
        <v>0.22</v>
      </c>
      <c r="O152">
        <f>COUNTIF('remet-mad'!Y202,"=1")</f>
        <v>0</v>
      </c>
      <c r="P152">
        <f>COUNTIF('remet-mad'!Y202,"&gt;1")</f>
        <v>1</v>
      </c>
      <c r="Q152" t="s">
        <v>3589</v>
      </c>
      <c r="R152" t="s">
        <v>3583</v>
      </c>
      <c r="S152">
        <v>0</v>
      </c>
      <c r="T152">
        <v>0</v>
      </c>
    </row>
    <row r="153" spans="1:20" ht="17">
      <c r="C153" s="53" t="s">
        <v>3774</v>
      </c>
    </row>
    <row r="154" spans="1:20" ht="17">
      <c r="C154" s="53" t="s">
        <v>50</v>
      </c>
    </row>
    <row r="155" spans="1:20" ht="34">
      <c r="A155" t="str">
        <f>('remet-mad'!E205)</f>
        <v>Chlorophyta</v>
      </c>
      <c r="B155" t="str">
        <f>('remet-mad'!I205)</f>
        <v>Dictyosphaerium</v>
      </c>
      <c r="C155" s="53" t="s">
        <v>3775</v>
      </c>
      <c r="D155" s="81" t="s">
        <v>2503</v>
      </c>
      <c r="E155">
        <f>COUNTIF('remet-mad'!Q205,"&lt;=10")</f>
        <v>1</v>
      </c>
      <c r="F155">
        <f>COUNTIFS('remet-mad'!Q205,"&gt;10",'remet-mad'!Q205,"&lt;=25")</f>
        <v>0</v>
      </c>
      <c r="G155">
        <f>COUNTIFS('remet-mad'!Q205,"&gt;25",'remet-mad'!Q205,"&lt;=100")</f>
        <v>0</v>
      </c>
      <c r="H155">
        <f>COUNTIFS('remet-mad'!Q205,"&gt;100")</f>
        <v>0</v>
      </c>
      <c r="I155" s="68">
        <f>COUNTIF('remet-mad'!BH205,"&lt;=0.3")</f>
        <v>0</v>
      </c>
      <c r="J155" s="68">
        <f>COUNTIFS('remet-mad'!BH205,"&gt;0.3",'remet-mad'!BH205,"&lt;=0.7")</f>
        <v>1</v>
      </c>
      <c r="K155" s="68">
        <f>COUNTIFS('remet-mad'!BH205,"&gt;0.7",'remet-mad'!BH205,"&lt;=1.0")</f>
        <v>0</v>
      </c>
      <c r="L155" s="68">
        <f>COUNTIFS('remet-mad'!BH205,"&gt;1.0",'remet-mad'!BH205,"&lt;=3.0")</f>
        <v>0</v>
      </c>
      <c r="M155" s="68">
        <f>COUNTIF('remet-mad'!BH205,"&gt;3.0")</f>
        <v>0</v>
      </c>
      <c r="N155" s="64">
        <f>('remet-mad'!AM205)</f>
        <v>0.16</v>
      </c>
      <c r="O155">
        <f>COUNTIF('remet-mad'!Y205,"=1")</f>
        <v>0</v>
      </c>
      <c r="P155">
        <f>COUNTIF('remet-mad'!Y205,"&gt;1")</f>
        <v>1</v>
      </c>
      <c r="Q155" t="s">
        <v>3589</v>
      </c>
      <c r="R155" t="s">
        <v>3583</v>
      </c>
      <c r="S155">
        <v>0</v>
      </c>
      <c r="T155">
        <v>0</v>
      </c>
    </row>
    <row r="156" spans="1:20" ht="17">
      <c r="C156" s="53" t="s">
        <v>1954</v>
      </c>
    </row>
    <row r="157" spans="1:20" ht="17">
      <c r="C157" s="53" t="s">
        <v>3776</v>
      </c>
    </row>
    <row r="158" spans="1:20" ht="17">
      <c r="C158" s="53" t="s">
        <v>43</v>
      </c>
    </row>
    <row r="159" spans="1:20" ht="17">
      <c r="C159" s="53" t="s">
        <v>3777</v>
      </c>
    </row>
    <row r="160" spans="1:20" ht="17">
      <c r="C160" s="53" t="s">
        <v>1235</v>
      </c>
    </row>
    <row r="161" spans="1:20" ht="17">
      <c r="A161" t="str">
        <f>('remet-mad'!E211)</f>
        <v>Chlorophyta</v>
      </c>
      <c r="B161" t="str">
        <f>('remet-mad'!I211)</f>
        <v>Oocystis</v>
      </c>
      <c r="C161" s="53" t="s">
        <v>2758</v>
      </c>
      <c r="E161">
        <f>COUNTIF('remet-mad'!Q211,"&lt;=10")</f>
        <v>0</v>
      </c>
      <c r="F161">
        <f>COUNTIFS('remet-mad'!Q211,"&gt;10",'remet-mad'!Q211,"&lt;=25")</f>
        <v>1</v>
      </c>
      <c r="G161">
        <f>COUNTIFS('remet-mad'!Q211,"&gt;25",'remet-mad'!Q211,"&lt;=100")</f>
        <v>0</v>
      </c>
      <c r="H161">
        <f>COUNTIFS('remet-mad'!Q211,"&gt;100")</f>
        <v>0</v>
      </c>
      <c r="I161" s="68">
        <f>COUNTIF('remet-mad'!BH211,"&lt;=0.3")</f>
        <v>0</v>
      </c>
      <c r="J161" s="68">
        <f>COUNTIFS('remet-mad'!BH211,"&gt;0.3",'remet-mad'!BH211,"&lt;=0.7")</f>
        <v>1</v>
      </c>
      <c r="K161" s="68">
        <f>COUNTIFS('remet-mad'!BH211,"&gt;0.7",'remet-mad'!BH211,"&lt;=1.0")</f>
        <v>0</v>
      </c>
      <c r="L161" s="68">
        <f>COUNTIFS('remet-mad'!BH211,"&gt;1.0",'remet-mad'!BH211,"&lt;=3.0")</f>
        <v>0</v>
      </c>
      <c r="M161" s="68">
        <f>COUNTIF('remet-mad'!BH211,"&gt;3.0")</f>
        <v>0</v>
      </c>
      <c r="N161" s="64">
        <f>('remet-mad'!AM211)</f>
        <v>0.16</v>
      </c>
      <c r="O161">
        <f>COUNTIF('remet-mad'!Y211,"=1")</f>
        <v>0</v>
      </c>
      <c r="P161">
        <f>COUNTIF('remet-mad'!Y211,"&gt;1")</f>
        <v>1</v>
      </c>
      <c r="Q161" t="s">
        <v>3589</v>
      </c>
      <c r="R161" t="s">
        <v>3583</v>
      </c>
      <c r="S161">
        <v>0</v>
      </c>
      <c r="T161">
        <v>0</v>
      </c>
    </row>
    <row r="162" spans="1:20" ht="17">
      <c r="A162" t="str">
        <f>('remet-mad'!E212)</f>
        <v>Chlorophyta</v>
      </c>
      <c r="B162" t="str">
        <f>('remet-mad'!I212)</f>
        <v>Oocystis</v>
      </c>
      <c r="C162" s="53" t="s">
        <v>2766</v>
      </c>
      <c r="E162">
        <f>COUNTIF('remet-mad'!Q212,"&lt;=10")</f>
        <v>1</v>
      </c>
      <c r="F162">
        <f>COUNTIFS('remet-mad'!Q212,"&gt;10",'remet-mad'!Q212,"&lt;=25")</f>
        <v>0</v>
      </c>
      <c r="G162">
        <f>COUNTIFS('remet-mad'!Q212,"&gt;25",'remet-mad'!Q212,"&lt;=100")</f>
        <v>0</v>
      </c>
      <c r="H162">
        <f>COUNTIFS('remet-mad'!Q212,"&gt;100")</f>
        <v>0</v>
      </c>
      <c r="I162" s="68">
        <f>COUNTIF('remet-mad'!BH212,"&lt;=0.3")</f>
        <v>1</v>
      </c>
      <c r="J162" s="68">
        <f>COUNTIFS('remet-mad'!BH212,"&gt;0.3",'remet-mad'!BH212,"&lt;=0.7")</f>
        <v>0</v>
      </c>
      <c r="K162" s="68">
        <f>COUNTIFS('remet-mad'!BH212,"&gt;0.7",'remet-mad'!BH212,"&lt;=1.0")</f>
        <v>0</v>
      </c>
      <c r="L162" s="68">
        <f>COUNTIFS('remet-mad'!BH212,"&gt;1.0",'remet-mad'!BH212,"&lt;=3.0")</f>
        <v>0</v>
      </c>
      <c r="M162" s="68">
        <f>COUNTIF('remet-mad'!BH212,"&gt;3.0")</f>
        <v>0</v>
      </c>
      <c r="N162" s="64">
        <f>('remet-mad'!AM212)</f>
        <v>0.16</v>
      </c>
      <c r="O162">
        <f>COUNTIF('remet-mad'!Y212,"=1")</f>
        <v>0</v>
      </c>
      <c r="P162">
        <f>COUNTIF('remet-mad'!Y212,"&gt;1")</f>
        <v>1</v>
      </c>
      <c r="Q162" t="s">
        <v>3589</v>
      </c>
      <c r="R162" t="s">
        <v>3583</v>
      </c>
      <c r="S162">
        <v>0</v>
      </c>
      <c r="T162">
        <v>0</v>
      </c>
    </row>
    <row r="163" spans="1:20" ht="17">
      <c r="C163" s="53" t="s">
        <v>3778</v>
      </c>
    </row>
    <row r="164" spans="1:20" ht="17">
      <c r="A164" t="str">
        <f>('remet-mad'!E214)</f>
        <v>Cyanobacteria</v>
      </c>
      <c r="B164" t="str">
        <f>('remet-mad'!I214)</f>
        <v>Planktothrix</v>
      </c>
      <c r="C164" s="53" t="s">
        <v>3779</v>
      </c>
      <c r="D164" s="81" t="s">
        <v>553</v>
      </c>
      <c r="E164">
        <f>COUNTIF('remet-mad'!Q214,"&lt;=10")</f>
        <v>1</v>
      </c>
      <c r="F164">
        <f>COUNTIFS('remet-mad'!Q214,"&gt;10",'remet-mad'!Q214,"&lt;=25")</f>
        <v>0</v>
      </c>
      <c r="G164">
        <f>COUNTIFS('remet-mad'!Q214,"&gt;25",'remet-mad'!Q214,"&lt;=100")</f>
        <v>0</v>
      </c>
      <c r="H164">
        <f>COUNTIFS('remet-mad'!Q214,"&gt;100")</f>
        <v>0</v>
      </c>
      <c r="I164" s="68">
        <f>COUNTIF('remet-mad'!BH214,"&lt;=0.3")</f>
        <v>0</v>
      </c>
      <c r="J164" s="68">
        <f>COUNTIFS('remet-mad'!BH214,"&gt;0.3",'remet-mad'!BH214,"&lt;=0.7")</f>
        <v>0</v>
      </c>
      <c r="K164" s="68">
        <f>COUNTIFS('remet-mad'!BH214,"&gt;0.7",'remet-mad'!BH214,"&lt;=1.0")</f>
        <v>1</v>
      </c>
      <c r="L164" s="68">
        <f>COUNTIFS('remet-mad'!BH214,"&gt;1.0",'remet-mad'!BH214,"&lt;=3.0")</f>
        <v>0</v>
      </c>
      <c r="M164" s="68">
        <f>COUNTIF('remet-mad'!BH214,"&gt;3.0")</f>
        <v>0</v>
      </c>
      <c r="N164" s="64">
        <f>('remet-mad'!AM214)</f>
        <v>0.22</v>
      </c>
      <c r="O164">
        <f>COUNTIF('remet-mad'!Y214,"=1")</f>
        <v>0</v>
      </c>
      <c r="P164">
        <f>COUNTIF('remet-mad'!Y214,"&gt;1")</f>
        <v>1</v>
      </c>
      <c r="Q164" t="s">
        <v>3589</v>
      </c>
      <c r="R164" t="s">
        <v>3583</v>
      </c>
      <c r="S164">
        <v>0</v>
      </c>
      <c r="T164">
        <v>0</v>
      </c>
    </row>
    <row r="165" spans="1:20" ht="17">
      <c r="C165" s="53" t="s">
        <v>3780</v>
      </c>
    </row>
    <row r="166" spans="1:20" ht="17">
      <c r="A166" t="str">
        <f>('remet-mad'!E216)</f>
        <v>Chlorophyta</v>
      </c>
      <c r="B166" t="str">
        <f>('remet-mad'!I216)</f>
        <v>Pandorina</v>
      </c>
      <c r="C166" s="53" t="s">
        <v>2777</v>
      </c>
      <c r="E166">
        <f>COUNTIF('remet-mad'!Q216,"&lt;=10")</f>
        <v>0</v>
      </c>
      <c r="F166">
        <f>COUNTIFS('remet-mad'!Q216,"&gt;10",'remet-mad'!Q216,"&lt;=25")</f>
        <v>1</v>
      </c>
      <c r="G166">
        <f>COUNTIFS('remet-mad'!Q216,"&gt;25",'remet-mad'!Q216,"&lt;=100")</f>
        <v>0</v>
      </c>
      <c r="H166">
        <f>COUNTIFS('remet-mad'!Q216,"&gt;100")</f>
        <v>0</v>
      </c>
      <c r="I166" s="68">
        <f>COUNTIF('remet-mad'!BH216,"&lt;=0.3")</f>
        <v>0</v>
      </c>
      <c r="J166" s="68">
        <f>COUNTIFS('remet-mad'!BH216,"&gt;0.3",'remet-mad'!BH216,"&lt;=0.7")</f>
        <v>0</v>
      </c>
      <c r="K166" s="68">
        <f>COUNTIFS('remet-mad'!BH216,"&gt;0.7",'remet-mad'!BH216,"&lt;=1.0")</f>
        <v>1</v>
      </c>
      <c r="L166" s="68">
        <f>COUNTIFS('remet-mad'!BH216,"&gt;1.0",'remet-mad'!BH216,"&lt;=3.0")</f>
        <v>0</v>
      </c>
      <c r="M166" s="68">
        <f>COUNTIF('remet-mad'!BH216,"&gt;3.0")</f>
        <v>0</v>
      </c>
      <c r="N166" s="64">
        <f>('remet-mad'!AM216)</f>
        <v>0.16</v>
      </c>
      <c r="O166">
        <f>COUNTIF('remet-mad'!Y216,"=1")</f>
        <v>0</v>
      </c>
      <c r="P166">
        <f>COUNTIF('remet-mad'!Y216,"&gt;1")</f>
        <v>1</v>
      </c>
      <c r="Q166" t="s">
        <v>3587</v>
      </c>
      <c r="R166" t="s">
        <v>3583</v>
      </c>
      <c r="S166">
        <v>0</v>
      </c>
      <c r="T166">
        <v>0</v>
      </c>
    </row>
    <row r="167" spans="1:20" ht="17">
      <c r="A167" t="str">
        <f>('remet-mad'!E217)</f>
        <v>Chlorophyta</v>
      </c>
      <c r="B167" t="str">
        <f>('remet-mad'!I217)</f>
        <v>Pediastrum</v>
      </c>
      <c r="C167" s="53" t="s">
        <v>2804</v>
      </c>
      <c r="E167">
        <f>COUNTIF('remet-mad'!Q217,"&lt;=10")</f>
        <v>1</v>
      </c>
      <c r="F167">
        <f>COUNTIFS('remet-mad'!Q217,"&gt;10",'remet-mad'!Q217,"&lt;=25")</f>
        <v>0</v>
      </c>
      <c r="G167">
        <f>COUNTIFS('remet-mad'!Q217,"&gt;25",'remet-mad'!Q217,"&lt;=100")</f>
        <v>0</v>
      </c>
      <c r="H167">
        <f>COUNTIFS('remet-mad'!Q217,"&gt;100")</f>
        <v>0</v>
      </c>
      <c r="I167" s="68">
        <f>COUNTIF('remet-mad'!BH217,"&lt;=0.3")</f>
        <v>1</v>
      </c>
      <c r="J167" s="68">
        <f>COUNTIFS('remet-mad'!BH217,"&gt;0.3",'remet-mad'!BH217,"&lt;=0.7")</f>
        <v>0</v>
      </c>
      <c r="K167" s="68">
        <f>COUNTIFS('remet-mad'!BH217,"&gt;0.7",'remet-mad'!BH217,"&lt;=1.0")</f>
        <v>0</v>
      </c>
      <c r="L167" s="68">
        <f>COUNTIFS('remet-mad'!BH217,"&gt;1.0",'remet-mad'!BH217,"&lt;=3.0")</f>
        <v>0</v>
      </c>
      <c r="M167" s="68">
        <f>COUNTIF('remet-mad'!BH217,"&gt;3.0")</f>
        <v>0</v>
      </c>
      <c r="N167" s="64">
        <f>('remet-mad'!AM217)</f>
        <v>0.16</v>
      </c>
      <c r="O167">
        <f>COUNTIF('remet-mad'!Y217,"=1")</f>
        <v>0</v>
      </c>
      <c r="P167">
        <f>COUNTIF('remet-mad'!Y217,"&gt;1")</f>
        <v>1</v>
      </c>
      <c r="Q167" t="s">
        <v>3589</v>
      </c>
      <c r="R167" t="s">
        <v>3583</v>
      </c>
      <c r="S167">
        <v>0</v>
      </c>
      <c r="T167">
        <v>0</v>
      </c>
    </row>
    <row r="168" spans="1:20" ht="17">
      <c r="A168" t="str">
        <f>('remet-mad'!E218)</f>
        <v>Chlorophyta</v>
      </c>
      <c r="B168" t="str">
        <f>('remet-mad'!I218)</f>
        <v>Pediastrum</v>
      </c>
      <c r="C168" s="53" t="s">
        <v>2813</v>
      </c>
      <c r="E168">
        <f>COUNTIF('remet-mad'!Q218:'remet-mad'!Q219,"&lt;=10")/COUNT('remet-mad'!Q218:'remet-mad'!Q219)</f>
        <v>0</v>
      </c>
      <c r="F168">
        <f>COUNTIFS('remet-mad'!Q218:'remet-mad'!Q219,"&gt;10",'remet-mad'!Q218:'remet-mad'!Q219,"&lt;=25")/COUNT('remet-mad'!Q218:'remet-mad'!Q219)</f>
        <v>1</v>
      </c>
      <c r="G168">
        <f>COUNTIFS('remet-mad'!Q218:'remet-mad'!Q219,"&gt;25",'remet-mad'!Q218:'remet-mad'!Q219,"&lt;=100")/COUNT('remet-mad'!Q218:'remet-mad'!Q219)</f>
        <v>0</v>
      </c>
      <c r="H168">
        <f>COUNTIFS('remet-mad'!Q218:'remet-mad'!Q219,"&gt;100")/COUNT('remet-mad'!Q218:'remet-mad'!Q219)</f>
        <v>0</v>
      </c>
      <c r="I168">
        <f>COUNTIF('remet-mad'!BH218:'remet-mad'!BH219,"&lt;=0.3")/COUNT('remet-mad'!BH218:'remet-mad'!BH219)</f>
        <v>1</v>
      </c>
      <c r="J168">
        <f>COUNTIFS('remet-mad'!BH218:'remet-mad'!BH219,"&gt;0.3",'remet-mad'!BH218:'remet-mad'!BH219,"&lt;=0.7")/COUNT('remet-mad'!BH218:'remet-mad'!BH219)</f>
        <v>0</v>
      </c>
      <c r="K168">
        <f>COUNTIFS('remet-mad'!BH218:'remet-mad'!BH219,"&gt;0.7",'remet-mad'!BH218:'remet-mad'!BH219,"&lt;=1.0")/COUNT('remet-mad'!BH218:'remet-mad'!BH219)</f>
        <v>0</v>
      </c>
      <c r="L168">
        <f>COUNTIFS('remet-mad'!BH218:'remet-mad'!BH219,"&gt;1.0",'remet-mad'!BH218:'remet-mad'!BH219,"&lt;=3.0")/COUNT('remet-mad'!BH218:'remet-mad'!BH219)</f>
        <v>0</v>
      </c>
      <c r="M168">
        <f>COUNTIFS('remet-mad'!BH218:'remet-mad'!BH219,"&gt;3")/COUNT('remet-mad'!BH218:'remet-mad'!BH219)</f>
        <v>0</v>
      </c>
      <c r="N168" s="64">
        <f>('remet-mad'!AM218)</f>
        <v>0.16</v>
      </c>
      <c r="O168">
        <f>COUNTIF('remet-mad'!Y218:'remet-mad'!Y219,"=1")/COUNT('remet-mad'!Y218:'remet-mad'!Y219)</f>
        <v>0</v>
      </c>
      <c r="P168">
        <f>COUNTIF('remet-mad'!Y218:'remet-mad'!Y219,"&gt;1")/COUNT('remet-mad'!Y218:'remet-mad'!Y219)</f>
        <v>1</v>
      </c>
      <c r="Q168" t="s">
        <v>3589</v>
      </c>
      <c r="R168" t="s">
        <v>3583</v>
      </c>
      <c r="S168">
        <v>0</v>
      </c>
      <c r="T168">
        <v>0</v>
      </c>
    </row>
    <row r="169" spans="1:20" ht="17">
      <c r="C169" s="53" t="s">
        <v>56</v>
      </c>
    </row>
    <row r="170" spans="1:20" ht="34">
      <c r="C170" s="53" t="s">
        <v>3781</v>
      </c>
    </row>
    <row r="171" spans="1:20" ht="34">
      <c r="A171" t="str">
        <f>('remet-mad'!E222)</f>
        <v>Cyanobacteria</v>
      </c>
      <c r="B171" t="str">
        <f>('remet-mad'!I222)</f>
        <v>Planktolyngbya</v>
      </c>
      <c r="C171" s="53" t="s">
        <v>548</v>
      </c>
      <c r="E171">
        <f>COUNTIF('remet-mad'!Q222,"&lt;=10")</f>
        <v>1</v>
      </c>
      <c r="F171">
        <f>COUNTIFS('remet-mad'!Q222,"&gt;10",'remet-mad'!Q222,"&lt;=25")</f>
        <v>0</v>
      </c>
      <c r="G171">
        <f>COUNTIFS('remet-mad'!Q222,"&gt;25",'remet-mad'!Q222,"&lt;=100")</f>
        <v>0</v>
      </c>
      <c r="H171">
        <f>COUNTIFS('remet-mad'!Q222,"&gt;100")</f>
        <v>0</v>
      </c>
      <c r="I171" s="68">
        <f>COUNTIF('remet-mad'!BH222,"&lt;=0.3")</f>
        <v>1</v>
      </c>
      <c r="J171" s="68">
        <f>COUNTIFS('remet-mad'!BH222,"&gt;0.3",'remet-mad'!BH222,"&lt;=0.7")</f>
        <v>0</v>
      </c>
      <c r="K171" s="68">
        <f>COUNTIFS('remet-mad'!BH222,"&gt;0.7",'remet-mad'!BH222,"&lt;=1.0")</f>
        <v>0</v>
      </c>
      <c r="L171" s="68">
        <f>COUNTIFS('remet-mad'!BH222,"&gt;1.0",'remet-mad'!BH222,"&lt;=3.0")</f>
        <v>0</v>
      </c>
      <c r="M171" s="68">
        <f>COUNTIF('remet-mad'!BH222,"&gt;3.0")</f>
        <v>0</v>
      </c>
      <c r="N171" s="64">
        <f>('remet-mad'!AM222)</f>
        <v>0.22</v>
      </c>
      <c r="O171">
        <f>COUNTIF('remet-mad'!Y222,"=1")</f>
        <v>0</v>
      </c>
      <c r="P171">
        <f>COUNTIF('remet-mad'!Y222,"&gt;1")</f>
        <v>1</v>
      </c>
      <c r="Q171" t="s">
        <v>3589</v>
      </c>
      <c r="R171" t="s">
        <v>3583</v>
      </c>
      <c r="S171">
        <v>0</v>
      </c>
      <c r="T171">
        <v>0</v>
      </c>
    </row>
    <row r="172" spans="1:20" ht="34">
      <c r="C172" s="53" t="s">
        <v>3782</v>
      </c>
      <c r="Q172" t="s">
        <v>3589</v>
      </c>
      <c r="R172" t="s">
        <v>3583</v>
      </c>
    </row>
    <row r="173" spans="1:20" ht="17">
      <c r="A173" t="str">
        <f>('remet-mad'!E224)</f>
        <v>Cyanobacteria</v>
      </c>
      <c r="B173" t="str">
        <f>('remet-mad'!I224)</f>
        <v>Planktothrix</v>
      </c>
      <c r="C173" s="53" t="s">
        <v>553</v>
      </c>
      <c r="E173">
        <f>COUNTIF('remet-mad'!Q224,"&lt;=10")</f>
        <v>1</v>
      </c>
      <c r="F173">
        <f>COUNTIFS('remet-mad'!Q224,"&gt;10",'remet-mad'!Q224,"&lt;=25")</f>
        <v>0</v>
      </c>
      <c r="G173">
        <f>COUNTIFS('remet-mad'!Q224,"&gt;25",'remet-mad'!Q224,"&lt;=100")</f>
        <v>0</v>
      </c>
      <c r="H173">
        <f>COUNTIFS('remet-mad'!Q224,"&gt;100")</f>
        <v>0</v>
      </c>
      <c r="I173" s="68">
        <f>COUNTIF('remet-mad'!BH224,"&lt;=0.3")</f>
        <v>0</v>
      </c>
      <c r="J173" s="68">
        <f>COUNTIFS('remet-mad'!BH224,"&gt;0.3",'remet-mad'!BH224,"&lt;=0.7")</f>
        <v>0</v>
      </c>
      <c r="K173" s="68">
        <f>COUNTIFS('remet-mad'!BH224,"&gt;0.7",'remet-mad'!BH224,"&lt;=1.0")</f>
        <v>1</v>
      </c>
      <c r="L173" s="68">
        <f>COUNTIFS('remet-mad'!BH224,"&gt;1.0",'remet-mad'!BH224,"&lt;=3.0")</f>
        <v>0</v>
      </c>
      <c r="M173" s="68">
        <f>COUNTIF('remet-mad'!BH224,"&gt;3.0")</f>
        <v>0</v>
      </c>
      <c r="N173" s="64">
        <f>('remet-mad'!AM224)</f>
        <v>0.22</v>
      </c>
      <c r="O173">
        <f>COUNTIF('remet-mad'!Y224,"=1")</f>
        <v>0</v>
      </c>
      <c r="P173">
        <f>COUNTIF('remet-mad'!Y224,"&gt;1")</f>
        <v>1</v>
      </c>
      <c r="Q173" t="s">
        <v>3589</v>
      </c>
      <c r="R173" t="s">
        <v>3583</v>
      </c>
      <c r="S173">
        <v>0</v>
      </c>
      <c r="T173">
        <v>0</v>
      </c>
    </row>
    <row r="174" spans="1:20" ht="17">
      <c r="C174" s="53" t="s">
        <v>563</v>
      </c>
    </row>
    <row r="175" spans="1:20" ht="34">
      <c r="A175" t="str">
        <f>('remet-mad'!E226)</f>
        <v>Cyanobacteria</v>
      </c>
      <c r="B175" t="str">
        <f>('remet-mad'!I226)</f>
        <v>Pseudanabaena</v>
      </c>
      <c r="C175" s="53" t="s">
        <v>580</v>
      </c>
      <c r="E175">
        <f>COUNTIF('remet-mad'!Q226,"&lt;=10")</f>
        <v>1</v>
      </c>
      <c r="F175">
        <f>COUNTIFS('remet-mad'!Q226,"&gt;10",'remet-mad'!Q226,"&lt;=25")</f>
        <v>0</v>
      </c>
      <c r="G175">
        <f>COUNTIFS('remet-mad'!Q226,"&gt;25",'remet-mad'!Q226,"&lt;=100")</f>
        <v>0</v>
      </c>
      <c r="H175">
        <f>COUNTIFS('remet-mad'!Q226,"&gt;100")</f>
        <v>0</v>
      </c>
      <c r="I175" s="68">
        <f>COUNTIF('remet-mad'!BH226,"&lt;=0.3")</f>
        <v>0</v>
      </c>
      <c r="J175" s="68">
        <f>COUNTIFS('remet-mad'!BH226,"&gt;0.3",'remet-mad'!BH226,"&lt;=0.7")</f>
        <v>1</v>
      </c>
      <c r="K175" s="68">
        <f>COUNTIFS('remet-mad'!BH226,"&gt;0.7",'remet-mad'!BH226,"&lt;=1.0")</f>
        <v>0</v>
      </c>
      <c r="L175" s="68">
        <f>COUNTIFS('remet-mad'!BH226,"&gt;1.0",'remet-mad'!BH226,"&lt;=3.0")</f>
        <v>0</v>
      </c>
      <c r="M175" s="68">
        <f>COUNTIF('remet-mad'!BH226,"&gt;3.0")</f>
        <v>0</v>
      </c>
      <c r="N175" s="64">
        <f>('remet-mad'!AM226)</f>
        <v>0.22</v>
      </c>
      <c r="O175">
        <f>COUNTIF('remet-mad'!Y226,"=1")</f>
        <v>0</v>
      </c>
      <c r="P175">
        <f>COUNTIF('remet-mad'!Y226,"&gt;1")</f>
        <v>1</v>
      </c>
      <c r="Q175" t="s">
        <v>3589</v>
      </c>
      <c r="R175" t="s">
        <v>3583</v>
      </c>
      <c r="S175">
        <v>0</v>
      </c>
      <c r="T175">
        <v>0</v>
      </c>
    </row>
    <row r="176" spans="1:20" ht="34">
      <c r="A176" t="str">
        <f>('remet-mad'!E227)</f>
        <v>Cyanobacteria</v>
      </c>
      <c r="B176" t="str">
        <f>('remet-mad'!I227)</f>
        <v>Pseudanabaena</v>
      </c>
      <c r="C176" s="53" t="s">
        <v>583</v>
      </c>
      <c r="E176">
        <f>COUNTIF('remet-mad'!Q227,"&lt;=10")</f>
        <v>1</v>
      </c>
      <c r="F176">
        <f>COUNTIFS('remet-mad'!Q227,"&gt;10",'remet-mad'!Q227,"&lt;=25")</f>
        <v>0</v>
      </c>
      <c r="G176">
        <f>COUNTIFS('remet-mad'!Q227,"&gt;25",'remet-mad'!Q227,"&lt;=100")</f>
        <v>0</v>
      </c>
      <c r="H176">
        <f>COUNTIFS('remet-mad'!Q227,"&gt;100")</f>
        <v>0</v>
      </c>
      <c r="I176" s="68">
        <f>COUNTIF('remet-mad'!BH227,"&lt;=0.3")</f>
        <v>0</v>
      </c>
      <c r="J176" s="68">
        <f>COUNTIFS('remet-mad'!BH227,"&gt;0.3",'remet-mad'!BH227,"&lt;=0.7")</f>
        <v>1</v>
      </c>
      <c r="K176" s="68">
        <f>COUNTIFS('remet-mad'!BH227,"&gt;0.7",'remet-mad'!BH227,"&lt;=1.0")</f>
        <v>0</v>
      </c>
      <c r="L176" s="68">
        <f>COUNTIFS('remet-mad'!BH227,"&gt;1.0",'remet-mad'!BH227,"&lt;=3.0")</f>
        <v>0</v>
      </c>
      <c r="M176" s="68">
        <f>COUNTIF('remet-mad'!BH227,"&gt;3.0")</f>
        <v>0</v>
      </c>
      <c r="N176" s="64">
        <f>('remet-mad'!AM227)</f>
        <v>0.22</v>
      </c>
      <c r="O176">
        <f>COUNTIF('remet-mad'!Y227,"=1")</f>
        <v>0</v>
      </c>
      <c r="P176">
        <f>COUNTIF('remet-mad'!Y227,"&gt;1")</f>
        <v>1</v>
      </c>
      <c r="Q176" t="s">
        <v>3589</v>
      </c>
      <c r="R176" t="s">
        <v>3583</v>
      </c>
      <c r="S176">
        <v>0</v>
      </c>
      <c r="T176">
        <v>0</v>
      </c>
    </row>
    <row r="177" spans="1:20" ht="34">
      <c r="A177" t="str">
        <f>('remet-mad'!E228)</f>
        <v>Cyanobacteria</v>
      </c>
      <c r="B177" t="str">
        <f>('remet-mad'!I228)</f>
        <v>Pseudanabaena</v>
      </c>
      <c r="C177" s="53" t="s">
        <v>587</v>
      </c>
      <c r="E177">
        <f>COUNTIF('remet-mad'!Q228,"&lt;=10")</f>
        <v>1</v>
      </c>
      <c r="F177">
        <f>COUNTIFS('remet-mad'!Q228,"&gt;10",'remet-mad'!Q228,"&lt;=25")</f>
        <v>0</v>
      </c>
      <c r="G177">
        <f>COUNTIFS('remet-mad'!Q228,"&gt;25",'remet-mad'!Q228,"&lt;=100")</f>
        <v>0</v>
      </c>
      <c r="H177">
        <f>COUNTIFS('remet-mad'!Q228,"&gt;100")</f>
        <v>0</v>
      </c>
      <c r="I177" s="68">
        <f>COUNTIF('remet-mad'!BH228,"&lt;=0.3")</f>
        <v>0</v>
      </c>
      <c r="J177" s="68">
        <f>COUNTIFS('remet-mad'!BH228,"&gt;0.3",'remet-mad'!BH228,"&lt;=0.7")</f>
        <v>1</v>
      </c>
      <c r="K177" s="68">
        <f>COUNTIFS('remet-mad'!BH228,"&gt;0.7",'remet-mad'!BH228,"&lt;=1.0")</f>
        <v>0</v>
      </c>
      <c r="L177" s="68">
        <f>COUNTIFS('remet-mad'!BH228,"&gt;1.0",'remet-mad'!BH228,"&lt;=3.0")</f>
        <v>0</v>
      </c>
      <c r="M177" s="68">
        <f>COUNTIF('remet-mad'!BH228,"&gt;3.0")</f>
        <v>0</v>
      </c>
      <c r="N177" s="64">
        <f>('remet-mad'!AM228)</f>
        <v>0.22</v>
      </c>
      <c r="O177">
        <f>COUNTIF('remet-mad'!Y228,"=1")</f>
        <v>0</v>
      </c>
      <c r="P177">
        <f>COUNTIF('remet-mad'!Y228,"&gt;1")</f>
        <v>1</v>
      </c>
      <c r="Q177" t="s">
        <v>3589</v>
      </c>
      <c r="R177" t="s">
        <v>3583</v>
      </c>
      <c r="S177">
        <v>0</v>
      </c>
      <c r="T177">
        <v>0</v>
      </c>
    </row>
    <row r="178" spans="1:20" ht="17">
      <c r="A178" t="str">
        <f>('remet-mad'!E229)</f>
        <v>Cyanobacteria</v>
      </c>
      <c r="B178" t="str">
        <f>('remet-mad'!I229)</f>
        <v>Rhabdoderma</v>
      </c>
      <c r="C178" s="53" t="s">
        <v>595</v>
      </c>
      <c r="E178">
        <f>COUNTIF('remet-mad'!Q229,"&lt;=10")</f>
        <v>1</v>
      </c>
      <c r="F178">
        <f>COUNTIFS('remet-mad'!Q229,"&gt;10",'remet-mad'!Q229,"&lt;=25")</f>
        <v>0</v>
      </c>
      <c r="G178">
        <f>COUNTIFS('remet-mad'!Q229,"&gt;25",'remet-mad'!Q229,"&lt;=100")</f>
        <v>0</v>
      </c>
      <c r="H178">
        <f>COUNTIFS('remet-mad'!Q229,"&gt;100")</f>
        <v>0</v>
      </c>
      <c r="I178" s="68">
        <f>COUNTIF('remet-mad'!BH229,"&lt;=0.3")</f>
        <v>1</v>
      </c>
      <c r="J178" s="68">
        <f>COUNTIFS('remet-mad'!BH229,"&gt;0.3",'remet-mad'!BH229,"&lt;=0.7")</f>
        <v>0</v>
      </c>
      <c r="K178" s="68">
        <f>COUNTIFS('remet-mad'!BH229,"&gt;0.7",'remet-mad'!BH229,"&lt;=1.0")</f>
        <v>0</v>
      </c>
      <c r="L178" s="68">
        <f>COUNTIFS('remet-mad'!BH229,"&gt;1.0",'remet-mad'!BH229,"&lt;=3.0")</f>
        <v>0</v>
      </c>
      <c r="M178" s="68">
        <f>COUNTIF('remet-mad'!BH229,"&gt;3.0")</f>
        <v>0</v>
      </c>
      <c r="N178" s="64">
        <f>('remet-mad'!AM229)</f>
        <v>0.22</v>
      </c>
      <c r="O178">
        <f>COUNTIF('remet-mad'!Y229,"=1")</f>
        <v>1</v>
      </c>
      <c r="P178">
        <f>COUNTIF('remet-mad'!Y229,"&gt;1")</f>
        <v>0</v>
      </c>
      <c r="Q178" t="s">
        <v>3589</v>
      </c>
      <c r="R178" t="s">
        <v>3583</v>
      </c>
      <c r="S178">
        <v>0</v>
      </c>
      <c r="T178">
        <v>0</v>
      </c>
    </row>
    <row r="179" spans="1:20" ht="17">
      <c r="C179" s="53" t="s">
        <v>605</v>
      </c>
    </row>
    <row r="180" spans="1:20" ht="17">
      <c r="C180" s="53" t="s">
        <v>53</v>
      </c>
    </row>
    <row r="181" spans="1:20" ht="17">
      <c r="A181" t="str">
        <f>('remet-mad'!E232)</f>
        <v>Chlorophyta</v>
      </c>
      <c r="B181" t="str">
        <f>('remet-mad'!I232)</f>
        <v>Scenedesmus</v>
      </c>
      <c r="C181" s="53" t="s">
        <v>2903</v>
      </c>
      <c r="E181">
        <f>COUNTIF('remet-mad'!Q232:'remet-mad'!Q234,"&lt;=10")/COUNT('remet-mad'!Q232:'remet-mad'!Q234)</f>
        <v>0</v>
      </c>
      <c r="F181">
        <f>COUNTIFS('remet-mad'!Q232:'remet-mad'!Q234,"&gt;10",'remet-mad'!Q232:'remet-mad'!Q234,"&lt;=25")/COUNT('remet-mad'!Q232:'remet-mad'!Q234)</f>
        <v>1</v>
      </c>
      <c r="G181">
        <f>COUNTIFS('remet-mad'!Q232:'remet-mad'!Q234,"&gt;25",'remet-mad'!Q232:'remet-mad'!Q234,"&lt;=100")/COUNT('remet-mad'!Q232:'remet-mad'!Q234)</f>
        <v>0</v>
      </c>
      <c r="H181">
        <f>COUNTIFS('remet-mad'!Q232:'remet-mad'!Q234,"&gt;100")/COUNT('remet-mad'!Q232:'remet-mad'!Q234)</f>
        <v>0</v>
      </c>
      <c r="I181">
        <f>COUNTIF('remet-mad'!BH232:'remet-mad'!BH234,"&lt;=0.3")/COUNT('remet-mad'!BH232:'remet-mad'!BH234)</f>
        <v>1</v>
      </c>
      <c r="J181">
        <f>COUNTIFS('remet-mad'!BH232:'remet-mad'!BH234,"&gt;0.3",'remet-mad'!BH232:'remet-mad'!BH234,"&lt;=0.7")/COUNT('remet-mad'!BH232:'remet-mad'!BH234)</f>
        <v>0</v>
      </c>
      <c r="K181">
        <f>COUNTIFS('remet-mad'!BH232:'remet-mad'!BH234,"&gt;0.7",'remet-mad'!BH232:'remet-mad'!BH234,"&lt;=1.0")/COUNT('remet-mad'!BH232:'remet-mad'!BH234)</f>
        <v>0</v>
      </c>
      <c r="L181">
        <f>COUNTIFS('remet-mad'!BH232:'remet-mad'!BH234,"&gt;1.0",'remet-mad'!BH232:'remet-mad'!BH234,"&lt;=3.0")/COUNT('remet-mad'!BH232:'remet-mad'!BH234)</f>
        <v>0</v>
      </c>
      <c r="M181">
        <f>COUNTIFS('remet-mad'!BH232:'remet-mad'!BH234,"&gt;3")/COUNT('remet-mad'!BH232:'remet-mad'!BH234)</f>
        <v>0</v>
      </c>
      <c r="N181" s="64">
        <f>('remet-mad'!AM232)</f>
        <v>0.16</v>
      </c>
      <c r="O181">
        <f>COUNTIF('remet-mad'!Y232:'remet-mad'!Y234,"=1")/COUNT('remet-mad'!Y232:'remet-mad'!Y234)</f>
        <v>0.33333333333333331</v>
      </c>
      <c r="P181">
        <f>COUNTIF('remet-mad'!Y232:'remet-mad'!Y234,"&gt;1")/COUNT('remet-mad'!Y232:'remet-mad'!Y234)</f>
        <v>0.66666666666666663</v>
      </c>
      <c r="Q181" t="s">
        <v>3589</v>
      </c>
      <c r="R181" t="s">
        <v>3583</v>
      </c>
      <c r="S181">
        <v>0</v>
      </c>
      <c r="T181">
        <v>0</v>
      </c>
    </row>
    <row r="182" spans="1:20" ht="34">
      <c r="A182" t="str">
        <f>('remet-mad'!E233)</f>
        <v>Chlorophyta</v>
      </c>
      <c r="B182" t="str">
        <f>('remet-mad'!I233)</f>
        <v>Scenedesmus</v>
      </c>
      <c r="C182" s="53" t="s">
        <v>2921</v>
      </c>
      <c r="E182">
        <f>COUNTIF('remet-mad'!Q235:'remet-mad'!Q237,"&lt;=10")/COUNT('remet-mad'!Q235:'remet-mad'!Q237)</f>
        <v>0.66666666666666663</v>
      </c>
      <c r="F182">
        <f>COUNTIFS('remet-mad'!Q235:'remet-mad'!Q237,"&gt;10",'remet-mad'!Q235:'remet-mad'!Q237,"&lt;=25")/COUNT('remet-mad'!Q235:'remet-mad'!Q237)</f>
        <v>0.33333333333333331</v>
      </c>
      <c r="G182">
        <f>COUNTIFS('remet-mad'!Q235:'remet-mad'!Q237,"&gt;25",'remet-mad'!Q235:'remet-mad'!Q237,"&lt;=100")/COUNT('remet-mad'!Q235:'remet-mad'!Q237)</f>
        <v>0</v>
      </c>
      <c r="H182">
        <f>COUNTIFS('remet-mad'!Q235:'remet-mad'!Q237,"&gt;100")/COUNT('remet-mad'!Q235:'remet-mad'!Q237)</f>
        <v>0</v>
      </c>
      <c r="I182">
        <f>COUNTIF('remet-mad'!BH235:'remet-mad'!BH237,"&lt;=0.3")/COUNT('remet-mad'!BH235:'remet-mad'!BH237)</f>
        <v>1</v>
      </c>
      <c r="J182">
        <f>COUNTIFS('remet-mad'!BH235:'remet-mad'!BH237,"&gt;0.3",'remet-mad'!BH235:'remet-mad'!BH237,"&lt;=0.7")/COUNT('remet-mad'!BH235:'remet-mad'!BH237)</f>
        <v>0</v>
      </c>
      <c r="K182">
        <f>COUNTIFS('remet-mad'!BH235:'remet-mad'!BH237,"&gt;0.7",'remet-mad'!BH235:'remet-mad'!BH237,"&lt;=1.0")/COUNT('remet-mad'!BH235:'remet-mad'!BH237)</f>
        <v>0</v>
      </c>
      <c r="L182">
        <f>COUNTIFS('remet-mad'!BH235:'remet-mad'!BH237,"&gt;1.0",'remet-mad'!BH235:'remet-mad'!BH237,"&lt;=3.0")/COUNT('remet-mad'!BH235:'remet-mad'!BH237)</f>
        <v>0</v>
      </c>
      <c r="M182">
        <f>COUNTIFS('remet-mad'!BH235:'remet-mad'!BH237,"&gt;3")/COUNT('remet-mad'!BH235:'remet-mad'!BH237)</f>
        <v>0</v>
      </c>
      <c r="N182" s="64">
        <f>('remet-mad'!AM235)</f>
        <v>0.16</v>
      </c>
      <c r="O182">
        <f>COUNTIF('remet-mad'!Y235:'remet-mad'!Y237,"=1")/COUNT('remet-mad'!Y235:'remet-mad'!Y237)</f>
        <v>0</v>
      </c>
      <c r="P182">
        <f>COUNTIF('remet-mad'!Y235:'remet-mad'!Y237,"&gt;1")/COUNT('remet-mad'!Y235:'remet-mad'!Y237)</f>
        <v>1</v>
      </c>
      <c r="Q182" t="s">
        <v>3589</v>
      </c>
      <c r="R182" t="s">
        <v>3583</v>
      </c>
      <c r="S182">
        <v>0</v>
      </c>
      <c r="T182">
        <v>0</v>
      </c>
    </row>
    <row r="183" spans="1:20" ht="34">
      <c r="A183" t="str">
        <f>('remet-mad'!E234)</f>
        <v>Chlorophyta</v>
      </c>
      <c r="B183" t="str">
        <f>('remet-mad'!I234)</f>
        <v>Scenedesmus</v>
      </c>
      <c r="C183" s="53" t="s">
        <v>2958</v>
      </c>
      <c r="E183">
        <f>COUNTIF('remet-mad'!Q238,"&lt;=10")</f>
        <v>0</v>
      </c>
      <c r="F183">
        <f>COUNTIFS('remet-mad'!Q238,"&gt;10",'remet-mad'!Q238,"&lt;=25")</f>
        <v>1</v>
      </c>
      <c r="G183">
        <f>COUNTIFS('remet-mad'!Q238,"&gt;25",'remet-mad'!Q238,"&lt;=100")</f>
        <v>0</v>
      </c>
      <c r="H183">
        <f>COUNTIFS('remet-mad'!Q238,"&gt;100")</f>
        <v>0</v>
      </c>
      <c r="I183" s="68">
        <f>COUNTIF('remet-mad'!BH238,"&lt;=0.3")</f>
        <v>1</v>
      </c>
      <c r="J183" s="68">
        <f>COUNTIFS('remet-mad'!BH238,"&gt;0.3",'remet-mad'!BH238,"&lt;=0.7")</f>
        <v>0</v>
      </c>
      <c r="K183" s="68">
        <f>COUNTIFS('remet-mad'!BH238,"&gt;0.7",'remet-mad'!BH238,"&lt;=1.0")</f>
        <v>0</v>
      </c>
      <c r="L183" s="68">
        <f>COUNTIFS('remet-mad'!BH238,"&gt;1.0",'remet-mad'!BH238,"&lt;=3.0")</f>
        <v>0</v>
      </c>
      <c r="M183" s="68">
        <f>COUNTIF('remet-mad'!BH238,"&gt;3.0")</f>
        <v>0</v>
      </c>
      <c r="N183" s="64">
        <f>('remet-mad'!AM238)</f>
        <v>0.16</v>
      </c>
      <c r="O183">
        <f>COUNTIF('remet-mad'!Y238,"=1")</f>
        <v>0</v>
      </c>
      <c r="P183">
        <f>COUNTIF('remet-mad'!Y238,"&gt;1")</f>
        <v>1</v>
      </c>
      <c r="Q183" t="s">
        <v>3589</v>
      </c>
      <c r="R183" t="s">
        <v>3583</v>
      </c>
      <c r="S183">
        <v>0</v>
      </c>
      <c r="T183">
        <v>0</v>
      </c>
    </row>
    <row r="184" spans="1:20" ht="34">
      <c r="A184" t="str">
        <f>('remet-mad'!E235)</f>
        <v>Chlorophyta</v>
      </c>
      <c r="B184" t="str">
        <f>('remet-mad'!I235)</f>
        <v>Scenedesmus</v>
      </c>
      <c r="C184" s="53" t="s">
        <v>3783</v>
      </c>
      <c r="E184">
        <f>COUNTIF('remet-mad'!Q239:'remet-mad'!Q242,"&lt;=10")/COUNT('remet-mad'!Q239:'remet-mad'!Q242)</f>
        <v>0.5</v>
      </c>
      <c r="F184">
        <f>COUNTIFS('remet-mad'!Q239:'remet-mad'!Q242,"&gt;10",'remet-mad'!Q239:'remet-mad'!Q242,"&lt;=25")/COUNT('remet-mad'!Q239:'remet-mad'!Q242)</f>
        <v>0.5</v>
      </c>
      <c r="G184">
        <f>COUNTIFS('remet-mad'!Q239:'remet-mad'!Q242,"&gt;25",'remet-mad'!Q239:'remet-mad'!Q242,"&lt;=100")/COUNT('remet-mad'!Q239:'remet-mad'!Q242)</f>
        <v>0</v>
      </c>
      <c r="H184">
        <f>COUNTIFS('remet-mad'!Q239:'remet-mad'!Q242,"&gt;100")/COUNT('remet-mad'!Q239:'remet-mad'!Q242)</f>
        <v>0</v>
      </c>
      <c r="I184">
        <f>COUNTIF('remet-mad'!BH239:'remet-mad'!BH242,"&lt;=0.3")/COUNT('remet-mad'!BH239:'remet-mad'!BH242)</f>
        <v>1</v>
      </c>
      <c r="J184">
        <f>COUNTIFS('remet-mad'!BH239:'remet-mad'!BH242,"&gt;0.3",'remet-mad'!BH239:'remet-mad'!BH242,"&lt;=0.7")/COUNT('remet-mad'!BH239:'remet-mad'!BH242)</f>
        <v>0</v>
      </c>
      <c r="K184">
        <f>COUNTIFS('remet-mad'!BH239:'remet-mad'!BH242,"&gt;0.7",'remet-mad'!BH239:'remet-mad'!BH242,"&lt;=1.0")/COUNT('remet-mad'!BH239:'remet-mad'!BH242)</f>
        <v>0</v>
      </c>
      <c r="L184">
        <f>COUNTIFS('remet-mad'!BH239:'remet-mad'!BH242,"&gt;1.0",'remet-mad'!BH239:'remet-mad'!BH242,"&lt;=3.0")/COUNT('remet-mad'!BH239:'remet-mad'!BH242)</f>
        <v>0</v>
      </c>
      <c r="M184">
        <f>COUNTIFS('remet-mad'!BH239:'remet-mad'!BH242,"&gt;3")/COUNT('remet-mad'!BH239:'remet-mad'!BH242)</f>
        <v>0</v>
      </c>
      <c r="N184" s="64">
        <f>('remet-mad'!AM239)</f>
        <v>0.16</v>
      </c>
      <c r="O184">
        <f>COUNTIF('remet-mad'!Y239:'remet-mad'!Y242,"=1")/COUNT('remet-mad'!Y239:'remet-mad'!Y242)</f>
        <v>0</v>
      </c>
      <c r="P184">
        <f>COUNTIF('remet-mad'!Y239:'remet-mad'!Y242,"&gt;1")/COUNT('remet-mad'!Y239:'remet-mad'!Y242)</f>
        <v>1</v>
      </c>
      <c r="Q184" t="s">
        <v>3589</v>
      </c>
      <c r="R184" t="s">
        <v>3583</v>
      </c>
      <c r="S184">
        <v>0</v>
      </c>
      <c r="T184">
        <v>0</v>
      </c>
    </row>
    <row r="185" spans="1:20" ht="34">
      <c r="A185" t="str">
        <f>('remet-mad'!E236)</f>
        <v>Chlorophyta</v>
      </c>
      <c r="B185" t="str">
        <f>('remet-mad'!I236)</f>
        <v>Scenedesmus</v>
      </c>
      <c r="C185" s="53" t="s">
        <v>2937</v>
      </c>
      <c r="E185">
        <f>COUNTIF('remet-mad'!Q243,"&lt;=10")</f>
        <v>0</v>
      </c>
      <c r="F185">
        <f>COUNTIFS('remet-mad'!Q243,"&gt;10",'remet-mad'!Q243,"&lt;=25")</f>
        <v>1</v>
      </c>
      <c r="G185">
        <f>COUNTIFS('remet-mad'!Q243,"&gt;25",'remet-mad'!Q243,"&lt;=100")</f>
        <v>0</v>
      </c>
      <c r="H185">
        <f>COUNTIFS('remet-mad'!Q243,"&gt;100")</f>
        <v>0</v>
      </c>
      <c r="I185" s="68">
        <f>COUNTIF('remet-mad'!BH243,"&lt;=0.3")</f>
        <v>0</v>
      </c>
      <c r="J185" s="68">
        <f>COUNTIFS('remet-mad'!BH243,"&gt;0.3",'remet-mad'!BH243,"&lt;=0.7")</f>
        <v>1</v>
      </c>
      <c r="K185" s="68">
        <f>COUNTIFS('remet-mad'!BH243,"&gt;0.7",'remet-mad'!BH243,"&lt;=1.0")</f>
        <v>0</v>
      </c>
      <c r="L185" s="68">
        <f>COUNTIFS('remet-mad'!BH243,"&gt;1.0",'remet-mad'!BH243,"&lt;=3.0")</f>
        <v>0</v>
      </c>
      <c r="M185" s="68">
        <f>COUNTIF('remet-mad'!BH243,"&gt;3.0")</f>
        <v>0</v>
      </c>
      <c r="N185" s="64">
        <f>('remet-mad'!AM243)</f>
        <v>0.16</v>
      </c>
      <c r="O185">
        <f>COUNTIF('remet-mad'!Y243,"=1")</f>
        <v>0</v>
      </c>
      <c r="P185">
        <f>COUNTIF('remet-mad'!Y243,"&gt;1")</f>
        <v>1</v>
      </c>
      <c r="Q185" t="s">
        <v>3589</v>
      </c>
      <c r="R185" t="s">
        <v>3583</v>
      </c>
      <c r="S185">
        <v>0</v>
      </c>
      <c r="T185">
        <v>0</v>
      </c>
    </row>
    <row r="186" spans="1:20" ht="51">
      <c r="A186" t="str">
        <f>('remet-mad'!E237)</f>
        <v>Chlorophyta</v>
      </c>
      <c r="B186" t="str">
        <f>('remet-mad'!I237)</f>
        <v>Scenedesmus</v>
      </c>
      <c r="C186" s="53" t="s">
        <v>3004</v>
      </c>
      <c r="E186">
        <f>COUNTIF('remet-mad'!Q244,"&lt;=10")</f>
        <v>0</v>
      </c>
      <c r="F186">
        <f>COUNTIFS('remet-mad'!Q244,"&gt;10",'remet-mad'!Q244,"&lt;=25")</f>
        <v>1</v>
      </c>
      <c r="G186">
        <f>COUNTIFS('remet-mad'!Q244,"&gt;25",'remet-mad'!Q244,"&lt;=100")</f>
        <v>0</v>
      </c>
      <c r="H186">
        <f>COUNTIFS('remet-mad'!Q244,"&gt;100")</f>
        <v>0</v>
      </c>
      <c r="I186" s="68">
        <f>COUNTIF('remet-mad'!BH244,"&lt;=0.3")</f>
        <v>1</v>
      </c>
      <c r="J186" s="68">
        <f>COUNTIFS('remet-mad'!BH244,"&gt;0.3",'remet-mad'!BH244,"&lt;=0.7")</f>
        <v>0</v>
      </c>
      <c r="K186" s="68">
        <f>COUNTIFS('remet-mad'!BH244,"&gt;0.7",'remet-mad'!BH244,"&lt;=1.0")</f>
        <v>0</v>
      </c>
      <c r="L186" s="68">
        <f>COUNTIFS('remet-mad'!BH244,"&gt;1.0",'remet-mad'!BH244,"&lt;=3.0")</f>
        <v>0</v>
      </c>
      <c r="M186" s="68">
        <f>COUNTIF('remet-mad'!BH244,"&gt;3.0")</f>
        <v>0</v>
      </c>
      <c r="N186" s="64">
        <f>('remet-mad'!AM244)</f>
        <v>0.16</v>
      </c>
      <c r="O186">
        <f>COUNTIF('remet-mad'!Y244,"=1")</f>
        <v>0</v>
      </c>
      <c r="P186">
        <f>COUNTIF('remet-mad'!Y244,"&gt;1")</f>
        <v>1</v>
      </c>
      <c r="Q186" t="s">
        <v>3589</v>
      </c>
      <c r="R186" t="s">
        <v>3583</v>
      </c>
      <c r="S186">
        <v>0</v>
      </c>
      <c r="T186">
        <v>0</v>
      </c>
    </row>
    <row r="187" spans="1:20" ht="34">
      <c r="C187" s="53" t="s">
        <v>3784</v>
      </c>
    </row>
    <row r="188" spans="1:20" ht="17">
      <c r="A188" t="str">
        <f>('remet-mad'!E246)</f>
        <v>Chlorophyta</v>
      </c>
      <c r="B188" t="str">
        <f>('remet-mad'!I246)</f>
        <v>Schroederia</v>
      </c>
      <c r="C188" s="53" t="s">
        <v>3031</v>
      </c>
      <c r="E188">
        <f>COUNTIF('remet-mad'!Q246,"&lt;=10")</f>
        <v>0</v>
      </c>
      <c r="F188">
        <f>COUNTIFS('remet-mad'!Q246,"&gt;10",'remet-mad'!Q246,"&lt;=25")</f>
        <v>0</v>
      </c>
      <c r="G188">
        <f>COUNTIFS('remet-mad'!Q246,"&gt;25",'remet-mad'!Q246,"&lt;=100")</f>
        <v>1</v>
      </c>
      <c r="H188">
        <f>COUNTIFS('remet-mad'!Q246,"&gt;100")</f>
        <v>0</v>
      </c>
      <c r="I188" s="68">
        <f>COUNTIF('remet-mad'!BH246,"&lt;=0.3")</f>
        <v>1</v>
      </c>
      <c r="J188" s="68">
        <f>COUNTIFS('remet-mad'!BH246,"&gt;0.3",'remet-mad'!BH246,"&lt;=0.7")</f>
        <v>0</v>
      </c>
      <c r="K188" s="68">
        <f>COUNTIFS('remet-mad'!BH246,"&gt;0.7",'remet-mad'!BH246,"&lt;=1.0")</f>
        <v>0</v>
      </c>
      <c r="L188" s="68">
        <f>COUNTIFS('remet-mad'!BH246,"&gt;1.0",'remet-mad'!BH246,"&lt;=3.0")</f>
        <v>0</v>
      </c>
      <c r="M188" s="68">
        <f>COUNTIF('remet-mad'!BH246,"&gt;3.0")</f>
        <v>0</v>
      </c>
      <c r="N188" s="64">
        <f>('remet-mad'!AM246)</f>
        <v>0.16</v>
      </c>
      <c r="O188">
        <f>COUNTIF('remet-mad'!Y246,"=1")</f>
        <v>1</v>
      </c>
      <c r="P188">
        <f>COUNTIF('remet-mad'!Y246,"&gt;1")</f>
        <v>0</v>
      </c>
      <c r="Q188" t="s">
        <v>3589</v>
      </c>
      <c r="R188" t="s">
        <v>3583</v>
      </c>
      <c r="S188">
        <v>0</v>
      </c>
      <c r="T188">
        <v>0</v>
      </c>
    </row>
    <row r="189" spans="1:20" ht="23">
      <c r="A189" t="str">
        <f>('remet-mad'!E247)</f>
        <v>Chlorophyta</v>
      </c>
      <c r="B189" t="str">
        <f>('remet-mad'!I247)</f>
        <v>Monoraphidium</v>
      </c>
      <c r="C189" s="53" t="s">
        <v>3785</v>
      </c>
      <c r="D189" s="81" t="s">
        <v>2717</v>
      </c>
      <c r="E189">
        <f>COUNTIF('remet-mad'!Q247,"&lt;=10")</f>
        <v>0</v>
      </c>
      <c r="F189">
        <f>COUNTIFS('remet-mad'!Q247,"&gt;10",'remet-mad'!Q247,"&lt;=25")</f>
        <v>1</v>
      </c>
      <c r="G189">
        <f>COUNTIFS('remet-mad'!Q247,"&gt;25",'remet-mad'!Q247,"&lt;=100")</f>
        <v>0</v>
      </c>
      <c r="H189">
        <f>COUNTIFS('remet-mad'!Q247,"&gt;100")</f>
        <v>0</v>
      </c>
      <c r="I189" s="68">
        <f>COUNTIF('remet-mad'!BH247,"&lt;=0.3")</f>
        <v>1</v>
      </c>
      <c r="J189" s="68">
        <f>COUNTIFS('remet-mad'!BH247,"&gt;0.3",'remet-mad'!BH247,"&lt;=0.7")</f>
        <v>0</v>
      </c>
      <c r="K189" s="68">
        <f>COUNTIFS('remet-mad'!BH247,"&gt;0.7",'remet-mad'!BH247,"&lt;=1.0")</f>
        <v>0</v>
      </c>
      <c r="L189" s="68">
        <f>COUNTIFS('remet-mad'!BH247,"&gt;1.0",'remet-mad'!BH247,"&lt;=3.0")</f>
        <v>0</v>
      </c>
      <c r="M189" s="68">
        <f>COUNTIF('remet-mad'!BH247,"&gt;3.0")</f>
        <v>0</v>
      </c>
      <c r="N189" s="64">
        <f>('remet-mad'!AM247)</f>
        <v>0.16</v>
      </c>
      <c r="O189">
        <f>COUNTIF('remet-mad'!Y247,"=1")</f>
        <v>1</v>
      </c>
      <c r="P189">
        <f>COUNTIF('remet-mad'!Y247,"&gt;1")</f>
        <v>0</v>
      </c>
      <c r="Q189" t="s">
        <v>3589</v>
      </c>
      <c r="R189" t="s">
        <v>3583</v>
      </c>
      <c r="S189">
        <v>0</v>
      </c>
      <c r="T189">
        <v>0</v>
      </c>
    </row>
    <row r="190" spans="1:20" ht="17">
      <c r="C190" s="53" t="s">
        <v>3786</v>
      </c>
    </row>
    <row r="191" spans="1:20" ht="34">
      <c r="A191" t="str">
        <f>('remet-mad'!E249)</f>
        <v>Cyanobacteria</v>
      </c>
      <c r="B191" t="str">
        <f>('remet-mad'!I249)</f>
        <v>Anabaena</v>
      </c>
      <c r="C191" s="53" t="s">
        <v>3720</v>
      </c>
      <c r="E191">
        <f>COUNTIF('remet-mad'!Q249,"&lt;=10")</f>
        <v>1</v>
      </c>
      <c r="F191">
        <f>COUNTIFS('remet-mad'!Q249,"&gt;10",'remet-mad'!Q249,"&lt;=25")</f>
        <v>0</v>
      </c>
      <c r="G191">
        <f>COUNTIFS('remet-mad'!Q249,"&gt;25",'remet-mad'!Q249,"&lt;=100")</f>
        <v>0</v>
      </c>
      <c r="H191">
        <f>COUNTIFS('remet-mad'!Q249,"&gt;100")</f>
        <v>0</v>
      </c>
      <c r="I191" s="68">
        <f>COUNTIF('remet-mad'!BH249,"&lt;=0.3")</f>
        <v>1</v>
      </c>
      <c r="J191" s="68">
        <f>COUNTIFS('remet-mad'!BH249,"&gt;0.3",'remet-mad'!BH249,"&lt;=0.7")</f>
        <v>0</v>
      </c>
      <c r="K191" s="68">
        <f>COUNTIFS('remet-mad'!BH249,"&gt;0.7",'remet-mad'!BH249,"&lt;=1.0")</f>
        <v>0</v>
      </c>
      <c r="L191" s="68">
        <f>COUNTIFS('remet-mad'!BH249,"&gt;1.0",'remet-mad'!BH249,"&lt;=3.0")</f>
        <v>0</v>
      </c>
      <c r="M191" s="68">
        <f>COUNTIF('remet-mad'!BH249,"&gt;3.0")</f>
        <v>0</v>
      </c>
      <c r="N191" s="64">
        <f>('remet-mad'!AM249)</f>
        <v>0.22</v>
      </c>
      <c r="O191">
        <f>COUNTIF('remet-mad'!Y249,"=1")</f>
        <v>0</v>
      </c>
      <c r="P191">
        <f>COUNTIF('remet-mad'!Y249,"&gt;1")</f>
        <v>1</v>
      </c>
      <c r="Q191" t="s">
        <v>3589</v>
      </c>
      <c r="R191" t="s">
        <v>3583</v>
      </c>
      <c r="S191">
        <v>0</v>
      </c>
      <c r="T191">
        <v>0</v>
      </c>
    </row>
    <row r="192" spans="1:20" ht="17">
      <c r="C192" s="53" t="s">
        <v>3418</v>
      </c>
      <c r="Q192" t="s">
        <v>3589</v>
      </c>
      <c r="R192" t="s">
        <v>3583</v>
      </c>
    </row>
    <row r="193" spans="1:20" ht="17">
      <c r="A193" t="str">
        <f>('remet-mad'!E251)</f>
        <v>Bacillariophyta</v>
      </c>
      <c r="B193" t="str">
        <f>('remet-mad'!I251)</f>
        <v>Stephanodiscus</v>
      </c>
      <c r="C193" s="53" t="s">
        <v>2164</v>
      </c>
      <c r="E193">
        <f>COUNTIF('remet-mad'!Q251,"&lt;=10")</f>
        <v>0</v>
      </c>
      <c r="F193">
        <f>COUNTIFS('remet-mad'!Q251,"&gt;10",'remet-mad'!Q251,"&lt;=25")</f>
        <v>1</v>
      </c>
      <c r="G193">
        <f>COUNTIFS('remet-mad'!Q251,"&gt;25",'remet-mad'!Q251,"&lt;=100")</f>
        <v>0</v>
      </c>
      <c r="H193">
        <f>COUNTIFS('remet-mad'!Q251,"&gt;100")</f>
        <v>0</v>
      </c>
      <c r="I193" s="68">
        <f>COUNTIF('remet-mad'!BH251,"&lt;=0.3")</f>
        <v>0</v>
      </c>
      <c r="J193" s="68">
        <f>COUNTIFS('remet-mad'!BH251,"&gt;0.3",'remet-mad'!BH251,"&lt;=0.7")</f>
        <v>0</v>
      </c>
      <c r="K193" s="68">
        <f>COUNTIFS('remet-mad'!BH251,"&gt;0.7",'remet-mad'!BH251,"&lt;=1.0")</f>
        <v>0</v>
      </c>
      <c r="L193" s="68">
        <f>COUNTIFS('remet-mad'!BH251,"&gt;1.0",'remet-mad'!BH251,"&lt;=3.0")</f>
        <v>1</v>
      </c>
      <c r="M193" s="68">
        <f>COUNTIF('remet-mad'!BH251,"&gt;3.0")</f>
        <v>0</v>
      </c>
      <c r="N193" s="64">
        <f>('remet-mad'!AM251)</f>
        <v>0.11</v>
      </c>
      <c r="O193">
        <f>COUNTIF('remet-mad'!Y251,"=1")</f>
        <v>1</v>
      </c>
      <c r="P193">
        <f>COUNTIF('remet-mad'!Y251,"&gt;1")</f>
        <v>0</v>
      </c>
      <c r="Q193" t="s">
        <v>3589</v>
      </c>
      <c r="R193" t="s">
        <v>3583</v>
      </c>
      <c r="S193">
        <v>0</v>
      </c>
      <c r="T193">
        <v>1</v>
      </c>
    </row>
    <row r="194" spans="1:20" ht="34">
      <c r="C194" s="53" t="s">
        <v>3787</v>
      </c>
    </row>
    <row r="195" spans="1:20" ht="17">
      <c r="A195" t="str">
        <f>('remet-mad'!E253)</f>
        <v>Chlorophyta</v>
      </c>
      <c r="B195" t="str">
        <f>('remet-mad'!I253)</f>
        <v>Stichococcus</v>
      </c>
      <c r="C195" s="53" t="s">
        <v>3062</v>
      </c>
      <c r="E195">
        <f>COUNTIF('remet-mad'!Q253,"&lt;=10")</f>
        <v>0</v>
      </c>
      <c r="F195">
        <f>COUNTIFS('remet-mad'!Q253,"&gt;10",'remet-mad'!Q253,"&lt;=25")</f>
        <v>1</v>
      </c>
      <c r="G195">
        <f>COUNTIFS('remet-mad'!Q253,"&gt;25",'remet-mad'!Q253,"&lt;=100")</f>
        <v>0</v>
      </c>
      <c r="H195">
        <f>COUNTIFS('remet-mad'!Q253,"&gt;100")</f>
        <v>0</v>
      </c>
      <c r="I195" s="68">
        <f>COUNTIF('remet-mad'!BH253,"&lt;=0.3")</f>
        <v>0</v>
      </c>
      <c r="J195" s="68">
        <f>COUNTIFS('remet-mad'!BH253,"&gt;0.3",'remet-mad'!BH253,"&lt;=0.7")</f>
        <v>1</v>
      </c>
      <c r="K195" s="68">
        <f>COUNTIFS('remet-mad'!BH253,"&gt;0.7",'remet-mad'!BH253,"&lt;=1.0")</f>
        <v>0</v>
      </c>
      <c r="L195" s="68">
        <f>COUNTIFS('remet-mad'!BH253,"&gt;1.0",'remet-mad'!BH253,"&lt;=3.0")</f>
        <v>0</v>
      </c>
      <c r="M195" s="68">
        <f>COUNTIF('remet-mad'!BH253,"&gt;3.0")</f>
        <v>0</v>
      </c>
      <c r="N195" s="64">
        <f>('remet-mad'!AM253)</f>
        <v>0.16</v>
      </c>
      <c r="O195">
        <f>COUNTIF('remet-mad'!Y253,"=1")</f>
        <v>1</v>
      </c>
      <c r="P195">
        <f>COUNTIF('remet-mad'!Y253,"&gt;1")</f>
        <v>0</v>
      </c>
      <c r="Q195" t="s">
        <v>3589</v>
      </c>
      <c r="R195" t="s">
        <v>3583</v>
      </c>
      <c r="S195" s="62">
        <v>0</v>
      </c>
      <c r="T195" s="62">
        <v>0</v>
      </c>
    </row>
    <row r="196" spans="1:20" ht="34">
      <c r="A196" t="str">
        <f>('remet-mad'!E254)</f>
        <v>Cyanobacteria</v>
      </c>
      <c r="B196" t="str">
        <f>('remet-mad'!I254)</f>
        <v>Synechococcus</v>
      </c>
      <c r="C196" s="53" t="s">
        <v>627</v>
      </c>
      <c r="E196">
        <f>COUNTIF('remet-mad'!Q254,"&lt;=10")</f>
        <v>1</v>
      </c>
      <c r="F196">
        <f>COUNTIFS('remet-mad'!Q254,"&gt;10",'remet-mad'!Q254,"&lt;=25")</f>
        <v>0</v>
      </c>
      <c r="G196">
        <f>COUNTIFS('remet-mad'!Q254,"&gt;25",'remet-mad'!Q254,"&lt;=100")</f>
        <v>0</v>
      </c>
      <c r="H196">
        <f>COUNTIFS('remet-mad'!Q254,"&gt;100")</f>
        <v>0</v>
      </c>
      <c r="I196" s="68">
        <f>COUNTIF('remet-mad'!BH254,"&lt;=0.3")</f>
        <v>0</v>
      </c>
      <c r="J196" s="68">
        <f>COUNTIFS('remet-mad'!BH254,"&gt;0.3",'remet-mad'!BH254,"&lt;=0.7")</f>
        <v>1</v>
      </c>
      <c r="K196" s="68">
        <f>COUNTIFS('remet-mad'!BH254,"&gt;0.7",'remet-mad'!BH254,"&lt;=1.0")</f>
        <v>0</v>
      </c>
      <c r="L196" s="68">
        <f>COUNTIFS('remet-mad'!BH254,"&gt;1.0",'remet-mad'!BH254,"&lt;=3.0")</f>
        <v>0</v>
      </c>
      <c r="M196" s="68">
        <f>COUNTIF('remet-mad'!BH254,"&gt;3.0")</f>
        <v>0</v>
      </c>
      <c r="N196" s="64">
        <f>('remet-mad'!AM254)</f>
        <v>0.22</v>
      </c>
      <c r="O196">
        <f>COUNTIF('remet-mad'!Y254,"=1")</f>
        <v>1</v>
      </c>
      <c r="P196">
        <f>COUNTIF('remet-mad'!Y254,"&gt;1")</f>
        <v>0</v>
      </c>
      <c r="Q196" t="s">
        <v>3589</v>
      </c>
      <c r="R196" t="s">
        <v>3583</v>
      </c>
      <c r="S196" s="62">
        <v>0</v>
      </c>
      <c r="T196" s="62">
        <v>0</v>
      </c>
    </row>
    <row r="197" spans="1:20" ht="34">
      <c r="C197" s="53" t="s">
        <v>3788</v>
      </c>
    </row>
    <row r="198" spans="1:20" ht="17">
      <c r="C198" s="53" t="s">
        <v>3789</v>
      </c>
    </row>
    <row r="199" spans="1:20" ht="17">
      <c r="C199" s="53" t="s">
        <v>3790</v>
      </c>
    </row>
    <row r="200" spans="1:20" ht="17">
      <c r="A200" t="str">
        <f>('remet-mad'!E258)</f>
        <v>Bacillariophyta</v>
      </c>
      <c r="B200" t="str">
        <f>('remet-mad'!I258)</f>
        <v>Fragilaria</v>
      </c>
      <c r="C200" s="53" t="s">
        <v>3791</v>
      </c>
      <c r="D200" s="81" t="s">
        <v>1841</v>
      </c>
      <c r="E200">
        <f>COUNTIF('remet-mad'!Q258,"&lt;=10")</f>
        <v>0</v>
      </c>
      <c r="F200">
        <f>COUNTIFS('remet-mad'!Q258,"&gt;10",'remet-mad'!Q258,"&lt;=25")</f>
        <v>0</v>
      </c>
      <c r="G200">
        <f>COUNTIFS('remet-mad'!Q258,"&gt;25",'remet-mad'!Q258,"&lt;=100")</f>
        <v>1</v>
      </c>
      <c r="H200">
        <f>COUNTIFS('remet-mad'!Q258,"&gt;100")</f>
        <v>0</v>
      </c>
      <c r="I200" s="68">
        <f>COUNTIF('remet-mad'!BH258,"&lt;=0.3")</f>
        <v>0</v>
      </c>
      <c r="J200" s="68">
        <f>COUNTIFS('remet-mad'!BH258,"&gt;0.3",'remet-mad'!BH258,"&lt;=0.7")</f>
        <v>1</v>
      </c>
      <c r="K200" s="68">
        <f>COUNTIFS('remet-mad'!BH258,"&gt;0.7",'remet-mad'!BH258,"&lt;=1.0")</f>
        <v>0</v>
      </c>
      <c r="L200" s="68">
        <f>COUNTIFS('remet-mad'!BH258,"&gt;1.0",'remet-mad'!BH258,"&lt;=3.0")</f>
        <v>0</v>
      </c>
      <c r="M200" s="68">
        <f>COUNTIF('remet-mad'!BH258,"&gt;3.0")</f>
        <v>0</v>
      </c>
      <c r="N200" s="64">
        <f>('remet-mad'!AM258)</f>
        <v>0.11</v>
      </c>
      <c r="O200">
        <f>COUNTIF('remet-mad'!Y258,"=1")</f>
        <v>1</v>
      </c>
      <c r="P200">
        <f>COUNTIF('remet-mad'!Y258,"&gt;1")</f>
        <v>0</v>
      </c>
      <c r="Q200" t="s">
        <v>3589</v>
      </c>
      <c r="R200" t="s">
        <v>3584</v>
      </c>
      <c r="S200">
        <v>0</v>
      </c>
      <c r="T200">
        <v>1</v>
      </c>
    </row>
    <row r="201" spans="1:20" ht="17">
      <c r="A201" t="str">
        <f>('remet-mad'!E259)</f>
        <v>Bacillariophyta</v>
      </c>
      <c r="B201" t="str">
        <f>('remet-mad'!I259)</f>
        <v>Ulnaria</v>
      </c>
      <c r="C201" s="53" t="s">
        <v>3792</v>
      </c>
      <c r="D201" s="80" t="s">
        <v>2215</v>
      </c>
      <c r="E201">
        <f>COUNTIF('remet-mad'!Q259,"&lt;=10")</f>
        <v>0</v>
      </c>
      <c r="F201">
        <f>COUNTIFS('remet-mad'!Q259,"&gt;10",'remet-mad'!Q259,"&lt;=25")</f>
        <v>0</v>
      </c>
      <c r="G201">
        <f>COUNTIFS('remet-mad'!Q259,"&gt;25",'remet-mad'!Q259,"&lt;=100")</f>
        <v>0</v>
      </c>
      <c r="H201">
        <f>COUNTIFS('remet-mad'!Q259,"&gt;100")</f>
        <v>1</v>
      </c>
      <c r="I201" s="68">
        <f>COUNTIF('remet-mad'!BH259,"&lt;=0.3")</f>
        <v>0</v>
      </c>
      <c r="J201" s="68">
        <f>COUNTIFS('remet-mad'!BH259,"&gt;0.3",'remet-mad'!BH259,"&lt;=0.7")</f>
        <v>0</v>
      </c>
      <c r="K201" s="68">
        <f>COUNTIFS('remet-mad'!BH259,"&gt;0.7",'remet-mad'!BH259,"&lt;=1.0")</f>
        <v>1</v>
      </c>
      <c r="L201" s="68">
        <f>COUNTIFS('remet-mad'!BH259,"&gt;1.0",'remet-mad'!BH259,"&lt;=3.0")</f>
        <v>0</v>
      </c>
      <c r="M201" s="68">
        <f>COUNTIF('remet-mad'!BH259,"&gt;3.0")</f>
        <v>0</v>
      </c>
      <c r="N201" s="64">
        <f>('remet-mad'!AM259)</f>
        <v>0.11</v>
      </c>
      <c r="O201">
        <f>COUNTIF('remet-mad'!Y259,"=1")</f>
        <v>1</v>
      </c>
      <c r="P201">
        <f>COUNTIF('remet-mad'!Y259,"&gt;1")</f>
        <v>0</v>
      </c>
      <c r="Q201" t="s">
        <v>3589</v>
      </c>
      <c r="R201" t="s">
        <v>3584</v>
      </c>
      <c r="S201">
        <v>0</v>
      </c>
      <c r="T201">
        <v>1</v>
      </c>
    </row>
    <row r="202" spans="1:20" ht="17">
      <c r="C202" s="53" t="s">
        <v>1336</v>
      </c>
    </row>
    <row r="203" spans="1:20" ht="17">
      <c r="A203" t="str">
        <f>('remet-mad'!E261)</f>
        <v>Chlorophyta</v>
      </c>
      <c r="B203" t="str">
        <f>('remet-mad'!I261)</f>
        <v>Tetraedron</v>
      </c>
      <c r="C203" s="53" t="s">
        <v>3081</v>
      </c>
      <c r="E203">
        <f>COUNTIF('remet-mad'!Q261,"&lt;=10")</f>
        <v>0</v>
      </c>
      <c r="F203">
        <f>COUNTIFS('remet-mad'!Q261,"&gt;10",'remet-mad'!Q261,"&lt;=25")</f>
        <v>1</v>
      </c>
      <c r="G203">
        <f>COUNTIFS('remet-mad'!Q261,"&gt;25",'remet-mad'!Q261,"&lt;=100")</f>
        <v>0</v>
      </c>
      <c r="H203">
        <f>COUNTIFS('remet-mad'!Q261,"&gt;100")</f>
        <v>0</v>
      </c>
      <c r="I203" s="68">
        <f>COUNTIF('remet-mad'!BH261,"&lt;=0.3")</f>
        <v>1</v>
      </c>
      <c r="J203" s="68">
        <f>COUNTIFS('remet-mad'!BH261,"&gt;0.3",'remet-mad'!BH261,"&lt;=0.7")</f>
        <v>0</v>
      </c>
      <c r="K203" s="68">
        <f>COUNTIFS('remet-mad'!BH261,"&gt;0.7",'remet-mad'!BH261,"&lt;=1.0")</f>
        <v>0</v>
      </c>
      <c r="L203" s="68">
        <f>COUNTIFS('remet-mad'!BH261,"&gt;1.0",'remet-mad'!BH261,"&lt;=3.0")</f>
        <v>0</v>
      </c>
      <c r="M203" s="68">
        <f>COUNTIF('remet-mad'!BH261,"&gt;3.0")</f>
        <v>0</v>
      </c>
      <c r="N203" s="64">
        <f>('remet-mad'!AM261)</f>
        <v>0.16</v>
      </c>
      <c r="O203">
        <f>COUNTIF('remet-mad'!Y261,"=1")</f>
        <v>1</v>
      </c>
      <c r="P203">
        <f>COUNTIF('remet-mad'!Y261,"&gt;1")</f>
        <v>0</v>
      </c>
      <c r="Q203" t="s">
        <v>3589</v>
      </c>
      <c r="R203" t="s">
        <v>3583</v>
      </c>
      <c r="S203">
        <v>0</v>
      </c>
      <c r="T203">
        <v>0</v>
      </c>
    </row>
    <row r="204" spans="1:20" ht="17">
      <c r="A204" t="str">
        <f>('remet-mad'!E262)</f>
        <v>Ochrophyta</v>
      </c>
      <c r="B204" t="str">
        <f>('remet-mad'!I262)</f>
        <v>Goniochloris</v>
      </c>
      <c r="C204" s="53" t="s">
        <v>3793</v>
      </c>
      <c r="D204" s="81" t="s">
        <v>1368</v>
      </c>
      <c r="E204">
        <f>COUNTIF('remet-mad'!Q262,"&lt;=10")</f>
        <v>0</v>
      </c>
      <c r="F204">
        <f>COUNTIFS('remet-mad'!Q262,"&gt;10",'remet-mad'!Q262,"&lt;=25")</f>
        <v>1</v>
      </c>
      <c r="G204">
        <f>COUNTIFS('remet-mad'!Q262,"&gt;25",'remet-mad'!Q262,"&lt;=100")</f>
        <v>0</v>
      </c>
      <c r="H204">
        <f>COUNTIFS('remet-mad'!Q262,"&gt;100")</f>
        <v>0</v>
      </c>
      <c r="I204" s="68">
        <f>COUNTIF('remet-mad'!BH262,"&lt;=0.3")</f>
        <v>1</v>
      </c>
      <c r="J204" s="68">
        <f>COUNTIFS('remet-mad'!BH262,"&gt;0.3",'remet-mad'!BH262,"&lt;=0.7")</f>
        <v>0</v>
      </c>
      <c r="K204" s="68">
        <f>COUNTIFS('remet-mad'!BH262,"&gt;0.7",'remet-mad'!BH262,"&lt;=1.0")</f>
        <v>0</v>
      </c>
      <c r="L204" s="68">
        <f>COUNTIFS('remet-mad'!BH262,"&gt;1.0",'remet-mad'!BH262,"&lt;=3.0")</f>
        <v>0</v>
      </c>
      <c r="M204" s="68">
        <f>COUNTIF('remet-mad'!BH262,"&gt;3.0")</f>
        <v>0</v>
      </c>
      <c r="N204" s="64">
        <f>('remet-mad'!AM262)</f>
        <v>0.11</v>
      </c>
      <c r="O204">
        <f>COUNTIF('remet-mad'!Y262,"=1")</f>
        <v>1</v>
      </c>
      <c r="P204">
        <f>COUNTIF('remet-mad'!Y262,"&gt;1")</f>
        <v>0</v>
      </c>
      <c r="Q204" t="s">
        <v>3589</v>
      </c>
      <c r="R204" t="s">
        <v>3583</v>
      </c>
      <c r="S204">
        <v>0</v>
      </c>
      <c r="T204">
        <v>0</v>
      </c>
    </row>
    <row r="205" spans="1:20" ht="34">
      <c r="A205" t="str">
        <f>('remet-mad'!E263)</f>
        <v>Chlorophyta</v>
      </c>
      <c r="B205" t="str">
        <f>('remet-mad'!I263)</f>
        <v>Tetrastrum</v>
      </c>
      <c r="C205" s="53" t="s">
        <v>3115</v>
      </c>
      <c r="E205">
        <f>COUNTIF('remet-mad'!Q263,"&lt;=10")</f>
        <v>1</v>
      </c>
      <c r="F205">
        <f>COUNTIFS('remet-mad'!Q263,"&gt;10",'remet-mad'!Q263,"&lt;=25")</f>
        <v>0</v>
      </c>
      <c r="G205">
        <f>COUNTIFS('remet-mad'!Q263,"&gt;25",'remet-mad'!Q263,"&lt;=100")</f>
        <v>0</v>
      </c>
      <c r="H205">
        <f>COUNTIFS('remet-mad'!Q263,"&gt;100")</f>
        <v>0</v>
      </c>
      <c r="I205" s="68">
        <f>COUNTIF('remet-mad'!BH263,"&lt;=0.3")</f>
        <v>1</v>
      </c>
      <c r="J205" s="68">
        <f>COUNTIFS('remet-mad'!BH263,"&gt;0.3",'remet-mad'!BH263,"&lt;=0.7")</f>
        <v>0</v>
      </c>
      <c r="K205" s="68">
        <f>COUNTIFS('remet-mad'!BH263,"&gt;0.7",'remet-mad'!BH263,"&lt;=1.0")</f>
        <v>0</v>
      </c>
      <c r="L205" s="68">
        <f>COUNTIFS('remet-mad'!BH263,"&gt;1.0",'remet-mad'!BH263,"&lt;=3.0")</f>
        <v>0</v>
      </c>
      <c r="M205" s="68">
        <f>COUNTIF('remet-mad'!BH263,"&gt;3.0")</f>
        <v>0</v>
      </c>
      <c r="N205" s="64">
        <f>('remet-mad'!AM263)</f>
        <v>0.16</v>
      </c>
      <c r="O205">
        <f>COUNTIF('remet-mad'!Y263,"=1")</f>
        <v>0</v>
      </c>
      <c r="P205">
        <f>COUNTIF('remet-mad'!Y263,"&gt;1")</f>
        <v>1</v>
      </c>
      <c r="Q205" t="s">
        <v>3589</v>
      </c>
      <c r="R205" t="s">
        <v>3583</v>
      </c>
      <c r="S205">
        <v>0</v>
      </c>
      <c r="T205">
        <v>0</v>
      </c>
    </row>
    <row r="206" spans="1:20" ht="34">
      <c r="A206" t="str">
        <f>('remet-mad'!E264)</f>
        <v>Cyanobacteria</v>
      </c>
      <c r="B206" t="str">
        <f>('remet-mad'!I264)</f>
        <v>Woronichinia</v>
      </c>
      <c r="C206" s="53" t="s">
        <v>3558</v>
      </c>
      <c r="E206">
        <f>COUNTIF('remet-mad'!Q264:'remet-mad'!Q265,"&lt;=10")/COUNT('remet-mad'!Q264:'remet-mad'!Q265)</f>
        <v>1</v>
      </c>
      <c r="F206">
        <f>COUNTIFS('remet-mad'!Q264:'remet-mad'!Q265,"&gt;10",'remet-mad'!Q264:'remet-mad'!Q265,"&lt;=25")/COUNT('remet-mad'!Q264:'remet-mad'!Q265)</f>
        <v>0</v>
      </c>
      <c r="G206">
        <f>COUNTIFS('remet-mad'!Q264:'remet-mad'!Q265,"&gt;25",'remet-mad'!Q264:'remet-mad'!Q265,"&lt;=100")/COUNT('remet-mad'!Q264:'remet-mad'!Q265)</f>
        <v>0</v>
      </c>
      <c r="H206">
        <f>COUNTIFS('remet-mad'!Q264:'remet-mad'!Q265,"&gt;100")/COUNT('remet-mad'!Q264:'remet-mad'!Q265)</f>
        <v>0</v>
      </c>
      <c r="I206">
        <f>COUNTIF('remet-mad'!BH264:'remet-mad'!BH265,"&lt;=0.3")/COUNT('remet-mad'!BH264:'remet-mad'!BH265)</f>
        <v>1</v>
      </c>
      <c r="J206">
        <f>COUNTIFS('remet-mad'!BH264:'remet-mad'!BH265,"&gt;0.3",'remet-mad'!BH264:'remet-mad'!BH265,"&lt;=0.7")/COUNT('remet-mad'!BH264:'remet-mad'!BH265)</f>
        <v>0</v>
      </c>
      <c r="K206">
        <f>COUNTIFS('remet-mad'!BH264:'remet-mad'!BH265,"&gt;0.7",'remet-mad'!BH264:'remet-mad'!BH265,"&lt;=1.0")/COUNT('remet-mad'!BH264:'remet-mad'!BH265)</f>
        <v>0</v>
      </c>
      <c r="L206">
        <f>COUNTIFS('remet-mad'!BH264:'remet-mad'!BH265,"&gt;1.0",'remet-mad'!BH264:'remet-mad'!BH265,"&lt;=3.0")/COUNT('remet-mad'!BH264:'remet-mad'!BH265)</f>
        <v>0</v>
      </c>
      <c r="M206">
        <f>COUNTIFS('remet-mad'!BH264:'remet-mad'!BH265,"&gt;3")/COUNT('remet-mad'!BH264:'remet-mad'!BH265)</f>
        <v>0</v>
      </c>
      <c r="N206" s="64">
        <f>('remet-mad'!AM264)</f>
        <v>0.22</v>
      </c>
      <c r="O206">
        <f>COUNTIF('remet-mad'!Y264:'remet-mad'!Y265,"=1")/COUNT('remet-mad'!Y264:'remet-mad'!Y265)</f>
        <v>0.5</v>
      </c>
      <c r="P206">
        <f>COUNTIF('remet-mad'!Y264:'remet-mad'!Y265,"&gt;1")/COUNT('remet-mad'!Y264:'remet-mad'!Y265)</f>
        <v>0.5</v>
      </c>
      <c r="Q206" t="s">
        <v>3589</v>
      </c>
      <c r="R206" t="s">
        <v>3583</v>
      </c>
      <c r="S206">
        <v>0</v>
      </c>
      <c r="T206">
        <v>0</v>
      </c>
    </row>
  </sheetData>
  <mergeCells count="3">
    <mergeCell ref="E1:H1"/>
    <mergeCell ref="O1:P1"/>
    <mergeCell ref="I1:M1"/>
  </mergeCells>
  <phoneticPr fontId="5" type="noConversion"/>
  <hyperlinks>
    <hyperlink ref="D41" r:id="rId1" display="https://doi.org/10.1111/j.1529-8817.1981.tb00820.x" xr:uid="{104924D5-5D33-7B4A-8194-D7EA4E7CBD02}"/>
    <hyperlink ref="D4" r:id="rId2" location="v=onepage&amp;q=Anabaena%20%22augstumalis%22%20cell%20size&amp;f=false" display="https://books.google.co.uk/books?id=Sc4897dfM_MC&amp;pg=PA90&amp;lpg=PA90&amp;dq=Anabaena+%22augstumalis%22+cell+size&amp;source=bl&amp;ots=n6aJwbJORL&amp;sig=ACfU3U3yZCS6qfpuLMgl49Z1kzJ3rVEFTw&amp;hl=en&amp;sa=X&amp;ved=2ahUKEwjNkMudhaHwAhX3ZxUIHYdMDqIQ6AEwEHoECCAQAw#v=onepage&amp;q=Anabaena%20%22augstumalis%22%20cell%20size&amp;f=false" xr:uid="{AADA66F7-3102-2944-8F11-E05DA18D704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F13B-EEB7-0743-AA09-A81260D790E6}">
  <dimension ref="A1:T178"/>
  <sheetViews>
    <sheetView topLeftCell="A2" zoomScale="56" workbookViewId="0">
      <selection activeCell="C48" sqref="C48"/>
    </sheetView>
  </sheetViews>
  <sheetFormatPr baseColWidth="10" defaultRowHeight="16"/>
  <cols>
    <col min="3" max="3" width="25.83203125" style="53" customWidth="1"/>
    <col min="4" max="4" width="10.83203125" style="77"/>
  </cols>
  <sheetData>
    <row r="1" spans="1:20" ht="26">
      <c r="D1" s="50" t="s">
        <v>2</v>
      </c>
      <c r="E1" s="83" t="s">
        <v>68</v>
      </c>
      <c r="F1" s="83"/>
      <c r="G1" s="83"/>
      <c r="H1" s="83"/>
      <c r="I1" s="83" t="s">
        <v>3723</v>
      </c>
      <c r="J1" s="83"/>
      <c r="K1" s="83"/>
      <c r="L1" s="83"/>
      <c r="M1" s="83"/>
      <c r="N1" s="66" t="s">
        <v>97</v>
      </c>
      <c r="O1" s="83" t="s">
        <v>90</v>
      </c>
      <c r="P1" s="83"/>
      <c r="Q1" s="66" t="s">
        <v>92</v>
      </c>
      <c r="R1" s="66" t="s">
        <v>3509</v>
      </c>
      <c r="S1" s="66" t="s">
        <v>3568</v>
      </c>
      <c r="T1" t="s">
        <v>3576</v>
      </c>
    </row>
    <row r="2" spans="1:20" ht="57">
      <c r="D2" s="51" t="s">
        <v>3</v>
      </c>
      <c r="E2" s="4" t="s">
        <v>69</v>
      </c>
      <c r="F2" s="4" t="s">
        <v>72</v>
      </c>
      <c r="G2" s="4" t="s">
        <v>3504</v>
      </c>
      <c r="H2" s="5" t="s">
        <v>70</v>
      </c>
      <c r="I2" s="4" t="s">
        <v>3724</v>
      </c>
      <c r="J2" s="4" t="s">
        <v>3725</v>
      </c>
      <c r="K2" s="4" t="s">
        <v>3726</v>
      </c>
      <c r="L2" s="4" t="s">
        <v>3721</v>
      </c>
      <c r="M2" s="4" t="s">
        <v>3722</v>
      </c>
      <c r="N2" s="72" t="s">
        <v>3581</v>
      </c>
      <c r="O2" s="4" t="s">
        <v>91</v>
      </c>
      <c r="P2" s="4" t="s">
        <v>3507</v>
      </c>
      <c r="Q2" s="73" t="s">
        <v>92</v>
      </c>
      <c r="R2" s="73" t="s">
        <v>3509</v>
      </c>
      <c r="S2" s="4" t="s">
        <v>3568</v>
      </c>
      <c r="T2" s="72" t="s">
        <v>3575</v>
      </c>
    </row>
    <row r="3" spans="1:20" ht="17">
      <c r="A3" t="s">
        <v>59</v>
      </c>
      <c r="B3" t="s">
        <v>0</v>
      </c>
      <c r="C3" s="52" t="s">
        <v>3542</v>
      </c>
      <c r="D3" s="54" t="s">
        <v>3555</v>
      </c>
      <c r="E3" t="s">
        <v>65</v>
      </c>
      <c r="F3" t="s">
        <v>66</v>
      </c>
      <c r="G3" t="s">
        <v>67</v>
      </c>
      <c r="H3" t="s">
        <v>71</v>
      </c>
      <c r="I3" t="s">
        <v>3727</v>
      </c>
      <c r="J3" t="s">
        <v>3728</v>
      </c>
      <c r="K3" t="s">
        <v>3729</v>
      </c>
      <c r="L3" t="s">
        <v>3730</v>
      </c>
      <c r="M3" t="s">
        <v>3731</v>
      </c>
      <c r="N3" t="s">
        <v>3581</v>
      </c>
      <c r="O3" t="s">
        <v>3547</v>
      </c>
      <c r="P3" t="s">
        <v>3548</v>
      </c>
      <c r="Q3" t="s">
        <v>3588</v>
      </c>
      <c r="R3" t="s">
        <v>3582</v>
      </c>
      <c r="S3" t="s">
        <v>3569</v>
      </c>
      <c r="T3" t="s">
        <v>3579</v>
      </c>
    </row>
    <row r="4" spans="1:20" ht="17">
      <c r="A4" t="str">
        <f>('remet-LZ'!E2)</f>
        <v>Cyanobacteria</v>
      </c>
      <c r="B4" t="str">
        <f>('remet-LZ'!I2)</f>
        <v>Microcystis</v>
      </c>
      <c r="C4" s="53" t="s">
        <v>3696</v>
      </c>
      <c r="E4">
        <f>COUNTIF('remet-LZ'!Q2,"&lt;=10")</f>
        <v>1</v>
      </c>
      <c r="F4">
        <f>COUNTIFS('remet-LZ'!Q2,"&gt;10",'remet-LZ'!Q2,"&lt;=25")</f>
        <v>0</v>
      </c>
      <c r="G4">
        <f>COUNTIFS('remet-LZ'!Q2,"&gt;25",'remet-LZ'!Q2,"&lt;=100")</f>
        <v>0</v>
      </c>
      <c r="H4">
        <f>COUNTIFS('remet-LZ'!Q2,"&gt;100")</f>
        <v>0</v>
      </c>
      <c r="I4" s="68">
        <f>COUNTIF('remet-LZ'!BH2,"&lt;=0.3")</f>
        <v>0</v>
      </c>
      <c r="J4" s="68">
        <f>COUNTIFS('remet-LZ'!BH2,"&gt;0.3",'remet-LZ'!BH2,"&lt;=0.7")</f>
        <v>1</v>
      </c>
      <c r="K4" s="68">
        <f>COUNTIFS('remet-LZ'!BH2,"&gt;0.7",'remet-LZ'!BH2,"&lt;=1.0")</f>
        <v>0</v>
      </c>
      <c r="L4" s="68">
        <f>COUNTIFS('remet-LZ'!BH2,"&gt;1.0",'remet-LZ'!BH2,"&lt;=3.0")</f>
        <v>0</v>
      </c>
      <c r="M4" s="68">
        <f>COUNTIF('remet-LZ'!BH2,"&gt;3.0")</f>
        <v>0</v>
      </c>
      <c r="N4" s="64">
        <f>('remet-LZ'!AM2)</f>
        <v>0.22</v>
      </c>
      <c r="O4">
        <f>COUNTIF('remet-LZ'!Y2,"=1")</f>
        <v>0</v>
      </c>
      <c r="P4">
        <f>COUNTIF('remet-LZ'!Y2,"&gt;1")</f>
        <v>1</v>
      </c>
      <c r="Q4" t="s">
        <v>3589</v>
      </c>
      <c r="R4" t="s">
        <v>3583</v>
      </c>
      <c r="S4">
        <v>0</v>
      </c>
      <c r="T4">
        <v>0</v>
      </c>
    </row>
    <row r="5" spans="1:20" ht="17">
      <c r="A5" t="str">
        <f>('remet-LZ'!E3)</f>
        <v>Cyanobacteria</v>
      </c>
      <c r="B5" t="str">
        <f>('remet-LZ'!I3)</f>
        <v>Aphanizomenon</v>
      </c>
      <c r="C5" s="53" t="s">
        <v>3621</v>
      </c>
      <c r="E5">
        <f>COUNTIF('remet-LZ'!Q3:'remet-LZ'!Q4,"&lt;=10")/COUNT('remet-LZ'!Q3:'remet-LZ'!Q4)</f>
        <v>1</v>
      </c>
      <c r="F5">
        <f>COUNTIFS('remet-LZ'!Q3:'remet-LZ'!Q4,"&gt;10",'remet-LZ'!Q3:'remet-LZ'!Q4,"&lt;=25")/COUNT('remet-LZ'!Q3:'remet-LZ'!Q4)</f>
        <v>0</v>
      </c>
      <c r="G5">
        <f>COUNTIFS('remet-LZ'!Q3:'remet-LZ'!Q4,"&gt;25",'remet-LZ'!Q3:'remet-LZ'!Q4,"&lt;=100")/COUNT('remet-LZ'!Q3:'remet-LZ'!Q4)</f>
        <v>0</v>
      </c>
      <c r="H5">
        <f>COUNTIFS('remet-LZ'!Q3:'remet-LZ'!Q4,"&gt;100")/COUNT('remet-LZ'!Q3:'remet-LZ'!Q4)</f>
        <v>0</v>
      </c>
      <c r="I5">
        <f>COUNTIF('remet-LZ'!BH3:'remet-LZ'!BH4,"&lt;=0.3")/COUNT('remet-LZ'!BH3:'remet-LZ'!BP4)</f>
        <v>1</v>
      </c>
      <c r="J5">
        <f>COUNTIFS('remet-LZ'!BH3:'remet-LZ'!BH4,"&gt;0.3",'remet-LZ'!BH3:'remet-LZ'!BH4,"&lt;=0.7")/COUNT('remet-LZ'!BH3:'remet-LZ'!BH4)</f>
        <v>0</v>
      </c>
      <c r="K5">
        <f>COUNTIFS('remet-LZ'!BH3:'remet-LZ'!BH4,"&gt;0.7",'remet-LZ'!BH3:'remet-LZ'!BH4,"&lt;=1.0")/COUNT('remet-LZ'!BH3:'remet-LZ'!BH4)</f>
        <v>0</v>
      </c>
      <c r="L5">
        <f>COUNTIFS('remet-LZ'!BH3:'remet-LZ'!BH4,"&gt;1.0",'remet-LZ'!BH3:'remet-LZ'!BH4,"&lt;=3.0")/COUNT('remet-LZ'!BH3:'remet-LZ'!BH4)</f>
        <v>0</v>
      </c>
      <c r="M5">
        <f>COUNTIFS('remet-LZ'!BH3:'remet-LZ'!BH4,"&gt;3")/COUNT('remet-LZ'!BH3:'remet-LZ'!BH4)</f>
        <v>0</v>
      </c>
      <c r="N5" s="64">
        <f>('remet-LZ'!AM3)</f>
        <v>0.22</v>
      </c>
      <c r="O5">
        <f>COUNTIF('remet-LZ'!Y3:'remet-LZ'!Y4,"=1")/COUNT('remet-LZ'!Y3:'remet-LZ'!Y4)</f>
        <v>0</v>
      </c>
      <c r="P5">
        <f>COUNTIF('remet-LZ'!Y3:'remet-LZ'!Y4,"&gt;1")/COUNT('remet-LZ'!Y3:'remet-LZ'!Y4)</f>
        <v>1</v>
      </c>
      <c r="Q5" t="s">
        <v>3589</v>
      </c>
      <c r="R5" t="s">
        <v>3583</v>
      </c>
      <c r="S5">
        <v>1</v>
      </c>
      <c r="T5">
        <v>0</v>
      </c>
    </row>
    <row r="6" spans="1:20" ht="17">
      <c r="A6" t="str">
        <f>('remet-LZ'!E5)</f>
        <v>Cyanobacteria</v>
      </c>
      <c r="B6" t="str">
        <f>('remet-LZ'!I5)</f>
        <v>Planktothrix</v>
      </c>
      <c r="C6" s="53" t="s">
        <v>3622</v>
      </c>
      <c r="E6">
        <f>COUNTIF('remet-LZ'!Q5,"&lt;=10")</f>
        <v>1</v>
      </c>
      <c r="F6">
        <f>COUNTIFS('remet-LZ'!Q5,"&gt;10",'remet-LZ'!Q5,"&lt;=25")</f>
        <v>0</v>
      </c>
      <c r="G6">
        <f>COUNTIFS('remet-LZ'!Q5,"&gt;25",'remet-LZ'!Q5,"&lt;=100")</f>
        <v>0</v>
      </c>
      <c r="H6">
        <f>COUNTIFS('remet-LZ'!Q5,"&gt;100")</f>
        <v>0</v>
      </c>
      <c r="I6" s="68">
        <f>COUNTIF('remet-LZ'!BH5,"&lt;=0.3")</f>
        <v>0</v>
      </c>
      <c r="J6" s="68">
        <f>COUNTIFS('remet-LZ'!BH5,"&gt;0.3",'remet-LZ'!BH5,"&lt;=0.7")</f>
        <v>0</v>
      </c>
      <c r="K6" s="68">
        <f>COUNTIFS('remet-LZ'!BH5,"&gt;0.7",'remet-LZ'!BH5,"&lt;=1.0")</f>
        <v>1</v>
      </c>
      <c r="L6" s="68">
        <f>COUNTIFS('remet-LZ'!BH5,"&gt;1.0",'remet-LZ'!BH5,"&lt;=3.0")</f>
        <v>0</v>
      </c>
      <c r="M6" s="68">
        <f>COUNTIF('remet-LZ'!BH5,"&gt;3.0")</f>
        <v>0</v>
      </c>
      <c r="N6" s="64">
        <f>('remet-LZ'!AM5)</f>
        <v>0.22</v>
      </c>
      <c r="O6">
        <f>COUNTIF('remet-LZ'!Y5,"=1")</f>
        <v>0</v>
      </c>
      <c r="P6">
        <f>COUNTIF('remet-LZ'!Y5,"&gt;1")</f>
        <v>1</v>
      </c>
      <c r="Q6" t="s">
        <v>3589</v>
      </c>
      <c r="R6" t="s">
        <v>3583</v>
      </c>
      <c r="S6">
        <v>0</v>
      </c>
      <c r="T6">
        <v>0</v>
      </c>
    </row>
    <row r="7" spans="1:20" ht="17">
      <c r="C7" s="53" t="s">
        <v>3623</v>
      </c>
    </row>
    <row r="8" spans="1:20" ht="17">
      <c r="A8" t="str">
        <f>('remet-LZ'!E7)</f>
        <v>Bacillariophyta</v>
      </c>
      <c r="B8" t="str">
        <f>('remet-LZ'!I7)</f>
        <v>Stephanodiscus</v>
      </c>
      <c r="C8" s="53" t="s">
        <v>3624</v>
      </c>
      <c r="E8">
        <f>COUNTIF('remet-LZ'!Q7,"&lt;=10")</f>
        <v>0</v>
      </c>
      <c r="F8">
        <f>COUNTIFS('remet-LZ'!Q7,"&gt;10",'remet-LZ'!Q7,"&lt;=25")</f>
        <v>1</v>
      </c>
      <c r="G8">
        <f>COUNTIFS('remet-LZ'!Q7,"&gt;25",'remet-LZ'!Q7,"&lt;=100")</f>
        <v>0</v>
      </c>
      <c r="H8">
        <f>COUNTIFS('remet-LZ'!Q7,"&gt;100")</f>
        <v>0</v>
      </c>
      <c r="I8" s="68">
        <f>COUNTIF('remet-LZ'!BH7,"&lt;=0.3")</f>
        <v>0</v>
      </c>
      <c r="J8" s="68">
        <f>COUNTIFS('remet-LZ'!BH7,"&gt;0.3",'remet-LZ'!BH7,"&lt;=0.7")</f>
        <v>0</v>
      </c>
      <c r="K8" s="68">
        <f>COUNTIFS('remet-LZ'!BH7,"&gt;0.7",'remet-LZ'!BH7,"&lt;=1.0")</f>
        <v>0</v>
      </c>
      <c r="L8" s="68">
        <f>COUNTIFS('remet-LZ'!BH7,"&gt;1.0",'remet-LZ'!BH7,"&lt;=3.0")</f>
        <v>1</v>
      </c>
      <c r="M8" s="68">
        <f>COUNTIF('remet-LZ'!BH7,"&gt;3.0")</f>
        <v>0</v>
      </c>
      <c r="N8" s="64">
        <f>('remet-LZ'!AM7)</f>
        <v>0.11</v>
      </c>
      <c r="O8">
        <f>COUNTIF('remet-LZ'!Y7,"=1")</f>
        <v>1</v>
      </c>
      <c r="P8">
        <f>COUNTIF('remet-LZ'!Y7,"&gt;1")</f>
        <v>0</v>
      </c>
      <c r="Q8" t="s">
        <v>3589</v>
      </c>
      <c r="R8" t="s">
        <v>3584</v>
      </c>
      <c r="S8">
        <v>0</v>
      </c>
      <c r="T8">
        <v>1</v>
      </c>
    </row>
    <row r="9" spans="1:20" ht="17">
      <c r="A9" t="str">
        <f>('remet-LZ'!E8)</f>
        <v>Bacillariophyta</v>
      </c>
      <c r="B9" t="str">
        <f>('remet-LZ'!I8)</f>
        <v>Amphora</v>
      </c>
      <c r="C9" s="53" t="s">
        <v>3625</v>
      </c>
      <c r="E9">
        <f>COUNTIF('remet-LZ'!Q8,"&lt;=10")</f>
        <v>0</v>
      </c>
      <c r="F9">
        <f>COUNTIFS('remet-LZ'!Q8,"&gt;10",'remet-LZ'!Q8,"&lt;=25")</f>
        <v>0</v>
      </c>
      <c r="G9">
        <f>COUNTIFS('remet-LZ'!Q8,"&gt;25",'remet-LZ'!Q8,"&lt;=100")</f>
        <v>1</v>
      </c>
      <c r="H9">
        <f>COUNTIFS('remet-LZ'!Q8,"&gt;100")</f>
        <v>0</v>
      </c>
      <c r="I9" s="68">
        <f>COUNTIF('remet-LZ'!BH8,"&lt;=0.3")</f>
        <v>0</v>
      </c>
      <c r="J9" s="68">
        <f>COUNTIFS('remet-LZ'!BH8,"&gt;0.3",'remet-LZ'!BH8,"&lt;=0.7")</f>
        <v>0</v>
      </c>
      <c r="K9" s="68">
        <f>COUNTIFS('remet-LZ'!BH8,"&gt;0.7",'remet-LZ'!BH8,"&lt;=1.0")</f>
        <v>0</v>
      </c>
      <c r="L9" s="68">
        <f>COUNTIFS('remet-LZ'!BH8,"&gt;1.0",'remet-LZ'!BH8,"&lt;=3.0")</f>
        <v>1</v>
      </c>
      <c r="M9" s="68">
        <f>COUNTIF('remet-LZ'!BH8,"&gt;3.0")</f>
        <v>0</v>
      </c>
      <c r="N9" s="64">
        <f>('remet-LZ'!AM8)</f>
        <v>0.11</v>
      </c>
      <c r="O9">
        <f>COUNTIF('remet-LZ'!Y8,"=1")</f>
        <v>1</v>
      </c>
      <c r="P9">
        <f>COUNTIF('remet-LZ'!Y8,"&gt;1")</f>
        <v>0</v>
      </c>
      <c r="Q9" t="s">
        <v>3586</v>
      </c>
      <c r="R9" t="s">
        <v>3584</v>
      </c>
      <c r="S9">
        <v>0</v>
      </c>
      <c r="T9">
        <v>1</v>
      </c>
    </row>
    <row r="10" spans="1:20" ht="17">
      <c r="A10" t="str">
        <f>('remet-LZ'!E9)</f>
        <v>Bacillariophyta</v>
      </c>
      <c r="B10" t="str">
        <f>('remet-LZ'!I9)</f>
        <v>Asterionella</v>
      </c>
      <c r="C10" s="53" t="s">
        <v>3626</v>
      </c>
      <c r="E10">
        <f>COUNTIF('remet-LZ'!Q9,"&lt;=10")</f>
        <v>0</v>
      </c>
      <c r="F10">
        <f>COUNTIFS('remet-LZ'!Q9,"&gt;10",'remet-LZ'!Q9,"&lt;=25")</f>
        <v>0</v>
      </c>
      <c r="G10">
        <f>COUNTIFS('remet-LZ'!Q9,"&gt;25",'remet-LZ'!Q9,"&lt;=100")</f>
        <v>1</v>
      </c>
      <c r="H10">
        <f>COUNTIFS('remet-LZ'!Q9,"&gt;100")</f>
        <v>0</v>
      </c>
      <c r="I10" s="68">
        <f>COUNTIF('remet-LZ'!BH9,"&lt;=0.3")</f>
        <v>0</v>
      </c>
      <c r="J10" s="68">
        <f>COUNTIFS('remet-LZ'!BH9,"&gt;0.3",'remet-LZ'!BH9,"&lt;=0.7")</f>
        <v>1</v>
      </c>
      <c r="K10" s="68">
        <f>COUNTIFS('remet-LZ'!BH9,"&gt;0.7",'remet-LZ'!BH9,"&lt;=1.0")</f>
        <v>0</v>
      </c>
      <c r="L10" s="68">
        <f>COUNTIFS('remet-LZ'!BH9,"&gt;1.0",'remet-LZ'!BH9,"&lt;=3.0")</f>
        <v>0</v>
      </c>
      <c r="M10" s="68">
        <f>COUNTIF('remet-LZ'!BH9,"&gt;3.0")</f>
        <v>0</v>
      </c>
      <c r="N10" s="64">
        <f>('remet-LZ'!AM9)</f>
        <v>0.11</v>
      </c>
      <c r="O10">
        <f>COUNTIF('remet-LZ'!Y9,"=1")</f>
        <v>1</v>
      </c>
      <c r="P10">
        <f>COUNTIF('remet-LZ'!Y9,"&gt;1")</f>
        <v>0</v>
      </c>
      <c r="Q10" t="s">
        <v>3589</v>
      </c>
      <c r="R10" t="s">
        <v>3584</v>
      </c>
      <c r="S10">
        <v>0</v>
      </c>
      <c r="T10">
        <v>1</v>
      </c>
    </row>
    <row r="11" spans="1:20" ht="17">
      <c r="A11" t="str">
        <f>('remet-LZ'!E10)</f>
        <v>Bacillariophyta</v>
      </c>
      <c r="B11" t="str">
        <f>('remet-LZ'!I10)</f>
        <v>Cocconeis</v>
      </c>
      <c r="C11" s="53" t="s">
        <v>3627</v>
      </c>
      <c r="E11">
        <f>COUNTIF('remet-LZ'!Q10,"&lt;=10")</f>
        <v>0</v>
      </c>
      <c r="F11">
        <f>COUNTIFS('remet-LZ'!Q10,"&gt;10",'remet-LZ'!Q10,"&lt;=25")</f>
        <v>1</v>
      </c>
      <c r="G11">
        <f>COUNTIFS('remet-LZ'!Q10,"&gt;25",'remet-LZ'!Q10,"&lt;=100")</f>
        <v>0</v>
      </c>
      <c r="H11">
        <f>COUNTIFS('remet-LZ'!Q10,"&gt;100")</f>
        <v>0</v>
      </c>
      <c r="I11" s="68">
        <f>COUNTIF('remet-LZ'!BH10,"&lt;=0.3")</f>
        <v>0</v>
      </c>
      <c r="J11" s="68">
        <f>COUNTIFS('remet-LZ'!BH10,"&gt;0.3",'remet-LZ'!BH10,"&lt;=0.7")</f>
        <v>0</v>
      </c>
      <c r="K11" s="68">
        <f>COUNTIFS('remet-LZ'!BH10,"&gt;0.7",'remet-LZ'!BH10,"&lt;=1.0")</f>
        <v>1</v>
      </c>
      <c r="L11" s="68">
        <f>COUNTIFS('remet-LZ'!BH10,"&gt;1.0",'remet-LZ'!BH10,"&lt;=3.0")</f>
        <v>0</v>
      </c>
      <c r="M11" s="68">
        <f>COUNTIF('remet-LZ'!BH10,"&gt;3.0")</f>
        <v>0</v>
      </c>
      <c r="N11" s="64">
        <f>('remet-LZ'!AM10)</f>
        <v>0.11</v>
      </c>
      <c r="O11">
        <f>COUNTIF('remet-LZ'!Y10,"=1")</f>
        <v>1</v>
      </c>
      <c r="P11">
        <f>COUNTIF('remet-LZ'!Y10,"&gt;1")</f>
        <v>0</v>
      </c>
      <c r="Q11" t="s">
        <v>3586</v>
      </c>
      <c r="R11" t="s">
        <v>3584</v>
      </c>
      <c r="S11">
        <v>0</v>
      </c>
      <c r="T11">
        <v>1</v>
      </c>
    </row>
    <row r="12" spans="1:20" ht="17">
      <c r="A12" t="str">
        <f>('remet-LZ'!E11)</f>
        <v>Bacillariophyta</v>
      </c>
      <c r="B12" t="str">
        <f>('remet-LZ'!I11)</f>
        <v>Cymbella</v>
      </c>
      <c r="C12" s="53" t="s">
        <v>3628</v>
      </c>
      <c r="E12">
        <f>COUNTIF('remet-LZ'!Q11,"&lt;=10")</f>
        <v>0</v>
      </c>
      <c r="F12">
        <f>COUNTIFS('remet-LZ'!Q11,"&gt;10",'remet-LZ'!Q11,"&lt;=25")</f>
        <v>0</v>
      </c>
      <c r="G12">
        <f>COUNTIFS('remet-LZ'!Q11,"&gt;25",'remet-LZ'!Q11,"&lt;=100")</f>
        <v>1</v>
      </c>
      <c r="H12">
        <f>COUNTIFS('remet-LZ'!Q11,"&gt;100")</f>
        <v>0</v>
      </c>
      <c r="I12" s="68">
        <f>COUNTIF('remet-LZ'!BH11,"&lt;=0.3")</f>
        <v>0</v>
      </c>
      <c r="J12" s="68">
        <f>COUNTIFS('remet-LZ'!BH11,"&gt;0.3",'remet-LZ'!BH11,"&lt;=0.7")</f>
        <v>0</v>
      </c>
      <c r="K12" s="68">
        <f>COUNTIFS('remet-LZ'!BH11,"&gt;0.7",'remet-LZ'!BH11,"&lt;=1.0")</f>
        <v>1</v>
      </c>
      <c r="L12" s="68">
        <f>COUNTIFS('remet-LZ'!BH11,"&gt;1.0",'remet-LZ'!BH11,"&lt;=3.0")</f>
        <v>0</v>
      </c>
      <c r="M12" s="68">
        <f>COUNTIF('remet-LZ'!BH11,"&gt;3.0")</f>
        <v>0</v>
      </c>
      <c r="N12" s="64">
        <f>('remet-LZ'!AM11)</f>
        <v>0.11</v>
      </c>
      <c r="O12">
        <f>COUNTIF('remet-LZ'!Y11,"=1")</f>
        <v>1</v>
      </c>
      <c r="P12">
        <f>COUNTIF('remet-LZ'!Y11,"&gt;1")</f>
        <v>0</v>
      </c>
      <c r="Q12" t="s">
        <v>3586</v>
      </c>
      <c r="R12" t="s">
        <v>3584</v>
      </c>
      <c r="S12">
        <v>0</v>
      </c>
      <c r="T12">
        <v>1</v>
      </c>
    </row>
    <row r="13" spans="1:20" ht="17">
      <c r="A13" t="str">
        <f>('remet-LZ'!E12)</f>
        <v>Bacillariophyta</v>
      </c>
      <c r="B13" t="str">
        <f>('remet-LZ'!I12)</f>
        <v>Fragilaria</v>
      </c>
      <c r="C13" s="53" t="s">
        <v>3629</v>
      </c>
      <c r="E13">
        <f>COUNTIF('remet-LZ'!Q12,"&lt;=10")</f>
        <v>0</v>
      </c>
      <c r="F13">
        <f>COUNTIFS('remet-LZ'!Q12,"&gt;10",'remet-LZ'!Q12,"&lt;=25")</f>
        <v>0</v>
      </c>
      <c r="G13">
        <f>COUNTIFS('remet-LZ'!Q12,"&gt;25",'remet-LZ'!Q12,"&lt;=100")</f>
        <v>1</v>
      </c>
      <c r="H13">
        <f>COUNTIFS('remet-LZ'!Q12,"&gt;100")</f>
        <v>0</v>
      </c>
      <c r="I13" s="68">
        <f>COUNTIF('remet-LZ'!BH12,"&lt;=0.3")</f>
        <v>0</v>
      </c>
      <c r="J13" s="68">
        <f>COUNTIFS('remet-LZ'!BH12,"&gt;0.3",'remet-LZ'!BH12,"&lt;=0.7")</f>
        <v>1</v>
      </c>
      <c r="K13" s="68">
        <f>COUNTIFS('remet-LZ'!BH12,"&gt;0.7",'remet-LZ'!BH12,"&lt;=1.0")</f>
        <v>0</v>
      </c>
      <c r="L13" s="68">
        <f>COUNTIFS('remet-LZ'!BH12,"&gt;1.0",'remet-LZ'!BH12,"&lt;=3.0")</f>
        <v>0</v>
      </c>
      <c r="M13" s="68">
        <f>COUNTIF('remet-LZ'!BH12,"&gt;3.0")</f>
        <v>0</v>
      </c>
      <c r="N13" s="64">
        <f>('remet-LZ'!AM12)</f>
        <v>0.11</v>
      </c>
      <c r="O13">
        <f>COUNTIF('remet-LZ'!Y12,"=1")</f>
        <v>1</v>
      </c>
      <c r="P13">
        <f>COUNTIF('remet-LZ'!Y12,"&gt;1")</f>
        <v>0</v>
      </c>
      <c r="Q13" t="s">
        <v>3589</v>
      </c>
      <c r="R13" t="s">
        <v>3584</v>
      </c>
      <c r="S13">
        <v>0</v>
      </c>
      <c r="T13">
        <v>1</v>
      </c>
    </row>
    <row r="14" spans="1:20" ht="17">
      <c r="A14" t="str">
        <f>('remet-LZ'!E13)</f>
        <v>Bacillariophyta</v>
      </c>
      <c r="B14" t="str">
        <f>('remet-LZ'!I13)</f>
        <v>Nitzschia</v>
      </c>
      <c r="C14" s="53" t="s">
        <v>3630</v>
      </c>
      <c r="E14">
        <f>COUNTIF('remet-LZ'!Q13:'remet-LZ'!Q14,"&lt;=10")/COUNT('remet-LZ'!Q13:'remet-LZ'!Q14)</f>
        <v>0</v>
      </c>
      <c r="F14">
        <f>COUNTIFS('remet-LZ'!Q13:'remet-LZ'!Q14,"&gt;10",'remet-LZ'!Q13:'remet-LZ'!Q14,"&lt;=25")/COUNT('remet-LZ'!Q13:'remet-LZ'!Q14)</f>
        <v>0</v>
      </c>
      <c r="G14">
        <f>COUNTIFS('remet-LZ'!Q13:'remet-LZ'!Q14,"&gt;25",'remet-LZ'!Q13:'remet-LZ'!Q14,"&lt;=100")/COUNT('remet-LZ'!Q13:'remet-LZ'!Q14)</f>
        <v>1</v>
      </c>
      <c r="H14">
        <f>COUNTIFS('remet-LZ'!Q13:'remet-LZ'!Q14,"&gt;100")/COUNT('remet-LZ'!Q13:'remet-LZ'!Q14)</f>
        <v>0</v>
      </c>
      <c r="I14">
        <f>COUNTIF('remet-LZ'!BH13:'remet-LZ'!BH14,"&lt;=0.3")/COUNT('remet-LZ'!BH13:'remet-LZ'!BP14)</f>
        <v>0</v>
      </c>
      <c r="J14">
        <f>COUNTIFS('remet-LZ'!BH13:'remet-LZ'!BH14,"&gt;0.3",'remet-LZ'!BH13:'remet-LZ'!BH14,"&lt;=0.7")/COUNT('remet-LZ'!BH13:'remet-LZ'!BH14)</f>
        <v>1</v>
      </c>
      <c r="K14">
        <f>COUNTIFS('remet-LZ'!BH13:'remet-LZ'!BH14,"&gt;0.7",'remet-LZ'!BH13:'remet-LZ'!BH14,"&lt;=1.0")/COUNT('remet-LZ'!BH13:'remet-LZ'!BH14)</f>
        <v>0</v>
      </c>
      <c r="L14">
        <f>COUNTIFS('remet-LZ'!BH13:'remet-LZ'!BH14,"&gt;1.0",'remet-LZ'!BH13:'remet-LZ'!BH14,"&lt;=3.0")/COUNT('remet-LZ'!BH13:'remet-LZ'!BH14)</f>
        <v>0</v>
      </c>
      <c r="M14">
        <f>COUNTIFS('remet-LZ'!BH13:'remet-LZ'!BH14,"&gt;3")/COUNT('remet-LZ'!BH13:'remet-LZ'!BH14)</f>
        <v>0</v>
      </c>
      <c r="N14" s="64">
        <f>('remet-LZ'!AM13)</f>
        <v>0.11</v>
      </c>
      <c r="O14">
        <f>COUNTIF('remet-LZ'!Y13:'remet-LZ'!Y14,"=1")/COUNT('remet-LZ'!Y13:'remet-LZ'!Y14)</f>
        <v>1</v>
      </c>
      <c r="P14">
        <f>COUNTIF('remet-LZ'!Y13:'remet-LZ'!Y14,"&gt;1")/COUNT('remet-LZ'!Y13:'remet-LZ'!Y14)</f>
        <v>0</v>
      </c>
      <c r="Q14" t="s">
        <v>3586</v>
      </c>
      <c r="R14" t="s">
        <v>3583</v>
      </c>
      <c r="S14">
        <v>0</v>
      </c>
      <c r="T14">
        <v>1</v>
      </c>
    </row>
    <row r="15" spans="1:20" ht="34">
      <c r="A15" t="str">
        <f>('remet-LZ'!E15)</f>
        <v>Bacillariophyta</v>
      </c>
      <c r="B15" t="str">
        <f>('remet-LZ'!I15)</f>
        <v>Ulnaria</v>
      </c>
      <c r="C15" s="53" t="s">
        <v>3697</v>
      </c>
      <c r="E15">
        <f>COUNTIF('remet-LZ'!Q15,"&lt;=10")</f>
        <v>0</v>
      </c>
      <c r="F15">
        <f>COUNTIFS('remet-LZ'!Q15,"&gt;10",'remet-LZ'!Q15,"&lt;=25")</f>
        <v>0</v>
      </c>
      <c r="G15">
        <f>COUNTIFS('remet-LZ'!Q15,"&gt;25",'remet-LZ'!Q15,"&lt;=100")</f>
        <v>0</v>
      </c>
      <c r="H15">
        <f>COUNTIFS('remet-LZ'!Q15,"&gt;100")</f>
        <v>1</v>
      </c>
      <c r="I15" s="68">
        <f>COUNTIF('remet-LZ'!BH15,"&lt;=0.3")</f>
        <v>0</v>
      </c>
      <c r="J15" s="68">
        <f>COUNTIFS('remet-LZ'!BH15,"&gt;0.3",'remet-LZ'!BH15,"&lt;=0.7")</f>
        <v>1</v>
      </c>
      <c r="K15" s="68">
        <f>COUNTIFS('remet-LZ'!BH15,"&gt;0.7",'remet-LZ'!BH15,"&lt;=1.0")</f>
        <v>0</v>
      </c>
      <c r="L15" s="68">
        <f>COUNTIFS('remet-LZ'!BH15,"&gt;1.0",'remet-LZ'!BH15,"&lt;=3.0")</f>
        <v>0</v>
      </c>
      <c r="M15" s="68">
        <f>COUNTIF('remet-LZ'!BH15,"&gt;3.0")</f>
        <v>0</v>
      </c>
      <c r="N15" s="64">
        <f>('remet-LZ'!AM15)</f>
        <v>0.11</v>
      </c>
      <c r="O15">
        <f>COUNTIF('remet-LZ'!Y15,"=1")</f>
        <v>1</v>
      </c>
      <c r="P15">
        <f>COUNTIF('remet-LZ'!Y15,"&gt;1")</f>
        <v>0</v>
      </c>
      <c r="Q15" t="s">
        <v>3589</v>
      </c>
      <c r="R15" t="s">
        <v>3584</v>
      </c>
      <c r="S15">
        <v>0</v>
      </c>
      <c r="T15">
        <v>1</v>
      </c>
    </row>
    <row r="16" spans="1:20" ht="17">
      <c r="A16" t="str">
        <f>('remet-LZ'!E16)</f>
        <v>Bacillariophyta</v>
      </c>
      <c r="B16" t="str">
        <f>('remet-LZ'!I16)</f>
        <v>Tabellaria</v>
      </c>
      <c r="C16" s="53" t="s">
        <v>3631</v>
      </c>
      <c r="E16">
        <f>COUNTIF('remet-LZ'!Q16,"&lt;=10")</f>
        <v>0</v>
      </c>
      <c r="F16">
        <f>COUNTIFS('remet-LZ'!Q16,"&gt;10",'remet-LZ'!Q16,"&lt;=25")</f>
        <v>0</v>
      </c>
      <c r="G16">
        <f>COUNTIFS('remet-LZ'!Q16,"&gt;25",'remet-LZ'!Q16,"&lt;=100")</f>
        <v>1</v>
      </c>
      <c r="H16">
        <f>COUNTIFS('remet-LZ'!Q16,"&gt;100")</f>
        <v>0</v>
      </c>
      <c r="I16" s="68">
        <f>COUNTIF('remet-LZ'!BH16,"&lt;=0.3")</f>
        <v>0</v>
      </c>
      <c r="J16" s="68">
        <f>COUNTIFS('remet-LZ'!BH16,"&gt;0.3",'remet-LZ'!BH16,"&lt;=0.7")</f>
        <v>0</v>
      </c>
      <c r="K16" s="68">
        <f>COUNTIFS('remet-LZ'!BH16,"&gt;0.7",'remet-LZ'!BH16,"&lt;=1.0")</f>
        <v>1</v>
      </c>
      <c r="L16" s="68">
        <f>COUNTIFS('remet-LZ'!BH16,"&gt;1.0",'remet-LZ'!BH16,"&lt;=3.0")</f>
        <v>0</v>
      </c>
      <c r="M16" s="68">
        <f>COUNTIF('remet-LZ'!BH16,"&gt;3.0")</f>
        <v>0</v>
      </c>
      <c r="N16" s="64">
        <f>('remet-LZ'!AM16)</f>
        <v>0.11</v>
      </c>
      <c r="O16">
        <f>COUNTIF('remet-LZ'!Y16,"=1")</f>
        <v>1</v>
      </c>
      <c r="P16">
        <f>COUNTIF('remet-LZ'!Y16,"&gt;1")</f>
        <v>0</v>
      </c>
      <c r="Q16" t="s">
        <v>3589</v>
      </c>
      <c r="R16" t="s">
        <v>3584</v>
      </c>
      <c r="S16">
        <v>0</v>
      </c>
      <c r="T16">
        <v>1</v>
      </c>
    </row>
    <row r="17" spans="1:20" ht="17">
      <c r="A17" t="str">
        <f>('remet-LZ'!E17)</f>
        <v>Bacillariophyta</v>
      </c>
      <c r="B17" t="str">
        <f>('remet-LZ'!I17)</f>
        <v>Diatoma</v>
      </c>
      <c r="C17" s="53" t="s">
        <v>3698</v>
      </c>
      <c r="E17">
        <f>COUNTIF('remet-LZ'!Q17,"&lt;=10")</f>
        <v>0</v>
      </c>
      <c r="F17">
        <f>COUNTIFS('remet-LZ'!Q17,"&gt;10",'remet-LZ'!Q17,"&lt;=25")</f>
        <v>0</v>
      </c>
      <c r="G17">
        <f>COUNTIFS('remet-LZ'!Q17,"&gt;25",'remet-LZ'!Q17,"&lt;=100")</f>
        <v>1</v>
      </c>
      <c r="H17">
        <f>COUNTIFS('remet-LZ'!Q17,"&gt;100")</f>
        <v>0</v>
      </c>
      <c r="I17" s="68">
        <f>COUNTIF('remet-LZ'!BH17,"&lt;=0.3")</f>
        <v>0</v>
      </c>
      <c r="J17" s="68">
        <f>COUNTIFS('remet-LZ'!BH17,"&gt;0.3",'remet-LZ'!BH17,"&lt;=0.7")</f>
        <v>0</v>
      </c>
      <c r="K17" s="68">
        <f>COUNTIFS('remet-LZ'!BH17,"&gt;0.7",'remet-LZ'!BH17,"&lt;=1.0")</f>
        <v>0</v>
      </c>
      <c r="L17" s="68">
        <f>COUNTIFS('remet-LZ'!BH17,"&gt;1.0",'remet-LZ'!BH17,"&lt;=3.0")</f>
        <v>1</v>
      </c>
      <c r="M17" s="68">
        <f>COUNTIF('remet-LZ'!BH17,"&gt;3.0")</f>
        <v>0</v>
      </c>
      <c r="N17" s="64">
        <f>('remet-LZ'!AM17)</f>
        <v>0.11</v>
      </c>
      <c r="O17">
        <f>COUNTIF('remet-LZ'!Y17,"=1")</f>
        <v>1</v>
      </c>
      <c r="P17">
        <f>COUNTIF('remet-LZ'!Y17,"&gt;1")</f>
        <v>0</v>
      </c>
      <c r="Q17" t="s">
        <v>3589</v>
      </c>
      <c r="R17" t="s">
        <v>3584</v>
      </c>
      <c r="S17">
        <v>0</v>
      </c>
      <c r="T17">
        <v>1</v>
      </c>
    </row>
    <row r="18" spans="1:20" ht="17">
      <c r="A18" t="str">
        <f>('remet-LZ'!E18)</f>
        <v xml:space="preserve">Myzozoa </v>
      </c>
      <c r="B18" t="str">
        <f>('remet-LZ'!I18)</f>
        <v>Gymnodinium</v>
      </c>
      <c r="C18" s="53" t="s">
        <v>3632</v>
      </c>
      <c r="E18">
        <f>COUNTIF('remet-LZ'!Q18:'remet-LZ'!Q20,"&lt;=10")/COUNT('remet-LZ'!Q18:'remet-LZ'!Q20)</f>
        <v>0.33333333333333331</v>
      </c>
      <c r="F18">
        <f>COUNTIFS('remet-LZ'!Q18:'remet-LZ'!Q20,"&gt;10",'remet-LZ'!Q18:'remet-LZ'!Q20,"&lt;=25")/COUNT('remet-LZ'!Q18:'remet-LZ'!Q20)</f>
        <v>0.66666666666666663</v>
      </c>
      <c r="G18">
        <f>COUNTIFS('remet-LZ'!Q18:'remet-LZ'!Q20,"&gt;25",'remet-LZ'!Q18:'remet-LZ'!Q20,"&lt;=100")/COUNT('remet-LZ'!Q18:'remet-LZ'!Q20)</f>
        <v>0</v>
      </c>
      <c r="H18">
        <f>COUNTIFS('remet-LZ'!Q18:'remet-LZ'!Q20,"&gt;100")/COUNT('remet-LZ'!Q18:'remet-LZ'!Q20)</f>
        <v>0</v>
      </c>
      <c r="I18">
        <f>COUNTIF('remet-LZ'!BH18:'remet-LZ'!BH20,"&lt;=0.3")/COUNT('remet-LZ'!BH18:'remet-LZ'!BP20)</f>
        <v>0</v>
      </c>
      <c r="J18">
        <f>COUNTIFS('remet-LZ'!BH18:'remet-LZ'!BH20,"&gt;0.3",'remet-LZ'!BH18:'remet-LZ'!BH20,"&lt;=0.7")/COUNT('remet-LZ'!BH18:'remet-LZ'!BH20)</f>
        <v>1</v>
      </c>
      <c r="K18">
        <f>COUNTIFS('remet-LZ'!BH18:'remet-LZ'!BH20,"&gt;0.7",'remet-LZ'!BH18:'remet-LZ'!BH20,"&lt;=1.0")/COUNT('remet-LZ'!BH18:'remet-LZ'!BH20)</f>
        <v>0</v>
      </c>
      <c r="L18">
        <f>COUNTIFS('remet-LZ'!BH18:'remet-LZ'!BH20,"&gt;1.0",'remet-LZ'!BH18:'remet-LZ'!BH20,"&lt;=3.0")/COUNT('remet-LZ'!BH18:'remet-LZ'!BH20)</f>
        <v>0</v>
      </c>
      <c r="M18">
        <f>COUNTIFS('remet-LZ'!BH18:'remet-LZ'!BH20,"&gt;3")/COUNT('remet-LZ'!BH18:'remet-LZ'!BH20)</f>
        <v>0</v>
      </c>
      <c r="N18" s="64">
        <f>('remet-LZ'!AM18)</f>
        <v>0.13</v>
      </c>
      <c r="O18">
        <f>COUNTIF('remet-LZ'!Y18:'remet-LZ'!Y20,"=1")/COUNT('remet-LZ'!Y18:'remet-LZ'!Y20)</f>
        <v>1</v>
      </c>
      <c r="P18">
        <f>COUNTIF('remet-LZ'!Y18:'remet-LZ'!Y20,"&gt;1")/COUNT('remet-LZ'!Y18:'remet-LZ'!Y20)</f>
        <v>0</v>
      </c>
      <c r="Q18" t="s">
        <v>3587</v>
      </c>
      <c r="R18" t="s">
        <v>3583</v>
      </c>
      <c r="S18">
        <v>0</v>
      </c>
      <c r="T18">
        <v>0</v>
      </c>
    </row>
    <row r="19" spans="1:20" ht="17">
      <c r="A19" t="str">
        <f>('remet-LZ'!E19)</f>
        <v xml:space="preserve">Myzozoa </v>
      </c>
      <c r="B19" t="str">
        <f>('remet-LZ'!I19)</f>
        <v>Gymnodinium</v>
      </c>
      <c r="C19" s="53" t="s">
        <v>3633</v>
      </c>
      <c r="E19">
        <f>COUNTIF('remet-LZ'!Q21,"&lt;=10")</f>
        <v>0</v>
      </c>
      <c r="F19">
        <f>COUNTIFS('remet-LZ'!Q21,"&gt;10",'remet-LZ'!Q21,"&lt;=25")</f>
        <v>0</v>
      </c>
      <c r="G19">
        <f>COUNTIFS('remet-LZ'!Q21,"&gt;25",'remet-LZ'!Q21,"&lt;=100")</f>
        <v>1</v>
      </c>
      <c r="H19">
        <f>COUNTIFS('remet-LZ'!Q21,"&gt;100")</f>
        <v>0</v>
      </c>
      <c r="I19" s="68">
        <f>COUNTIF('remet-LZ'!BH21,"&lt;=0.3")</f>
        <v>0</v>
      </c>
      <c r="J19" s="68">
        <f>COUNTIFS('remet-LZ'!BH21,"&gt;0.3",'remet-LZ'!BH21,"&lt;=0.7")</f>
        <v>1</v>
      </c>
      <c r="K19" s="68">
        <f>COUNTIFS('remet-LZ'!BH21,"&gt;0.7",'remet-LZ'!BH21,"&lt;=1.0")</f>
        <v>0</v>
      </c>
      <c r="L19" s="68">
        <f>COUNTIFS('remet-LZ'!BH21,"&gt;1.0",'remet-LZ'!BH21,"&lt;=3.0")</f>
        <v>0</v>
      </c>
      <c r="M19" s="68">
        <f>COUNTIF('remet-LZ'!BH21,"&gt;3.0")</f>
        <v>0</v>
      </c>
      <c r="N19" s="64">
        <f>('remet-LZ'!AM21)</f>
        <v>0.13</v>
      </c>
      <c r="O19">
        <f>COUNTIF('remet-LZ'!Y21,"=1")</f>
        <v>1</v>
      </c>
      <c r="P19">
        <f>COUNTIF('remet-LZ'!Y21,"&gt;1")</f>
        <v>0</v>
      </c>
      <c r="Q19" t="s">
        <v>3587</v>
      </c>
      <c r="R19" t="s">
        <v>3584</v>
      </c>
      <c r="S19">
        <v>0</v>
      </c>
      <c r="T19">
        <v>0</v>
      </c>
    </row>
    <row r="20" spans="1:20" ht="17">
      <c r="A20" t="str">
        <f>('remet-LZ'!E22)</f>
        <v xml:space="preserve">Myzozoa </v>
      </c>
      <c r="B20" t="str">
        <f>('remet-LZ'!I22)</f>
        <v>Peridinium</v>
      </c>
      <c r="C20" s="53" t="s">
        <v>3634</v>
      </c>
      <c r="E20">
        <f>COUNTIF('remet-LZ'!Q22:'remet-LZ'!Q23,"&lt;=10")/COUNT('remet-LZ'!Q22:'remet-LZ'!Q23)</f>
        <v>0</v>
      </c>
      <c r="F20">
        <f>COUNTIFS('remet-LZ'!Q22:'remet-LZ'!Q23,"&gt;10",'remet-LZ'!Q22:'remet-LZ'!Q23,"&lt;=25")/COUNT('remet-LZ'!Q22:'remet-LZ'!Q23)</f>
        <v>0.5</v>
      </c>
      <c r="G20">
        <f>COUNTIFS('remet-LZ'!Q22:'remet-LZ'!Q23,"&gt;25",'remet-LZ'!Q22:'remet-LZ'!Q23,"&lt;=100")/COUNT('remet-LZ'!Q22:'remet-LZ'!Q23)</f>
        <v>0.5</v>
      </c>
      <c r="H20">
        <f>COUNTIFS('remet-LZ'!Q22:'remet-LZ'!Q23,"&gt;100")/COUNT('remet-LZ'!Q22:'remet-LZ'!Q23)</f>
        <v>0</v>
      </c>
      <c r="I20">
        <f>COUNTIF('remet-LZ'!BH22:'remet-LZ'!BH23,"&lt;=0.3")/COUNT('remet-LZ'!BH22:'remet-LZ'!BP23)</f>
        <v>0</v>
      </c>
      <c r="J20">
        <f>COUNTIFS('remet-LZ'!BH22:'remet-LZ'!BH23,"&gt;0.3",'remet-LZ'!BH22:'remet-LZ'!BH23,"&lt;=0.7")/COUNT('remet-LZ'!BH22:'remet-LZ'!BH23)</f>
        <v>0.5</v>
      </c>
      <c r="K20">
        <f>COUNTIFS('remet-LZ'!BH22:'remet-LZ'!BH23,"&gt;0.7",'remet-LZ'!BH22:'remet-LZ'!BH23,"&lt;=1.0")/COUNT('remet-LZ'!BH22:'remet-LZ'!BH23)</f>
        <v>0</v>
      </c>
      <c r="L20">
        <f>COUNTIFS('remet-LZ'!BH22:'remet-LZ'!BH23,"&gt;1.0",'remet-LZ'!BH22:'remet-LZ'!BH23,"&lt;=3.0")/COUNT('remet-LZ'!BH22:'remet-LZ'!BH23)</f>
        <v>0.5</v>
      </c>
      <c r="M20">
        <f>COUNTIFS('remet-LZ'!BH22:'remet-LZ'!BH23,"&gt;3")/COUNT('remet-LZ'!BH22:'remet-LZ'!BH23)</f>
        <v>0</v>
      </c>
      <c r="N20" s="64">
        <f>('remet-LZ'!AM22)</f>
        <v>0.13</v>
      </c>
      <c r="O20">
        <f>COUNTIF('remet-LZ'!Y22:'remet-LZ'!Y23,"=1")/COUNT('remet-LZ'!Y22:'remet-LZ'!Y23)</f>
        <v>1</v>
      </c>
      <c r="P20">
        <f>COUNTIF('remet-LZ'!Y22:'remet-LZ'!Y23,"&gt;1")/COUNT('remet-LZ'!Y22:'remet-LZ'!Y23)</f>
        <v>0</v>
      </c>
      <c r="Q20" t="s">
        <v>3587</v>
      </c>
      <c r="R20" t="s">
        <v>3584</v>
      </c>
      <c r="S20">
        <v>0</v>
      </c>
      <c r="T20">
        <v>0</v>
      </c>
    </row>
    <row r="21" spans="1:20" ht="17">
      <c r="A21" t="str">
        <f>('remet-LZ'!E24)</f>
        <v>Cryptophyta</v>
      </c>
      <c r="B21" t="str">
        <f>('remet-LZ'!I24)</f>
        <v>Cryptomonas</v>
      </c>
      <c r="C21" s="53" t="s">
        <v>3635</v>
      </c>
      <c r="E21">
        <f>COUNTIF('remet-LZ'!Q24,"&lt;=10")</f>
        <v>0</v>
      </c>
      <c r="F21">
        <f>COUNTIFS('remet-LZ'!Q24,"&gt;10",'remet-LZ'!Q24,"&lt;=25")</f>
        <v>1</v>
      </c>
      <c r="G21">
        <f>COUNTIFS('remet-LZ'!Q24,"&gt;25",'remet-LZ'!Q24,"&lt;=100")</f>
        <v>0</v>
      </c>
      <c r="H21">
        <f>COUNTIFS('remet-LZ'!Q24,"&gt;100")</f>
        <v>0</v>
      </c>
      <c r="I21" s="68">
        <f>COUNTIF('remet-LZ'!BH24,"&lt;=0.3")</f>
        <v>0</v>
      </c>
      <c r="J21" s="68">
        <f>COUNTIFS('remet-LZ'!BH24,"&gt;0.3",'remet-LZ'!BH24,"&lt;=0.7")</f>
        <v>1</v>
      </c>
      <c r="K21" s="68">
        <f>COUNTIFS('remet-LZ'!BH24,"&gt;0.7",'remet-LZ'!BH24,"&lt;=1.0")</f>
        <v>0</v>
      </c>
      <c r="L21" s="68">
        <f>COUNTIFS('remet-LZ'!BH24,"&gt;1.0",'remet-LZ'!BH24,"&lt;=3.0")</f>
        <v>0</v>
      </c>
      <c r="M21" s="68">
        <f>COUNTIF('remet-LZ'!BH24,"&gt;3.0")</f>
        <v>0</v>
      </c>
      <c r="N21" s="64">
        <f>('remet-LZ'!AM24)</f>
        <v>0.11</v>
      </c>
      <c r="O21">
        <f>COUNTIF('remet-LZ'!Y24,"=1")</f>
        <v>1</v>
      </c>
      <c r="P21">
        <f>COUNTIF('remet-LZ'!Y24,"&gt;1")</f>
        <v>0</v>
      </c>
      <c r="Q21" t="s">
        <v>3587</v>
      </c>
      <c r="R21" t="s">
        <v>3584</v>
      </c>
      <c r="S21">
        <v>0</v>
      </c>
      <c r="T21">
        <v>0</v>
      </c>
    </row>
    <row r="22" spans="1:20" ht="17">
      <c r="C22" s="53" t="s">
        <v>3636</v>
      </c>
      <c r="S22">
        <v>0</v>
      </c>
      <c r="T22">
        <v>0</v>
      </c>
    </row>
    <row r="23" spans="1:20" ht="17">
      <c r="A23" t="str">
        <f>('remet-LZ'!E26)</f>
        <v>Chlorophyta</v>
      </c>
      <c r="B23" t="str">
        <f>('remet-LZ'!I26)</f>
        <v>Phacotus</v>
      </c>
      <c r="C23" s="53" t="s">
        <v>3637</v>
      </c>
      <c r="E23">
        <f>COUNTIF('remet-LZ'!Q26,"&lt;=10")</f>
        <v>0</v>
      </c>
      <c r="F23">
        <f>COUNTIFS('remet-LZ'!Q26,"&gt;10",'remet-LZ'!Q26,"&lt;=25")</f>
        <v>1</v>
      </c>
      <c r="G23">
        <f>COUNTIFS('remet-LZ'!Q26,"&gt;25",'remet-LZ'!Q26,"&lt;=100")</f>
        <v>0</v>
      </c>
      <c r="H23">
        <f>COUNTIFS('remet-LZ'!Q26,"&gt;100")</f>
        <v>0</v>
      </c>
      <c r="I23" s="68">
        <f>COUNTIF('remet-LZ'!BH26,"&lt;=0.3")</f>
        <v>0</v>
      </c>
      <c r="J23" s="68">
        <f>COUNTIFS('remet-LZ'!BH26,"&gt;0.3",'remet-LZ'!BH26,"&lt;=0.7")</f>
        <v>1</v>
      </c>
      <c r="K23" s="68">
        <f>COUNTIFS('remet-LZ'!BH26,"&gt;0.7",'remet-LZ'!BH26,"&lt;=1.0")</f>
        <v>0</v>
      </c>
      <c r="L23" s="68">
        <f>COUNTIFS('remet-LZ'!BH26,"&gt;1.0",'remet-LZ'!BH26,"&lt;=3.0")</f>
        <v>0</v>
      </c>
      <c r="M23" s="68">
        <f>COUNTIF('remet-LZ'!BH26,"&gt;3.0")</f>
        <v>0</v>
      </c>
      <c r="N23" s="64">
        <f>('remet-LZ'!AM26)</f>
        <v>0.16</v>
      </c>
      <c r="O23">
        <f>COUNTIF('remet-LZ'!Y26,"=1")</f>
        <v>1</v>
      </c>
      <c r="P23">
        <f>COUNTIF('remet-LZ'!Y26,"&gt;1")</f>
        <v>0</v>
      </c>
      <c r="Q23" t="s">
        <v>3587</v>
      </c>
      <c r="R23" t="s">
        <v>3583</v>
      </c>
      <c r="S23">
        <v>0</v>
      </c>
      <c r="T23">
        <v>0</v>
      </c>
    </row>
    <row r="24" spans="1:20" ht="17">
      <c r="A24" t="str">
        <f>('remet-LZ'!E27)</f>
        <v>Chlorophyta</v>
      </c>
      <c r="B24" t="str">
        <f>('remet-LZ'!I27)</f>
        <v>Ankistrodesmus</v>
      </c>
      <c r="C24" s="53" t="s">
        <v>3638</v>
      </c>
      <c r="E24">
        <f>COUNTIF('remet-LZ'!Q27,"&lt;=10")</f>
        <v>0</v>
      </c>
      <c r="F24">
        <f>COUNTIFS('remet-LZ'!Q27,"&gt;10",'remet-LZ'!Q27,"&lt;=25")</f>
        <v>0</v>
      </c>
      <c r="G24">
        <f>COUNTIFS('remet-LZ'!Q27,"&gt;25",'remet-LZ'!Q27,"&lt;=100")</f>
        <v>1</v>
      </c>
      <c r="H24">
        <f>COUNTIFS('remet-LZ'!Q27,"&gt;100")</f>
        <v>0</v>
      </c>
      <c r="I24" s="68">
        <f>COUNTIF('remet-LZ'!BH27,"&lt;=0.3")</f>
        <v>1</v>
      </c>
      <c r="J24" s="68">
        <f>COUNTIFS('remet-LZ'!BH27,"&gt;0.3",'remet-LZ'!BH27,"&lt;=0.7")</f>
        <v>0</v>
      </c>
      <c r="K24" s="68">
        <f>COUNTIFS('remet-LZ'!BH27,"&gt;0.7",'remet-LZ'!BH27,"&lt;=1.0")</f>
        <v>0</v>
      </c>
      <c r="L24" s="68">
        <f>COUNTIFS('remet-LZ'!BH27,"&gt;1.0",'remet-LZ'!BH27,"&lt;=3.0")</f>
        <v>0</v>
      </c>
      <c r="M24" s="68">
        <f>COUNTIF('remet-LZ'!BH27,"&gt;3.0")</f>
        <v>0</v>
      </c>
      <c r="N24" s="64">
        <f>('remet-LZ'!AM27)</f>
        <v>0.16</v>
      </c>
      <c r="O24">
        <f>COUNTIF('remet-LZ'!Y27,"=1")</f>
        <v>1</v>
      </c>
      <c r="P24">
        <f>COUNTIF('remet-LZ'!Y27,"&gt;1")</f>
        <v>0</v>
      </c>
      <c r="Q24" t="s">
        <v>3589</v>
      </c>
      <c r="R24" t="s">
        <v>3583</v>
      </c>
      <c r="S24">
        <v>0</v>
      </c>
      <c r="T24">
        <v>0</v>
      </c>
    </row>
    <row r="25" spans="1:20" ht="17">
      <c r="C25" s="53" t="s">
        <v>3639</v>
      </c>
    </row>
    <row r="26" spans="1:20" ht="17">
      <c r="C26" s="53" t="s">
        <v>3640</v>
      </c>
    </row>
    <row r="27" spans="1:20" ht="17">
      <c r="C27" s="53" t="s">
        <v>3641</v>
      </c>
    </row>
    <row r="28" spans="1:20" ht="17">
      <c r="A28" t="str">
        <f>('remet-LZ'!E31)</f>
        <v>Chlorophyta</v>
      </c>
      <c r="B28" t="str">
        <f>('remet-LZ'!I31)</f>
        <v>Scenedesmus</v>
      </c>
      <c r="C28" s="53" t="s">
        <v>3642</v>
      </c>
      <c r="E28">
        <f>COUNTIF('remet-LZ'!Q32,"&lt;=10")</f>
        <v>0</v>
      </c>
      <c r="F28">
        <f>COUNTIFS('remet-LZ'!Q32,"&gt;10",'remet-LZ'!Q32,"&lt;=25")</f>
        <v>1</v>
      </c>
      <c r="G28">
        <f>COUNTIFS('remet-LZ'!Q32,"&gt;25",'remet-LZ'!Q32,"&lt;=100")</f>
        <v>0</v>
      </c>
      <c r="H28">
        <f>COUNTIFS('remet-LZ'!Q32,"&gt;100")</f>
        <v>0</v>
      </c>
      <c r="I28" s="68">
        <f>COUNTIF('remet-LZ'!BH32,"&lt;=0.3")</f>
        <v>1</v>
      </c>
      <c r="J28" s="68">
        <f>COUNTIFS('remet-LZ'!BH32,"&gt;0.3",'remet-LZ'!BH32,"&lt;=0.7")</f>
        <v>0</v>
      </c>
      <c r="K28" s="68">
        <f>COUNTIFS('remet-LZ'!BH32,"&gt;0.7",'remet-LZ'!BH32,"&lt;=1.0")</f>
        <v>0</v>
      </c>
      <c r="L28" s="68">
        <f>COUNTIFS('remet-LZ'!BH32,"&gt;1.0",'remet-LZ'!BH32,"&lt;=3.0")</f>
        <v>0</v>
      </c>
      <c r="M28" s="68">
        <f>COUNTIF('remet-LZ'!BH32,"&gt;3.0")</f>
        <v>0</v>
      </c>
      <c r="N28" s="64">
        <f>('remet-LZ'!AM32)</f>
        <v>0.16</v>
      </c>
      <c r="O28">
        <f>COUNTIF('remet-LZ'!Y32,"=1")</f>
        <v>1</v>
      </c>
      <c r="P28">
        <f>COUNTIF('remet-LZ'!Y32,"&gt;1")</f>
        <v>0</v>
      </c>
      <c r="Q28" t="s">
        <v>3589</v>
      </c>
      <c r="R28" t="s">
        <v>3583</v>
      </c>
      <c r="S28">
        <v>0</v>
      </c>
      <c r="T28">
        <v>0</v>
      </c>
    </row>
    <row r="29" spans="1:20" ht="17">
      <c r="A29" t="str">
        <f>('remet-LZ'!E32)</f>
        <v>Chlorophyta</v>
      </c>
      <c r="B29" t="str">
        <f>('remet-LZ'!I32)</f>
        <v>Tetraedron</v>
      </c>
      <c r="C29" s="53" t="s">
        <v>3643</v>
      </c>
      <c r="E29">
        <f>COUNTIF('remet-LZ'!Q32:'remet-LZ'!Q34,"&lt;=10")/COUNT('remet-LZ'!Q32:'remet-LZ'!Q34)</f>
        <v>0.33333333333333331</v>
      </c>
      <c r="F29">
        <f>COUNTIFS('remet-LZ'!Q32:'remet-LZ'!Q34,"&gt;10",'remet-LZ'!Q32:'remet-LZ'!Q34,"&lt;=25")/COUNT('remet-LZ'!Q32:'remet-LZ'!Q34)</f>
        <v>0.66666666666666663</v>
      </c>
      <c r="G29">
        <f>COUNTIFS('remet-LZ'!Q32:'remet-LZ'!Q34,"&gt;25",'remet-LZ'!Q32:'remet-LZ'!Q34,"&lt;=100")/COUNT('remet-LZ'!Q32:'remet-LZ'!Q34)</f>
        <v>0</v>
      </c>
      <c r="H29">
        <f>COUNTIFS('remet-LZ'!Q32:'remet-LZ'!Q34,"&gt;100")/COUNT('remet-LZ'!Q32:'remet-LZ'!Q34)</f>
        <v>0</v>
      </c>
      <c r="I29">
        <f>COUNTIF('remet-LZ'!BH32:'remet-LZ'!BH34,"&lt;=0.3")/COUNT('remet-LZ'!BH32:'remet-LZ'!BP34)</f>
        <v>1</v>
      </c>
      <c r="J29">
        <f>COUNTIFS('remet-LZ'!BH32:'remet-LZ'!BH34,"&gt;0.3",'remet-LZ'!BH32:'remet-LZ'!BH34,"&lt;=0.7")/COUNT('remet-LZ'!BH32:'remet-LZ'!BH34)</f>
        <v>0</v>
      </c>
      <c r="K29">
        <f>COUNTIFS('remet-LZ'!BH32:'remet-LZ'!BH34,"&gt;0.7",'remet-LZ'!BH32:'remet-LZ'!BH34,"&lt;=1.0")/COUNT('remet-LZ'!BH32:'remet-LZ'!BH34)</f>
        <v>0</v>
      </c>
      <c r="L29">
        <f>COUNTIFS('remet-LZ'!BH32:'remet-LZ'!BH34,"&gt;1.0",'remet-LZ'!BH32:'remet-LZ'!BH34,"&lt;=3.0")/COUNT('remet-LZ'!BH32:'remet-LZ'!BH34)</f>
        <v>0</v>
      </c>
      <c r="M29">
        <f>COUNTIFS('remet-LZ'!BH32:'remet-LZ'!BH34,"&gt;3")/COUNT('remet-LZ'!BH32:'remet-LZ'!BH34)</f>
        <v>0</v>
      </c>
      <c r="N29" s="64">
        <f>('remet-LZ'!AM32)</f>
        <v>0.16</v>
      </c>
      <c r="O29">
        <f>COUNTIF('remet-LZ'!Y32:'remet-LZ'!Y34,"=1")/COUNT('remet-LZ'!Y32:'remet-LZ'!Y34)</f>
        <v>1</v>
      </c>
      <c r="P29">
        <f>COUNTIF('remet-LZ'!Y32:'remet-LZ'!Y34,"&gt;1")/COUNT('remet-LZ'!Y32:'remet-LZ'!Y34)</f>
        <v>0</v>
      </c>
      <c r="Q29" t="s">
        <v>3589</v>
      </c>
      <c r="R29" t="s">
        <v>3583</v>
      </c>
      <c r="S29">
        <v>0</v>
      </c>
      <c r="T29">
        <v>0</v>
      </c>
    </row>
    <row r="30" spans="1:20" ht="17">
      <c r="A30" t="str">
        <f>('remet-LZ'!E35)</f>
        <v>Chlorophyta</v>
      </c>
      <c r="B30" t="str">
        <f>('remet-LZ'!I35)</f>
        <v>Oocystis</v>
      </c>
      <c r="C30" s="53" t="s">
        <v>3644</v>
      </c>
      <c r="E30">
        <f>COUNTIF('remet-LZ'!Q35,"&lt;=10")</f>
        <v>1</v>
      </c>
      <c r="F30">
        <f>COUNTIFS('remet-LZ'!Q35,"&gt;10",'remet-LZ'!Q35,"&lt;=25")</f>
        <v>0</v>
      </c>
      <c r="G30">
        <f>COUNTIFS('remet-LZ'!Q35,"&gt;25",'remet-LZ'!Q35,"&lt;=100")</f>
        <v>0</v>
      </c>
      <c r="H30">
        <f>COUNTIFS('remet-LZ'!Q35,"&gt;100")</f>
        <v>0</v>
      </c>
      <c r="I30" s="68">
        <f>COUNTIF('remet-LZ'!BH35,"&lt;=0.3")</f>
        <v>1</v>
      </c>
      <c r="J30" s="68">
        <f>COUNTIFS('remet-LZ'!BH35,"&gt;0.3",'remet-LZ'!BH35,"&lt;=0.7")</f>
        <v>0</v>
      </c>
      <c r="K30" s="68">
        <f>COUNTIFS('remet-LZ'!BH35,"&gt;0.7",'remet-LZ'!BH35,"&lt;=1.0")</f>
        <v>0</v>
      </c>
      <c r="L30" s="68">
        <f>COUNTIFS('remet-LZ'!BH35,"&gt;1.0",'remet-LZ'!BH35,"&lt;=3.0")</f>
        <v>0</v>
      </c>
      <c r="M30" s="68">
        <f>COUNTIF('remet-LZ'!BH35,"&gt;3.0")</f>
        <v>0</v>
      </c>
      <c r="N30" s="64">
        <f>('remet-LZ'!AM35)</f>
        <v>0.16</v>
      </c>
      <c r="O30">
        <f>COUNTIF('remet-LZ'!Y35,"=1")</f>
        <v>1</v>
      </c>
      <c r="P30">
        <f>COUNTIF('remet-LZ'!Y35,"&gt;1")</f>
        <v>0</v>
      </c>
      <c r="Q30" t="s">
        <v>3589</v>
      </c>
      <c r="R30" t="s">
        <v>3583</v>
      </c>
      <c r="S30">
        <v>0</v>
      </c>
      <c r="T30">
        <v>0</v>
      </c>
    </row>
    <row r="31" spans="1:20" ht="17">
      <c r="A31" t="str">
        <f>('remet-LZ'!E36)</f>
        <v>Chlorophyta</v>
      </c>
      <c r="B31" t="str">
        <f>('remet-LZ'!I36)</f>
        <v>Elakatothrix</v>
      </c>
      <c r="C31" s="53" t="s">
        <v>3645</v>
      </c>
      <c r="E31">
        <f>COUNTIF('remet-LZ'!Q36,"&lt;=10")</f>
        <v>0</v>
      </c>
      <c r="F31">
        <f>COUNTIFS('remet-LZ'!Q36,"&gt;10",'remet-LZ'!Q36,"&lt;=25")</f>
        <v>0</v>
      </c>
      <c r="G31">
        <f>COUNTIFS('remet-LZ'!Q36,"&gt;25",'remet-LZ'!Q36,"&lt;=100")</f>
        <v>1</v>
      </c>
      <c r="H31">
        <f>COUNTIFS('remet-LZ'!Q36,"&gt;100")</f>
        <v>0</v>
      </c>
      <c r="I31" s="68">
        <f>COUNTIF('remet-LZ'!BH36,"&lt;=0.3")</f>
        <v>1</v>
      </c>
      <c r="J31" s="68">
        <f>COUNTIFS('remet-LZ'!BH36,"&gt;0.3",'remet-LZ'!BH36,"&lt;=0.7")</f>
        <v>0</v>
      </c>
      <c r="K31" s="68">
        <f>COUNTIFS('remet-LZ'!BH36,"&gt;0.7",'remet-LZ'!BH36,"&lt;=1.0")</f>
        <v>0</v>
      </c>
      <c r="L31" s="68">
        <f>COUNTIFS('remet-LZ'!BH36,"&gt;1.0",'remet-LZ'!BH36,"&lt;=3.0")</f>
        <v>0</v>
      </c>
      <c r="M31" s="68">
        <f>COUNTIF('remet-LZ'!BH36,"&gt;3.0")</f>
        <v>0</v>
      </c>
      <c r="N31" s="64">
        <f>('remet-LZ'!AM36)</f>
        <v>0.16</v>
      </c>
      <c r="O31">
        <f>COUNTIF('remet-LZ'!Y36,"=1")</f>
        <v>0</v>
      </c>
      <c r="P31">
        <f>COUNTIF('remet-LZ'!Y36,"&gt;1")</f>
        <v>1</v>
      </c>
      <c r="Q31" t="s">
        <v>3589</v>
      </c>
      <c r="R31" t="s">
        <v>3583</v>
      </c>
      <c r="S31">
        <v>0</v>
      </c>
      <c r="T31">
        <v>0</v>
      </c>
    </row>
    <row r="32" spans="1:20" ht="17">
      <c r="A32" t="str">
        <f>('remet-LZ'!E37)</f>
        <v>Charophyta</v>
      </c>
      <c r="B32" t="str">
        <f>('remet-LZ'!I37)</f>
        <v>Closterium</v>
      </c>
      <c r="C32" s="53" t="s">
        <v>3646</v>
      </c>
      <c r="E32">
        <f>COUNTIF('remet-LZ'!Q37:'remet-LZ'!Q38,"&lt;=10")/COUNT('remet-LZ'!Q37:'remet-LZ'!Q38)</f>
        <v>0</v>
      </c>
      <c r="F32">
        <f>COUNTIFS('remet-LZ'!Q37:'remet-LZ'!Q38,"&gt;10",'remet-LZ'!Q37:'remet-LZ'!Q38,"&lt;=25")/COUNT('remet-LZ'!Q37:'remet-LZ'!Q38)</f>
        <v>0.5</v>
      </c>
      <c r="G32">
        <f>COUNTIFS('remet-LZ'!Q37:'remet-LZ'!Q38,"&gt;25",'remet-LZ'!Q37:'remet-LZ'!Q38,"&lt;=100")/COUNT('remet-LZ'!Q37:'remet-LZ'!Q38)</f>
        <v>0</v>
      </c>
      <c r="H32">
        <f>COUNTIFS('remet-LZ'!Q37:'remet-LZ'!Q38,"&gt;100")/COUNT('remet-LZ'!Q37:'remet-LZ'!Q38)</f>
        <v>0.5</v>
      </c>
      <c r="I32">
        <f>COUNTIF('remet-LZ'!BH37:'remet-LZ'!BH38,"&lt;=0.3")/COUNT('remet-LZ'!BH37:'remet-LZ'!BP38)</f>
        <v>0</v>
      </c>
      <c r="J32">
        <f>COUNTIFS('remet-LZ'!BH37:'remet-LZ'!BH38,"&gt;0.3",'remet-LZ'!BH37:'remet-LZ'!BH38,"&lt;=0.7")/COUNT('remet-LZ'!BH37:'remet-LZ'!BH38)</f>
        <v>0</v>
      </c>
      <c r="K32">
        <f>COUNTIFS('remet-LZ'!BH37:'remet-LZ'!BH38,"&gt;0.7",'remet-LZ'!BH37:'remet-LZ'!BH38,"&lt;=1.0")/COUNT('remet-LZ'!BH37:'remet-LZ'!BH38)</f>
        <v>0</v>
      </c>
      <c r="L32">
        <f>COUNTIFS('remet-LZ'!BH37:'remet-LZ'!BH38,"&gt;1.0",'remet-LZ'!BH37:'remet-LZ'!BH38,"&lt;=3.0")/COUNT('remet-LZ'!BH37:'remet-LZ'!BH38)</f>
        <v>0.5</v>
      </c>
      <c r="M32">
        <f>COUNTIFS('remet-LZ'!BH37:'remet-LZ'!BH38,"&gt;3")/COUNT('remet-LZ'!BH37:'remet-LZ'!BH38)</f>
        <v>0.5</v>
      </c>
      <c r="N32" s="64">
        <f>('remet-LZ'!AM37)</f>
        <v>0.11</v>
      </c>
      <c r="O32">
        <f>COUNTIF('remet-LZ'!Y37:'remet-LZ'!Y38,"=1")/COUNT('remet-LZ'!Y37:'remet-LZ'!Y38)</f>
        <v>1</v>
      </c>
      <c r="P32">
        <f>COUNTIF('remet-LZ'!Y37:'remet-LZ'!Y38,"&gt;1")/COUNT('remet-LZ'!Y37:'remet-LZ'!Y38)</f>
        <v>0</v>
      </c>
      <c r="Q32" t="s">
        <v>3589</v>
      </c>
      <c r="R32" t="s">
        <v>3583</v>
      </c>
      <c r="S32">
        <v>0</v>
      </c>
      <c r="T32">
        <v>0</v>
      </c>
    </row>
    <row r="33" spans="1:20" ht="17">
      <c r="A33" t="str">
        <f>('remet-LZ'!E38)</f>
        <v>Charophyta</v>
      </c>
      <c r="B33" t="str">
        <f>('remet-LZ'!I38)</f>
        <v>Closterium</v>
      </c>
      <c r="C33" s="53" t="s">
        <v>3647</v>
      </c>
      <c r="E33">
        <f>COUNTIF('remet-LZ'!Q39,"&lt;=10")</f>
        <v>0</v>
      </c>
      <c r="F33">
        <f>COUNTIFS('remet-LZ'!Q39,"&gt;10",'remet-LZ'!Q39,"&lt;=25")</f>
        <v>0</v>
      </c>
      <c r="G33">
        <f>COUNTIFS('remet-LZ'!Q39,"&gt;25",'remet-LZ'!Q39,"&lt;=100")</f>
        <v>0</v>
      </c>
      <c r="H33">
        <f>COUNTIFS('remet-LZ'!Q39,"&gt;100")</f>
        <v>1</v>
      </c>
      <c r="I33" s="68">
        <f>COUNTIF('remet-LZ'!BH39,"&lt;=0.3")</f>
        <v>0</v>
      </c>
      <c r="J33" s="68">
        <f>COUNTIFS('remet-LZ'!BH39,"&gt;0.3",'remet-LZ'!BH39,"&lt;=0.7")</f>
        <v>0</v>
      </c>
      <c r="K33" s="68">
        <f>COUNTIFS('remet-LZ'!BH39,"&gt;0.7",'remet-LZ'!BH39,"&lt;=1.0")</f>
        <v>1</v>
      </c>
      <c r="L33" s="68">
        <f>COUNTIFS('remet-LZ'!BH39,"&gt;1.0",'remet-LZ'!BH39,"&lt;=3.0")</f>
        <v>0</v>
      </c>
      <c r="M33" s="68">
        <f>COUNTIF('remet-LZ'!BH39,"&gt;3.0")</f>
        <v>0</v>
      </c>
      <c r="N33" s="64">
        <f>('remet-LZ'!AM39)</f>
        <v>0.11</v>
      </c>
      <c r="O33">
        <f>COUNTIF('remet-LZ'!Y39,"=1")</f>
        <v>1</v>
      </c>
      <c r="P33">
        <f>COUNTIF('remet-LZ'!Y39,"&gt;1")</f>
        <v>0</v>
      </c>
      <c r="Q33" t="s">
        <v>3589</v>
      </c>
      <c r="R33" t="s">
        <v>3583</v>
      </c>
      <c r="S33">
        <v>0</v>
      </c>
      <c r="T33">
        <v>0</v>
      </c>
    </row>
    <row r="34" spans="1:20" ht="17">
      <c r="A34" t="str">
        <f>('remet-LZ'!E40)</f>
        <v>Charophyta</v>
      </c>
      <c r="B34" t="str">
        <f>('remet-LZ'!I40)</f>
        <v>Staurastrum</v>
      </c>
      <c r="C34" s="53" t="s">
        <v>3648</v>
      </c>
      <c r="E34">
        <f>COUNTIF('remet-LZ'!Q40:'remet-LZ'!Q41,"&lt;=10")/COUNT('remet-LZ'!Q40:'remet-LZ'!Q41)</f>
        <v>0</v>
      </c>
      <c r="F34">
        <f>COUNTIFS('remet-LZ'!Q40:'remet-LZ'!Q41,"&gt;10",'remet-LZ'!Q40:'remet-LZ'!Q41,"&lt;=25")/COUNT('remet-LZ'!Q40:'remet-LZ'!Q41)</f>
        <v>1</v>
      </c>
      <c r="G34">
        <f>COUNTIFS('remet-LZ'!Q40:'remet-LZ'!Q41,"&gt;25",'remet-LZ'!Q40:'remet-LZ'!Q41,"&lt;=100")/COUNT('remet-LZ'!Q40:'remet-LZ'!Q41)</f>
        <v>0</v>
      </c>
      <c r="H34">
        <f>COUNTIFS('remet-LZ'!Q40:'remet-LZ'!Q41,"&gt;100")/COUNT('remet-LZ'!Q40:'remet-LZ'!Q41)</f>
        <v>0</v>
      </c>
      <c r="I34">
        <f>COUNTIF('remet-LZ'!BH40:'remet-LZ'!BH41,"&lt;=0.3")/COUNT('remet-LZ'!BH40:'remet-LZ'!BP41)</f>
        <v>0</v>
      </c>
      <c r="J34">
        <f>COUNTIFS('remet-LZ'!BH40:'remet-LZ'!BH41,"&gt;0.3",'remet-LZ'!BH40:'remet-LZ'!BH41,"&lt;=0.7")/COUNT('remet-LZ'!BH40:'remet-LZ'!BH41)</f>
        <v>0</v>
      </c>
      <c r="K34">
        <f>COUNTIFS('remet-LZ'!BH40:'remet-LZ'!BH41,"&gt;0.7",'remet-LZ'!BH40:'remet-LZ'!BH41,"&lt;=1.0")/COUNT('remet-LZ'!BH40:'remet-LZ'!BH41)</f>
        <v>0.5</v>
      </c>
      <c r="L34">
        <f>COUNTIFS('remet-LZ'!BH40:'remet-LZ'!BH41,"&gt;1.0",'remet-LZ'!BH40:'remet-LZ'!BH41,"&lt;=3.0")/COUNT('remet-LZ'!BH40:'remet-LZ'!BH41)</f>
        <v>0</v>
      </c>
      <c r="M34">
        <f>COUNTIFS('remet-LZ'!BH40:'remet-LZ'!BH41,"&gt;3")/COUNT('remet-LZ'!BH40:'remet-LZ'!BH41)</f>
        <v>0.5</v>
      </c>
      <c r="N34" s="64">
        <f>('remet-LZ'!AM40)</f>
        <v>0.11</v>
      </c>
      <c r="O34">
        <f>COUNTIF('remet-LZ'!Y40:'remet-LZ'!Y41,"=1")/COUNT('remet-LZ'!Y40:'remet-LZ'!Y41)</f>
        <v>1</v>
      </c>
      <c r="P34">
        <f>COUNTIF('remet-LZ'!Y40:'remet-LZ'!Y41,"&gt;1")/COUNT('remet-LZ'!Y40:'remet-LZ'!Y41)</f>
        <v>0</v>
      </c>
      <c r="Q34" t="s">
        <v>3589</v>
      </c>
      <c r="R34" t="s">
        <v>3583</v>
      </c>
      <c r="S34">
        <v>0</v>
      </c>
      <c r="T34">
        <v>0</v>
      </c>
    </row>
    <row r="35" spans="1:20" ht="17">
      <c r="A35" t="str">
        <f>('remet-LZ'!E42)</f>
        <v>Charophyta</v>
      </c>
      <c r="B35" t="str">
        <f>('remet-LZ'!I42)</f>
        <v>Mougeotia</v>
      </c>
      <c r="C35" s="53" t="s">
        <v>3649</v>
      </c>
      <c r="E35">
        <f>COUNTIF('remet-LZ'!Q42:'remet-LZ'!Q45,"&lt;=10")/COUNT('remet-LZ'!Q42:'remet-LZ'!Q45)</f>
        <v>0</v>
      </c>
      <c r="F35">
        <f>COUNTIFS('remet-LZ'!Q42:'remet-LZ'!Q45,"&gt;10",'remet-LZ'!Q42:'remet-LZ'!Q45,"&lt;=25")/COUNT('remet-LZ'!Q42:'remet-LZ'!Q45)</f>
        <v>0.5</v>
      </c>
      <c r="G35">
        <f>COUNTIFS('remet-LZ'!Q42:'remet-LZ'!Q45,"&gt;25",'remet-LZ'!Q42:'remet-LZ'!Q45,"&lt;=100")/COUNT('remet-LZ'!Q42:'remet-LZ'!Q45)</f>
        <v>0.5</v>
      </c>
      <c r="H35">
        <f>COUNTIFS('remet-LZ'!Q42:'remet-LZ'!Q45,"&gt;100")/COUNT('remet-LZ'!Q42:'remet-LZ'!Q45)</f>
        <v>0</v>
      </c>
      <c r="I35">
        <f>COUNTIF('remet-LZ'!BH42:'remet-LZ'!BH45,"&lt;=0.3")/COUNT('remet-LZ'!BH42:'remet-LZ'!BP45)</f>
        <v>0</v>
      </c>
      <c r="J35">
        <f>COUNTIFS('remet-LZ'!BH42:'remet-LZ'!BH45,"&gt;0.3",'remet-LZ'!BH42:'remet-LZ'!BH45,"&lt;=0.7")/COUNT('remet-LZ'!BH42:'remet-LZ'!BH45)</f>
        <v>0</v>
      </c>
      <c r="K35">
        <f>COUNTIFS('remet-LZ'!BH42:'remet-LZ'!BH45,"&gt;0.7",'remet-LZ'!BH42:'remet-LZ'!BH45,"&lt;=1.0")/COUNT('remet-LZ'!BH42:'remet-LZ'!BH45)</f>
        <v>0</v>
      </c>
      <c r="L35">
        <f>COUNTIFS('remet-LZ'!BH42:'remet-LZ'!BH45,"&gt;1.0",'remet-LZ'!BH42:'remet-LZ'!BH45,"&lt;=3.0")/COUNT('remet-LZ'!BH42:'remet-LZ'!BH45)</f>
        <v>0.75</v>
      </c>
      <c r="M35">
        <f>COUNTIFS('remet-LZ'!BH42:'remet-LZ'!BH45,"&gt;3")/COUNT('remet-LZ'!BH42:'remet-LZ'!BH45)</f>
        <v>0.25</v>
      </c>
      <c r="N35" s="64">
        <f>('remet-LZ'!AM42)</f>
        <v>0.11</v>
      </c>
      <c r="O35">
        <f>COUNTIF('remet-LZ'!Y42:'remet-LZ'!Y45,"=1")/COUNT('remet-LZ'!Y42:'remet-LZ'!Y45)</f>
        <v>0.25</v>
      </c>
      <c r="P35">
        <f>COUNTIF('remet-LZ'!Y42:'remet-LZ'!Y45,"&gt;1")/COUNT('remet-LZ'!Y42:'remet-LZ'!Y45)</f>
        <v>0.75</v>
      </c>
      <c r="Q35" t="s">
        <v>3589</v>
      </c>
      <c r="R35" t="s">
        <v>3583</v>
      </c>
      <c r="S35">
        <v>0</v>
      </c>
      <c r="T35">
        <v>0</v>
      </c>
    </row>
    <row r="36" spans="1:20" ht="17">
      <c r="A36" t="str">
        <f>('remet-LZ'!E46)</f>
        <v>Cyanobacteria</v>
      </c>
      <c r="B36" t="str">
        <f>('remet-LZ'!I46)</f>
        <v>Planktolyngbya</v>
      </c>
      <c r="C36" s="53" t="s">
        <v>3650</v>
      </c>
      <c r="E36">
        <f>COUNTIF('remet-LZ'!Q46,"&lt;=10")</f>
        <v>1</v>
      </c>
      <c r="F36">
        <f>COUNTIFS('remet-LZ'!Q46,"&gt;10",'remet-LZ'!Q46,"&lt;=25")</f>
        <v>0</v>
      </c>
      <c r="G36">
        <f>COUNTIFS('remet-LZ'!Q46,"&gt;25",'remet-LZ'!Q46,"&lt;=100")</f>
        <v>0</v>
      </c>
      <c r="H36">
        <f>COUNTIFS('remet-LZ'!Q46,"&gt;100")</f>
        <v>0</v>
      </c>
      <c r="I36" s="68">
        <f>COUNTIF('remet-LZ'!BH46,"&lt;=0.3")</f>
        <v>1</v>
      </c>
      <c r="J36" s="68">
        <f>COUNTIFS('remet-LZ'!BH46,"&gt;0.3",'remet-LZ'!BH46,"&lt;=0.7")</f>
        <v>0</v>
      </c>
      <c r="K36" s="68">
        <f>COUNTIFS('remet-LZ'!BH46,"&gt;0.7",'remet-LZ'!BH46,"&lt;=1.0")</f>
        <v>0</v>
      </c>
      <c r="L36" s="68">
        <f>COUNTIFS('remet-LZ'!BH46,"&gt;1.0",'remet-LZ'!BH46,"&lt;=3.0")</f>
        <v>0</v>
      </c>
      <c r="M36" s="68">
        <f>COUNTIF('remet-LZ'!BH46,"&gt;3.0")</f>
        <v>0</v>
      </c>
      <c r="N36" s="64">
        <f>('remet-LZ'!AM46)</f>
        <v>0.22</v>
      </c>
      <c r="O36">
        <f>COUNTIF('remet-LZ'!Y46,"=1")</f>
        <v>0</v>
      </c>
      <c r="P36">
        <f>COUNTIF('remet-LZ'!Y46,"&gt;1")</f>
        <v>1</v>
      </c>
      <c r="Q36" t="s">
        <v>3589</v>
      </c>
      <c r="R36" t="s">
        <v>3583</v>
      </c>
      <c r="S36">
        <v>0</v>
      </c>
      <c r="T36">
        <v>0</v>
      </c>
    </row>
    <row r="37" spans="1:20" ht="17">
      <c r="A37" t="str">
        <f>('remet-LZ'!E47)</f>
        <v>Chlorophyta</v>
      </c>
      <c r="B37" t="str">
        <f>('remet-LZ'!I47)</f>
        <v>Coelastrum</v>
      </c>
      <c r="C37" s="53" t="s">
        <v>3651</v>
      </c>
      <c r="E37">
        <f>COUNTIF('remet-LZ'!Q47,"&lt;=10")</f>
        <v>0</v>
      </c>
      <c r="F37">
        <f>COUNTIFS('remet-LZ'!Q47,"&gt;10",'remet-LZ'!Q47,"&lt;=25")</f>
        <v>1</v>
      </c>
      <c r="G37">
        <f>COUNTIFS('remet-LZ'!Q47,"&gt;25",'remet-LZ'!Q47,"&lt;=100")</f>
        <v>0</v>
      </c>
      <c r="H37">
        <f>COUNTIFS('remet-LZ'!Q47,"&gt;100")</f>
        <v>0</v>
      </c>
      <c r="I37" s="68">
        <f>COUNTIF('remet-LZ'!BH47,"&lt;=0.3")</f>
        <v>0</v>
      </c>
      <c r="J37" s="68">
        <f>COUNTIFS('remet-LZ'!BH47,"&gt;0.3",'remet-LZ'!BH47,"&lt;=0.7")</f>
        <v>1</v>
      </c>
      <c r="K37" s="68">
        <f>COUNTIFS('remet-LZ'!BH47,"&gt;0.7",'remet-LZ'!BH47,"&lt;=1.0")</f>
        <v>0</v>
      </c>
      <c r="L37" s="68">
        <f>COUNTIFS('remet-LZ'!BH47,"&gt;1.0",'remet-LZ'!BH47,"&lt;=3.0")</f>
        <v>0</v>
      </c>
      <c r="M37" s="68">
        <f>COUNTIF('remet-LZ'!BH47,"&gt;3.0")</f>
        <v>0</v>
      </c>
      <c r="N37" s="64">
        <f>('remet-LZ'!AM47)</f>
        <v>0.16</v>
      </c>
      <c r="O37">
        <f>COUNTIF('remet-LZ'!Y47,"=1")</f>
        <v>1</v>
      </c>
      <c r="P37">
        <f>COUNTIF('remet-LZ'!Y47,"&gt;1")</f>
        <v>0</v>
      </c>
      <c r="Q37" t="s">
        <v>3589</v>
      </c>
      <c r="R37" t="s">
        <v>3583</v>
      </c>
      <c r="S37">
        <v>0</v>
      </c>
      <c r="T37">
        <v>0</v>
      </c>
    </row>
    <row r="38" spans="1:20" ht="17">
      <c r="A38" t="str">
        <f>('remet-LZ'!E48)</f>
        <v>Bacillariophyta</v>
      </c>
      <c r="B38" t="str">
        <f>('remet-LZ'!I48)</f>
        <v>Cyclotella</v>
      </c>
      <c r="C38" s="53" t="s">
        <v>3652</v>
      </c>
      <c r="E38">
        <f>COUNTIF('remet-LZ'!Q48,"&lt;=10")</f>
        <v>1</v>
      </c>
      <c r="F38">
        <f>COUNTIFS('remet-LZ'!Q48,"&gt;10",'remet-LZ'!Q48,"&lt;=25")</f>
        <v>0</v>
      </c>
      <c r="G38">
        <f>COUNTIFS('remet-LZ'!Q48,"&gt;25",'remet-LZ'!Q48,"&lt;=100")</f>
        <v>0</v>
      </c>
      <c r="H38">
        <f>COUNTIFS('remet-LZ'!Q48,"&gt;100")</f>
        <v>0</v>
      </c>
      <c r="I38" s="68">
        <f>COUNTIF('remet-LZ'!BH48,"&lt;=0.3")</f>
        <v>0</v>
      </c>
      <c r="J38" s="68">
        <f>COUNTIFS('remet-LZ'!BH48,"&gt;0.3",'remet-LZ'!BH48,"&lt;=0.7")</f>
        <v>0</v>
      </c>
      <c r="K38" s="68">
        <f>COUNTIFS('remet-LZ'!BH48,"&gt;0.7",'remet-LZ'!BH48,"&lt;=1.0")</f>
        <v>0</v>
      </c>
      <c r="L38" s="68">
        <f>COUNTIFS('remet-LZ'!BH48,"&gt;1.0",'remet-LZ'!BH48,"&lt;=3.0")</f>
        <v>1</v>
      </c>
      <c r="M38" s="68">
        <f>COUNTIF('remet-LZ'!BH48,"&gt;3.0")</f>
        <v>0</v>
      </c>
      <c r="N38" s="64">
        <f>('remet-LZ'!AM48)</f>
        <v>0.11</v>
      </c>
      <c r="O38">
        <f>COUNTIF('remet-LZ'!Y48,"=1")</f>
        <v>1</v>
      </c>
      <c r="P38">
        <f>COUNTIF('remet-LZ'!Y48,"&gt;1")</f>
        <v>0</v>
      </c>
      <c r="Q38" t="s">
        <v>3589</v>
      </c>
      <c r="R38" t="s">
        <v>3584</v>
      </c>
      <c r="S38">
        <v>0</v>
      </c>
      <c r="T38">
        <v>1</v>
      </c>
    </row>
    <row r="39" spans="1:20" ht="17">
      <c r="A39" t="str">
        <f>('remet-LZ'!E49)</f>
        <v>Bacillariophyta</v>
      </c>
      <c r="B39" t="str">
        <f>('remet-LZ'!I49)</f>
        <v>Gomphonema</v>
      </c>
      <c r="C39" s="53" t="s">
        <v>3653</v>
      </c>
      <c r="E39">
        <f>COUNTIF('remet-LZ'!Q49,"&lt;=10")</f>
        <v>0</v>
      </c>
      <c r="F39">
        <f>COUNTIFS('remet-LZ'!Q49,"&gt;10",'remet-LZ'!Q49,"&lt;=25")</f>
        <v>0</v>
      </c>
      <c r="G39">
        <f>COUNTIFS('remet-LZ'!Q49,"&gt;25",'remet-LZ'!Q49,"&lt;=100")</f>
        <v>1</v>
      </c>
      <c r="H39">
        <f>COUNTIFS('remet-LZ'!Q49,"&gt;100")</f>
        <v>0</v>
      </c>
      <c r="I39" s="68">
        <f>COUNTIF('remet-LZ'!BH49,"&lt;=0.3")</f>
        <v>0</v>
      </c>
      <c r="J39" s="68">
        <f>COUNTIFS('remet-LZ'!BH49,"&gt;0.3",'remet-LZ'!BH49,"&lt;=0.7")</f>
        <v>0</v>
      </c>
      <c r="K39" s="68">
        <f>COUNTIFS('remet-LZ'!BH49,"&gt;0.7",'remet-LZ'!BH49,"&lt;=1.0")</f>
        <v>1</v>
      </c>
      <c r="L39" s="68">
        <f>COUNTIFS('remet-LZ'!BH49,"&gt;1.0",'remet-LZ'!BH49,"&lt;=3.0")</f>
        <v>0</v>
      </c>
      <c r="M39" s="68">
        <f>COUNTIF('remet-LZ'!BH49,"&gt;3.0")</f>
        <v>0</v>
      </c>
      <c r="N39" s="64">
        <f>('remet-LZ'!AM49)</f>
        <v>0.11</v>
      </c>
      <c r="O39">
        <f>COUNTIF('remet-LZ'!Y49,"=1")</f>
        <v>1</v>
      </c>
      <c r="P39">
        <f>COUNTIF('remet-LZ'!Y49,"&gt;1")</f>
        <v>0</v>
      </c>
      <c r="Q39" t="s">
        <v>3586</v>
      </c>
      <c r="R39" t="s">
        <v>3584</v>
      </c>
      <c r="S39">
        <v>0</v>
      </c>
      <c r="T39">
        <v>1</v>
      </c>
    </row>
    <row r="40" spans="1:20" ht="17">
      <c r="A40" t="str">
        <f>('remet-LZ'!E50)</f>
        <v>Charophyta</v>
      </c>
      <c r="B40" t="str">
        <f>('remet-LZ'!I50)</f>
        <v>Cosmarium</v>
      </c>
      <c r="C40" s="53" t="s">
        <v>3654</v>
      </c>
      <c r="E40">
        <f>COUNTIF('remet-LZ'!Q50:'remet-LZ'!Q52,"&lt;=10")/COUNT('remet-LZ'!Q50:'remet-LZ'!Q52)</f>
        <v>0</v>
      </c>
      <c r="F40">
        <f>COUNTIFS('remet-LZ'!Q50:'remet-LZ'!Q52,"&gt;10",'remet-LZ'!Q50:'remet-LZ'!Q52,"&lt;=25")/COUNT('remet-LZ'!Q50:'remet-LZ'!Q52)</f>
        <v>0.33333333333333331</v>
      </c>
      <c r="G40">
        <f>COUNTIFS('remet-LZ'!Q50:'remet-LZ'!Q52,"&gt;25",'remet-LZ'!Q50:'remet-LZ'!Q52,"&lt;=100")/COUNT('remet-LZ'!Q50:'remet-LZ'!Q52)</f>
        <v>0.66666666666666663</v>
      </c>
      <c r="H40">
        <f>COUNTIFS('remet-LZ'!Q50:'remet-LZ'!Q52,"&gt;100")/COUNT('remet-LZ'!Q50:'remet-LZ'!Q52)</f>
        <v>0</v>
      </c>
      <c r="I40">
        <f>COUNTIF('remet-LZ'!BH50:'remet-LZ'!BH52,"&lt;=0.3")/COUNT('remet-LZ'!BH50:'remet-LZ'!BP52)</f>
        <v>0</v>
      </c>
      <c r="J40">
        <f>COUNTIFS('remet-LZ'!BH50:'remet-LZ'!BH52,"&gt;0.3",'remet-LZ'!BH50:'remet-LZ'!BH52,"&lt;=0.7")/COUNT('remet-LZ'!BH50:'remet-LZ'!BH52)</f>
        <v>0.66666666666666663</v>
      </c>
      <c r="K40">
        <f>COUNTIFS('remet-LZ'!BH50:'remet-LZ'!BH52,"&gt;0.7",'remet-LZ'!BH50:'remet-LZ'!BH52,"&lt;=1.0")/COUNT('remet-LZ'!BH50:'remet-LZ'!BH52)</f>
        <v>0</v>
      </c>
      <c r="L40">
        <f>COUNTIFS('remet-LZ'!BH50:'remet-LZ'!BH52,"&gt;1.0",'remet-LZ'!BH50:'remet-LZ'!BH52,"&lt;=3.0")/COUNT('remet-LZ'!BH50:'remet-LZ'!BH52)</f>
        <v>0.33333333333333331</v>
      </c>
      <c r="M40">
        <f>COUNTIFS('remet-LZ'!BH50:'remet-LZ'!BH52,"&gt;3")/COUNT('remet-LZ'!BH50:'remet-LZ'!BH52)</f>
        <v>0</v>
      </c>
      <c r="N40" s="64">
        <f>('remet-LZ'!AM50)</f>
        <v>0.11</v>
      </c>
      <c r="O40">
        <f>COUNTIF('remet-LZ'!Y50:'remet-LZ'!Y52,"=1")/COUNT('remet-LZ'!Y50:'remet-LZ'!Y52)</f>
        <v>1</v>
      </c>
      <c r="P40">
        <f>COUNTIF('remet-LZ'!Y50:'remet-LZ'!Y52,"&gt;1")/COUNT('remet-LZ'!Y50:'remet-LZ'!Y52)</f>
        <v>0</v>
      </c>
      <c r="Q40" t="s">
        <v>3589</v>
      </c>
      <c r="R40" t="s">
        <v>3583</v>
      </c>
      <c r="S40">
        <v>0</v>
      </c>
      <c r="T40">
        <v>0</v>
      </c>
    </row>
    <row r="41" spans="1:20" ht="17">
      <c r="A41" t="str">
        <f>('remet-LZ'!E53)</f>
        <v>Bacillariophyta</v>
      </c>
      <c r="B41" t="str">
        <f>('remet-LZ'!I53)</f>
        <v>Eunotia</v>
      </c>
      <c r="C41" s="53" t="s">
        <v>3655</v>
      </c>
      <c r="E41">
        <f>COUNTIF('remet-LZ'!Q53,"&lt;=10")</f>
        <v>0</v>
      </c>
      <c r="F41">
        <f>COUNTIFS('remet-LZ'!Q53,"&gt;10",'remet-LZ'!Q53,"&lt;=25")</f>
        <v>0</v>
      </c>
      <c r="G41">
        <f>COUNTIFS('remet-LZ'!Q53,"&gt;25",'remet-LZ'!Q53,"&lt;=100")</f>
        <v>1</v>
      </c>
      <c r="H41">
        <f>COUNTIFS('remet-LZ'!Q53,"&gt;100")</f>
        <v>0</v>
      </c>
      <c r="I41" s="68">
        <f>COUNTIF('remet-LZ'!BH53,"&lt;=0.3")</f>
        <v>0</v>
      </c>
      <c r="J41" s="68">
        <f>COUNTIFS('remet-LZ'!BH53,"&gt;0.3",'remet-LZ'!BH53,"&lt;=0.7")</f>
        <v>0</v>
      </c>
      <c r="K41" s="68">
        <f>COUNTIFS('remet-LZ'!BH53,"&gt;0.7",'remet-LZ'!BH53,"&lt;=1.0")</f>
        <v>1</v>
      </c>
      <c r="L41" s="68">
        <f>COUNTIFS('remet-LZ'!BH53,"&gt;1.0",'remet-LZ'!BH53,"&lt;=3.0")</f>
        <v>0</v>
      </c>
      <c r="M41" s="68">
        <f>COUNTIF('remet-LZ'!BH53,"&gt;3.0")</f>
        <v>0</v>
      </c>
      <c r="N41" s="64">
        <f>('remet-LZ'!AM53)</f>
        <v>0.11</v>
      </c>
      <c r="O41">
        <f>COUNTIF('remet-LZ'!Y53,"=1")</f>
        <v>1</v>
      </c>
      <c r="P41">
        <f>COUNTIF('remet-LZ'!Y53,"&gt;1")</f>
        <v>0</v>
      </c>
      <c r="Q41" t="s">
        <v>3586</v>
      </c>
      <c r="R41" t="s">
        <v>3584</v>
      </c>
      <c r="S41">
        <v>0</v>
      </c>
      <c r="T41">
        <v>1</v>
      </c>
    </row>
    <row r="42" spans="1:20" ht="17">
      <c r="A42" t="str">
        <f>('remet-LZ'!E54)</f>
        <v>Bacillariophyta</v>
      </c>
      <c r="B42" t="str">
        <f>('remet-LZ'!I54)</f>
        <v>Fragilaria</v>
      </c>
      <c r="C42" s="53" t="s">
        <v>3656</v>
      </c>
      <c r="E42">
        <f>COUNTIF('remet-LZ'!Q54:'remet-LZ'!Q55,"&lt;=10")/COUNT('remet-LZ'!Q54:'remet-LZ'!Q55)</f>
        <v>0</v>
      </c>
      <c r="F42">
        <f>COUNTIFS('remet-LZ'!Q54:'remet-LZ'!Q55,"&gt;10",'remet-LZ'!Q54:'remet-LZ'!Q55,"&lt;=25")/COUNT('remet-LZ'!Q54:'remet-LZ'!Q55)</f>
        <v>0</v>
      </c>
      <c r="G42">
        <f>COUNTIFS('remet-LZ'!Q54:'remet-LZ'!Q55,"&gt;25",'remet-LZ'!Q54:'remet-LZ'!Q55,"&lt;=100")/COUNT('remet-LZ'!Q54:'remet-LZ'!Q55)</f>
        <v>1</v>
      </c>
      <c r="H42">
        <f>COUNTIFS('remet-LZ'!Q54:'remet-LZ'!Q55,"&gt;100")/COUNT('remet-LZ'!Q54:'remet-LZ'!Q55)</f>
        <v>0</v>
      </c>
      <c r="I42">
        <f>COUNTIF('remet-LZ'!BH54:'remet-LZ'!BH55,"&lt;=0.3")/COUNT('remet-LZ'!BH54:'remet-LZ'!BP55)</f>
        <v>1</v>
      </c>
      <c r="J42">
        <f>COUNTIFS('remet-LZ'!BH54:'remet-LZ'!BH55,"&gt;0.3",'remet-LZ'!BH54:'remet-LZ'!BH55,"&lt;=0.7")/COUNT('remet-LZ'!BH54:'remet-LZ'!BH55)</f>
        <v>0</v>
      </c>
      <c r="K42">
        <f>COUNTIFS('remet-LZ'!BH54:'remet-LZ'!BH55,"&gt;0.7",'remet-LZ'!BH54:'remet-LZ'!BH55,"&lt;=1.0")/COUNT('remet-LZ'!BH54:'remet-LZ'!BH55)</f>
        <v>0</v>
      </c>
      <c r="L42">
        <f>COUNTIFS('remet-LZ'!BH54:'remet-LZ'!BH55,"&gt;1.0",'remet-LZ'!BH54:'remet-LZ'!BH55,"&lt;=3.0")/COUNT('remet-LZ'!BH54:'remet-LZ'!BH55)</f>
        <v>0</v>
      </c>
      <c r="M42">
        <f>COUNTIFS('remet-LZ'!BH54:'remet-LZ'!BH55,"&gt;3")/COUNT('remet-LZ'!BH54:'remet-LZ'!BH55)</f>
        <v>0</v>
      </c>
      <c r="N42" s="64">
        <f>('remet-LZ'!AM54)</f>
        <v>0.11</v>
      </c>
      <c r="O42">
        <f>COUNTIF('remet-LZ'!Y54:'remet-LZ'!Y55,"=1")/COUNT('remet-LZ'!Y54:'remet-LZ'!Y55)</f>
        <v>1</v>
      </c>
      <c r="P42">
        <f>COUNTIF('remet-LZ'!Y54:'remet-LZ'!Y55,"&gt;1")/COUNT('remet-LZ'!Y54:'remet-LZ'!Y55)</f>
        <v>0</v>
      </c>
      <c r="Q42" t="s">
        <v>3589</v>
      </c>
      <c r="R42" t="s">
        <v>3583</v>
      </c>
      <c r="S42">
        <v>0</v>
      </c>
      <c r="T42">
        <v>1</v>
      </c>
    </row>
    <row r="43" spans="1:20" ht="17">
      <c r="A43" t="str">
        <f>('remet-LZ'!E57)</f>
        <v>Bacillariophyta</v>
      </c>
      <c r="B43" t="str">
        <f>('remet-LZ'!I57)</f>
        <v>Nitzschia</v>
      </c>
      <c r="C43" s="53" t="s">
        <v>3657</v>
      </c>
      <c r="E43">
        <f>COUNTIF('remet-LZ'!Q57,"&lt;=10")</f>
        <v>0</v>
      </c>
      <c r="F43">
        <f>COUNTIFS('remet-LZ'!Q57,"&gt;10",'remet-LZ'!Q57,"&lt;=25")</f>
        <v>0</v>
      </c>
      <c r="G43">
        <f>COUNTIFS('remet-LZ'!Q57,"&gt;25",'remet-LZ'!Q57,"&lt;=100")</f>
        <v>0</v>
      </c>
      <c r="H43">
        <f>COUNTIFS('remet-LZ'!Q57,"&gt;100")</f>
        <v>1</v>
      </c>
      <c r="I43" s="68">
        <f>COUNTIF('remet-LZ'!BH57,"&lt;=0.3")</f>
        <v>0</v>
      </c>
      <c r="J43" s="68">
        <f>COUNTIFS('remet-LZ'!BH57,"&gt;0.3",'remet-LZ'!BH57,"&lt;=0.7")</f>
        <v>0</v>
      </c>
      <c r="K43" s="68">
        <f>COUNTIFS('remet-LZ'!BH57,"&gt;0.7",'remet-LZ'!BH57,"&lt;=1.0")</f>
        <v>0</v>
      </c>
      <c r="L43" s="68">
        <f>COUNTIFS('remet-LZ'!BH57,"&gt;1.0",'remet-LZ'!BH57,"&lt;=3.0")</f>
        <v>1</v>
      </c>
      <c r="M43" s="68">
        <f>COUNTIF('remet-LZ'!BH57,"&gt;3.0")</f>
        <v>0</v>
      </c>
      <c r="N43" s="64">
        <f>('remet-LZ'!AM57)</f>
        <v>0.11</v>
      </c>
      <c r="O43">
        <f>COUNTIF('remet-LZ'!Y57,"=1")</f>
        <v>1</v>
      </c>
      <c r="P43">
        <f>COUNTIF('remet-LZ'!Y57,"&gt;1")</f>
        <v>0</v>
      </c>
      <c r="Q43" t="s">
        <v>3586</v>
      </c>
      <c r="R43" t="s">
        <v>3584</v>
      </c>
      <c r="S43">
        <v>0</v>
      </c>
      <c r="T43">
        <v>1</v>
      </c>
    </row>
    <row r="44" spans="1:20" ht="17">
      <c r="A44" t="str">
        <f>('remet-LZ'!E58)</f>
        <v>Bacillariophyta</v>
      </c>
      <c r="B44" t="str">
        <f>('remet-LZ'!I58)</f>
        <v>Fragilaria</v>
      </c>
      <c r="C44" s="53" t="s">
        <v>3658</v>
      </c>
      <c r="E44">
        <f>COUNTIF('remet-LZ'!Q58,"&lt;=10")</f>
        <v>0</v>
      </c>
      <c r="F44">
        <f>COUNTIFS('remet-LZ'!Q58,"&gt;10",'remet-LZ'!Q58,"&lt;=25")</f>
        <v>0</v>
      </c>
      <c r="G44">
        <f>COUNTIFS('remet-LZ'!Q58,"&gt;25",'remet-LZ'!Q58,"&lt;=100")</f>
        <v>1</v>
      </c>
      <c r="H44">
        <f>COUNTIFS('remet-LZ'!Q58,"&gt;100")</f>
        <v>0</v>
      </c>
      <c r="I44" s="68">
        <f>COUNTIF('remet-LZ'!BH58,"&lt;=0.3")</f>
        <v>0</v>
      </c>
      <c r="J44" s="68">
        <f>COUNTIFS('remet-LZ'!BH58,"&gt;0.3",'remet-LZ'!BH58,"&lt;=0.7")</f>
        <v>1</v>
      </c>
      <c r="K44" s="68">
        <f>COUNTIFS('remet-LZ'!BH58,"&gt;0.7",'remet-LZ'!BH58,"&lt;=1.0")</f>
        <v>0</v>
      </c>
      <c r="L44" s="68">
        <f>COUNTIFS('remet-LZ'!BH58,"&gt;1.0",'remet-LZ'!BH58,"&lt;=3.0")</f>
        <v>0</v>
      </c>
      <c r="M44" s="68">
        <f>COUNTIF('remet-LZ'!BH58,"&gt;3.0")</f>
        <v>0</v>
      </c>
      <c r="N44" s="64">
        <f>('remet-LZ'!AM58)</f>
        <v>0.11</v>
      </c>
      <c r="O44">
        <f>COUNTIF('remet-LZ'!Y58,"=1")</f>
        <v>1</v>
      </c>
      <c r="P44">
        <f>COUNTIF('remet-LZ'!Y58,"&gt;1")</f>
        <v>0</v>
      </c>
      <c r="Q44" t="s">
        <v>3589</v>
      </c>
      <c r="R44" t="s">
        <v>3584</v>
      </c>
      <c r="S44">
        <v>0</v>
      </c>
      <c r="T44">
        <v>1</v>
      </c>
    </row>
    <row r="45" spans="1:20" ht="17">
      <c r="A45" t="str">
        <f>('remet-LZ'!E59)</f>
        <v>Bacillariophyta</v>
      </c>
      <c r="B45" t="str">
        <f>('remet-LZ'!I59)</f>
        <v>Ulnaria</v>
      </c>
      <c r="C45" s="53" t="s">
        <v>3659</v>
      </c>
      <c r="E45">
        <f>COUNTIF('remet-LZ'!Q59,"&lt;=10")</f>
        <v>0</v>
      </c>
      <c r="F45">
        <f>COUNTIFS('remet-LZ'!Q59,"&gt;10",'remet-LZ'!Q59,"&lt;=25")</f>
        <v>0</v>
      </c>
      <c r="G45">
        <f>COUNTIFS('remet-LZ'!Q59,"&gt;25",'remet-LZ'!Q59,"&lt;=100")</f>
        <v>0</v>
      </c>
      <c r="H45">
        <f>COUNTIFS('remet-LZ'!Q59,"&gt;100")</f>
        <v>1</v>
      </c>
      <c r="I45" s="68">
        <f>COUNTIF('remet-LZ'!BH59,"&lt;=0.3")</f>
        <v>0</v>
      </c>
      <c r="J45" s="68">
        <f>COUNTIFS('remet-LZ'!BH59,"&gt;0.3",'remet-LZ'!BH59,"&lt;=0.7")</f>
        <v>0</v>
      </c>
      <c r="K45" s="68">
        <f>COUNTIFS('remet-LZ'!BH59,"&gt;0.7",'remet-LZ'!BH59,"&lt;=1.0")</f>
        <v>1</v>
      </c>
      <c r="L45" s="68">
        <f>COUNTIFS('remet-LZ'!BH59,"&gt;1.0",'remet-LZ'!BH59,"&lt;=3.0")</f>
        <v>0</v>
      </c>
      <c r="M45" s="68">
        <f>COUNTIF('remet-LZ'!BH59,"&gt;3.0")</f>
        <v>0</v>
      </c>
      <c r="N45" s="64">
        <f>('remet-LZ'!AM59)</f>
        <v>0.11</v>
      </c>
      <c r="O45">
        <f>COUNTIF('remet-LZ'!Y59,"=1")</f>
        <v>1</v>
      </c>
      <c r="P45">
        <f>COUNTIF('remet-LZ'!Y59,"&gt;1")</f>
        <v>0</v>
      </c>
      <c r="Q45" t="s">
        <v>3589</v>
      </c>
      <c r="R45" t="s">
        <v>3584</v>
      </c>
      <c r="S45">
        <v>0</v>
      </c>
      <c r="T45">
        <v>1</v>
      </c>
    </row>
    <row r="46" spans="1:20" ht="17">
      <c r="A46" t="str">
        <f>('remet-LZ'!E60)</f>
        <v>Chlorophyta</v>
      </c>
      <c r="B46" t="str">
        <f>('remet-LZ'!I60)</f>
        <v>Pandorina</v>
      </c>
      <c r="C46" s="53" t="s">
        <v>3660</v>
      </c>
      <c r="E46">
        <f>COUNTIF('remet-LZ'!Q60:'remet-LZ'!Q61,"&lt;=10")/COUNT('remet-LZ'!Q60:'remet-LZ'!Q61)</f>
        <v>0</v>
      </c>
      <c r="F46">
        <f>COUNTIFS('remet-LZ'!Q60:'remet-LZ'!Q61,"&gt;10",'remet-LZ'!Q60:'remet-LZ'!Q61,"&lt;=25")/COUNT('remet-LZ'!Q60:'remet-LZ'!Q61)</f>
        <v>1</v>
      </c>
      <c r="G46">
        <f>COUNTIFS('remet-LZ'!Q60:'remet-LZ'!Q61,"&gt;25",'remet-LZ'!Q60:'remet-LZ'!Q61,"&lt;=100")/COUNT('remet-LZ'!Q60:'remet-LZ'!Q61)</f>
        <v>0</v>
      </c>
      <c r="H46">
        <f>COUNTIFS('remet-LZ'!Q60:'remet-LZ'!Q61,"&gt;100")/COUNT('remet-LZ'!Q60:'remet-LZ'!Q61)</f>
        <v>0</v>
      </c>
      <c r="I46">
        <f>COUNTIF('remet-LZ'!BH60:'remet-LZ'!BH61,"&lt;=0.3")/COUNT('remet-LZ'!BH60:'remet-LZ'!BP61)</f>
        <v>0</v>
      </c>
      <c r="J46">
        <f>COUNTIFS('remet-LZ'!BH60:'remet-LZ'!BH61,"&gt;0.3",'remet-LZ'!BH60:'remet-LZ'!BH61,"&lt;=0.7")/COUNT('remet-LZ'!BH60:'remet-LZ'!BH61)</f>
        <v>0.5</v>
      </c>
      <c r="K46">
        <f>COUNTIFS('remet-LZ'!BH60:'remet-LZ'!BH61,"&gt;0.7",'remet-LZ'!BH60:'remet-LZ'!BH61,"&lt;=1.0")/COUNT('remet-LZ'!BH60:'remet-LZ'!BH61)</f>
        <v>0.5</v>
      </c>
      <c r="L46">
        <f>COUNTIFS('remet-LZ'!BH60:'remet-LZ'!BH61,"&gt;1.0",'remet-LZ'!BH60:'remet-LZ'!BH61,"&lt;=3.0")/COUNT('remet-LZ'!BH60:'remet-LZ'!BH61)</f>
        <v>0</v>
      </c>
      <c r="M46">
        <f>COUNTIFS('remet-LZ'!BH60:'remet-LZ'!BH61,"&gt;3")/COUNT('remet-LZ'!BH60:'remet-LZ'!BH61)</f>
        <v>0</v>
      </c>
      <c r="N46" s="64">
        <f>('remet-LZ'!AM60)</f>
        <v>0.16</v>
      </c>
      <c r="O46">
        <f>COUNTIF('remet-LZ'!Y60:'remet-LZ'!Y61,"=1")/COUNT('remet-LZ'!Y60:'remet-LZ'!Y61)</f>
        <v>0</v>
      </c>
      <c r="P46">
        <f>COUNTIF('remet-LZ'!Y60:'remet-LZ'!Y61,"&gt;1")/COUNT('remet-LZ'!Y60:'remet-LZ'!Y61)</f>
        <v>1</v>
      </c>
      <c r="Q46" t="s">
        <v>3587</v>
      </c>
      <c r="R46" t="s">
        <v>3583</v>
      </c>
      <c r="S46">
        <v>0</v>
      </c>
      <c r="T46">
        <v>0</v>
      </c>
    </row>
    <row r="47" spans="1:20" ht="17">
      <c r="A47" t="str">
        <f>('remet-LZ'!E62)</f>
        <v>Cyanobacteria</v>
      </c>
      <c r="B47" t="str">
        <f>('remet-LZ'!I62)</f>
        <v>Anabaena</v>
      </c>
      <c r="C47" s="53" t="s">
        <v>3661</v>
      </c>
      <c r="D47" s="77" t="s">
        <v>3705</v>
      </c>
      <c r="E47">
        <f>COUNTIF('remet-LZ'!Q62:'remet-LZ'!Q64,"&lt;=10")/COUNT('remet-LZ'!Q62:'remet-LZ'!Q64)</f>
        <v>1</v>
      </c>
      <c r="F47">
        <f>COUNTIFS('remet-LZ'!Q62:'remet-LZ'!Q64,"&gt;10",'remet-LZ'!Q62:'remet-LZ'!Q64,"&lt;=25")/COUNT('remet-LZ'!Q62:'remet-LZ'!Q64)</f>
        <v>0</v>
      </c>
      <c r="G47">
        <f>COUNTIFS('remet-LZ'!Q62:'remet-LZ'!Q64,"&gt;25",'remet-LZ'!Q62:'remet-LZ'!Q64,"&lt;=100")/COUNT('remet-LZ'!Q62:'remet-LZ'!Q64)</f>
        <v>0</v>
      </c>
      <c r="H47">
        <f>COUNTIFS('remet-LZ'!Q62:'remet-LZ'!Q64,"&gt;100")/COUNT('remet-LZ'!Q62:'remet-LZ'!Q64)</f>
        <v>0</v>
      </c>
      <c r="I47">
        <f>COUNTIF('remet-LZ'!BH62:'remet-LZ'!BH64,"&lt;=0.3")/COUNT('remet-LZ'!BH62:'remet-LZ'!BP64)</f>
        <v>1</v>
      </c>
      <c r="J47">
        <f>COUNTIFS('remet-LZ'!BH62:'remet-LZ'!BH64,"&gt;0.3",'remet-LZ'!BH62:'remet-LZ'!BH64,"&lt;=0.7")/COUNT('remet-LZ'!BH62:'remet-LZ'!BH64)</f>
        <v>0</v>
      </c>
      <c r="K47">
        <f>COUNTIFS('remet-LZ'!BH62:'remet-LZ'!BH64,"&gt;0.7",'remet-LZ'!BH62:'remet-LZ'!BH64,"&lt;=1.0")/COUNT('remet-LZ'!BH62:'remet-LZ'!BH64)</f>
        <v>0</v>
      </c>
      <c r="L47">
        <f>COUNTIFS('remet-LZ'!BH62:'remet-LZ'!BH64,"&gt;1.0",'remet-LZ'!BH62:'remet-LZ'!BH64,"&lt;=3.0")/COUNT('remet-LZ'!BH62:'remet-LZ'!BH64)</f>
        <v>0</v>
      </c>
      <c r="M47">
        <f>COUNTIFS('remet-LZ'!BH62:'remet-LZ'!BH64,"&gt;3")/COUNT('remet-LZ'!BH62:'remet-LZ'!BH64)</f>
        <v>0</v>
      </c>
      <c r="N47" s="64">
        <f>('remet-LZ'!AM62)</f>
        <v>0.22</v>
      </c>
      <c r="O47">
        <f>COUNTIF('remet-LZ'!Y62:'remet-LZ'!Y64,"=1")/COUNT('remet-LZ'!Y62:'remet-LZ'!Y64)</f>
        <v>0</v>
      </c>
      <c r="P47">
        <f>COUNTIF('remet-LZ'!Y62:'remet-LZ'!Y64,"&gt;1")/COUNT('remet-LZ'!Y62:'remet-LZ'!Y64)</f>
        <v>1</v>
      </c>
      <c r="Q47" t="s">
        <v>3589</v>
      </c>
      <c r="R47" t="s">
        <v>3583</v>
      </c>
      <c r="S47">
        <v>1</v>
      </c>
      <c r="T47">
        <v>0</v>
      </c>
    </row>
    <row r="48" spans="1:20" ht="17">
      <c r="C48" s="53" t="s">
        <v>3662</v>
      </c>
    </row>
    <row r="49" spans="1:20" ht="17">
      <c r="A49" t="str">
        <f>('remet-LZ'!E66)</f>
        <v xml:space="preserve">Myzozoa </v>
      </c>
      <c r="B49" t="str">
        <f>('remet-LZ'!I66)</f>
        <v>Ceratium</v>
      </c>
      <c r="C49" s="53" t="s">
        <v>3663</v>
      </c>
      <c r="E49">
        <f>COUNTIF('remet-LZ'!Q66,"&lt;=10")</f>
        <v>0</v>
      </c>
      <c r="F49">
        <f>COUNTIFS('remet-LZ'!Q66,"&gt;10",'remet-LZ'!Q66,"&lt;=25")</f>
        <v>0</v>
      </c>
      <c r="G49">
        <f>COUNTIFS('remet-LZ'!Q66,"&gt;25",'remet-LZ'!Q66,"&lt;=100")</f>
        <v>1</v>
      </c>
      <c r="H49">
        <f>COUNTIFS('remet-LZ'!Q66,"&gt;100")</f>
        <v>0</v>
      </c>
      <c r="I49" s="68">
        <f>COUNTIF('remet-LZ'!BH66,"&lt;=0.3")</f>
        <v>0</v>
      </c>
      <c r="J49" s="68">
        <f>COUNTIFS('remet-LZ'!BH66,"&gt;0.3",'remet-LZ'!BH66,"&lt;=0.7")</f>
        <v>0</v>
      </c>
      <c r="K49" s="68">
        <f>COUNTIFS('remet-LZ'!BH66,"&gt;0.7",'remet-LZ'!BH66,"&lt;=1.0")</f>
        <v>0</v>
      </c>
      <c r="L49" s="68">
        <f>COUNTIFS('remet-LZ'!BH66,"&gt;1.0",'remet-LZ'!BH66,"&lt;=3.0")</f>
        <v>1</v>
      </c>
      <c r="M49" s="68">
        <f>COUNTIF('remet-LZ'!BH66,"&gt;3.0")</f>
        <v>0</v>
      </c>
      <c r="N49" s="64">
        <f>('remet-LZ'!AM66)</f>
        <v>0.13</v>
      </c>
      <c r="O49">
        <f>COUNTIF('remet-LZ'!Y66,"=1")</f>
        <v>1</v>
      </c>
      <c r="P49">
        <f>COUNTIF('remet-LZ'!Y66,"&gt;1")</f>
        <v>0</v>
      </c>
      <c r="Q49" t="s">
        <v>3587</v>
      </c>
      <c r="R49" t="s">
        <v>3584</v>
      </c>
      <c r="S49">
        <v>0</v>
      </c>
      <c r="T49">
        <v>0</v>
      </c>
    </row>
    <row r="50" spans="1:20" ht="17">
      <c r="A50" t="str">
        <f>('remet-LZ'!E67)</f>
        <v>Chlorophyta</v>
      </c>
      <c r="B50" t="str">
        <f>('remet-LZ'!I67)</f>
        <v>Eutetramorus</v>
      </c>
      <c r="C50" s="53" t="s">
        <v>3664</v>
      </c>
      <c r="E50">
        <f>COUNTIF('remet-LZ'!Q67,"&lt;=10")</f>
        <v>1</v>
      </c>
      <c r="F50">
        <f>COUNTIFS('remet-LZ'!Q67,"&gt;10",'remet-LZ'!Q67,"&lt;=25")</f>
        <v>0</v>
      </c>
      <c r="G50">
        <f>COUNTIFS('remet-LZ'!Q67,"&gt;25",'remet-LZ'!Q67,"&lt;=100")</f>
        <v>0</v>
      </c>
      <c r="H50">
        <f>COUNTIFS('remet-LZ'!Q67,"&gt;100")</f>
        <v>0</v>
      </c>
      <c r="I50" s="68">
        <f>COUNTIF('remet-LZ'!BH67,"&lt;=0.3")</f>
        <v>0</v>
      </c>
      <c r="J50" s="68">
        <f>COUNTIFS('remet-LZ'!BH67,"&gt;0.3",'remet-LZ'!BH67,"&lt;=0.7")</f>
        <v>1</v>
      </c>
      <c r="K50" s="68">
        <f>COUNTIFS('remet-LZ'!BH67,"&gt;0.7",'remet-LZ'!BH67,"&lt;=1.0")</f>
        <v>0</v>
      </c>
      <c r="L50" s="68">
        <f>COUNTIFS('remet-LZ'!BH67,"&gt;1.0",'remet-LZ'!BH67,"&lt;=3.0")</f>
        <v>0</v>
      </c>
      <c r="M50" s="68">
        <f>COUNTIF('remet-LZ'!BH67,"&gt;3.0")</f>
        <v>0</v>
      </c>
      <c r="N50" s="64">
        <f>('remet-LZ'!AM67)</f>
        <v>0.16</v>
      </c>
      <c r="O50">
        <f>COUNTIF('remet-LZ'!Y67,"=1")</f>
        <v>0</v>
      </c>
      <c r="P50">
        <f>COUNTIF('remet-LZ'!Y67,"&gt;1")</f>
        <v>1</v>
      </c>
      <c r="Q50" t="s">
        <v>3589</v>
      </c>
      <c r="R50" t="s">
        <v>3583</v>
      </c>
      <c r="S50">
        <v>0</v>
      </c>
      <c r="T50">
        <v>0</v>
      </c>
    </row>
    <row r="51" spans="1:20" ht="17">
      <c r="A51" t="str">
        <f>('remet-LZ'!E68)</f>
        <v>Chlorophyta</v>
      </c>
      <c r="B51" t="str">
        <f>('remet-LZ'!I68)</f>
        <v>Nephrocytium</v>
      </c>
      <c r="C51" s="53" t="s">
        <v>3665</v>
      </c>
      <c r="E51">
        <f>COUNTIF('remet-LZ'!Q68,"&lt;=10")</f>
        <v>0</v>
      </c>
      <c r="F51">
        <f>COUNTIFS('remet-LZ'!Q68,"&gt;10",'remet-LZ'!Q68,"&lt;=25")</f>
        <v>1</v>
      </c>
      <c r="G51">
        <f>COUNTIFS('remet-LZ'!Q68,"&gt;25",'remet-LZ'!Q68,"&lt;=100")</f>
        <v>0</v>
      </c>
      <c r="H51">
        <f>COUNTIFS('remet-LZ'!Q68,"&gt;100")</f>
        <v>0</v>
      </c>
      <c r="I51" s="68">
        <f>COUNTIF('remet-LZ'!BH68,"&lt;=0.3")</f>
        <v>1</v>
      </c>
      <c r="J51" s="68">
        <f>COUNTIFS('remet-LZ'!BH68,"&gt;0.3",'remet-LZ'!BH68,"&lt;=0.7")</f>
        <v>0</v>
      </c>
      <c r="K51" s="68">
        <f>COUNTIFS('remet-LZ'!BH68,"&gt;0.7",'remet-LZ'!BH68,"&lt;=1.0")</f>
        <v>0</v>
      </c>
      <c r="L51" s="68">
        <f>COUNTIFS('remet-LZ'!BH68,"&gt;1.0",'remet-LZ'!BH68,"&lt;=3.0")</f>
        <v>0</v>
      </c>
      <c r="M51" s="68">
        <f>COUNTIF('remet-LZ'!BH68,"&gt;3.0")</f>
        <v>0</v>
      </c>
      <c r="N51" s="64">
        <f>('remet-LZ'!AM68)</f>
        <v>0.16</v>
      </c>
      <c r="O51">
        <f>COUNTIF('remet-LZ'!Y68,"=1")</f>
        <v>0</v>
      </c>
      <c r="P51">
        <f>COUNTIF('remet-LZ'!Y68,"&gt;1")</f>
        <v>1</v>
      </c>
      <c r="Q51" t="s">
        <v>3589</v>
      </c>
      <c r="R51" t="s">
        <v>3583</v>
      </c>
      <c r="S51">
        <v>0</v>
      </c>
      <c r="T51">
        <v>0</v>
      </c>
    </row>
    <row r="52" spans="1:20" ht="17">
      <c r="A52" t="str">
        <f>('remet-LZ'!E69)</f>
        <v>Chlorophyta</v>
      </c>
      <c r="B52" t="str">
        <f>('remet-LZ'!I69)</f>
        <v>Lagerheimia</v>
      </c>
      <c r="C52" s="53" t="s">
        <v>3666</v>
      </c>
      <c r="E52">
        <f>COUNTIF('remet-LZ'!Q69,"&lt;=10")</f>
        <v>1</v>
      </c>
      <c r="F52">
        <f>COUNTIFS('remet-LZ'!Q69,"&gt;10",'remet-LZ'!Q69,"&lt;=25")</f>
        <v>0</v>
      </c>
      <c r="G52">
        <f>COUNTIFS('remet-LZ'!Q69,"&gt;25",'remet-LZ'!Q69,"&lt;=100")</f>
        <v>0</v>
      </c>
      <c r="H52">
        <f>COUNTIFS('remet-LZ'!Q69,"&gt;100")</f>
        <v>0</v>
      </c>
      <c r="I52" s="68">
        <f>COUNTIF('remet-LZ'!BH69,"&lt;=0.3")</f>
        <v>0</v>
      </c>
      <c r="J52" s="68">
        <f>COUNTIFS('remet-LZ'!BH69,"&gt;0.3",'remet-LZ'!BH69,"&lt;=0.7")</f>
        <v>1</v>
      </c>
      <c r="K52" s="68">
        <f>COUNTIFS('remet-LZ'!BH69,"&gt;0.7",'remet-LZ'!BH69,"&lt;=1.0")</f>
        <v>0</v>
      </c>
      <c r="L52" s="68">
        <f>COUNTIFS('remet-LZ'!BH69,"&gt;1.0",'remet-LZ'!BH69,"&lt;=3.0")</f>
        <v>0</v>
      </c>
      <c r="M52" s="68">
        <f>COUNTIF('remet-LZ'!BH69,"&gt;3.0")</f>
        <v>0</v>
      </c>
      <c r="N52" s="64">
        <f>('remet-LZ'!AM69)</f>
        <v>0.16</v>
      </c>
      <c r="O52">
        <f>COUNTIF('remet-LZ'!Y69,"=1")</f>
        <v>1</v>
      </c>
      <c r="P52">
        <f>COUNTIF('remet-LZ'!Y69,"&gt;1")</f>
        <v>0</v>
      </c>
      <c r="Q52" t="s">
        <v>3589</v>
      </c>
      <c r="R52" t="s">
        <v>3583</v>
      </c>
      <c r="S52">
        <v>0</v>
      </c>
      <c r="T52">
        <v>0</v>
      </c>
    </row>
    <row r="53" spans="1:20" ht="17">
      <c r="A53" t="str">
        <f>('remet-LZ'!E70)</f>
        <v>Haptophyta</v>
      </c>
      <c r="B53" t="str">
        <f>('remet-LZ'!I70)</f>
        <v>Erkenia</v>
      </c>
      <c r="C53" s="53" t="s">
        <v>3667</v>
      </c>
      <c r="E53">
        <f>COUNTIF('remet-LZ'!Q70,"&lt;=10")</f>
        <v>1</v>
      </c>
      <c r="F53">
        <f>COUNTIFS('remet-LZ'!Q70,"&gt;10",'remet-LZ'!Q70,"&lt;=25")</f>
        <v>0</v>
      </c>
      <c r="G53">
        <f>COUNTIFS('remet-LZ'!Q70,"&gt;25",'remet-LZ'!Q70,"&lt;=100")</f>
        <v>0</v>
      </c>
      <c r="H53">
        <f>COUNTIFS('remet-LZ'!Q70,"&gt;100")</f>
        <v>0</v>
      </c>
      <c r="I53" s="68">
        <f>COUNTIF('remet-LZ'!BH70,"&lt;=0.3")</f>
        <v>1</v>
      </c>
      <c r="J53" s="68">
        <f>COUNTIFS('remet-LZ'!BH70,"&gt;0.3",'remet-LZ'!BH70,"&lt;=0.7")</f>
        <v>0</v>
      </c>
      <c r="K53" s="68">
        <f>COUNTIFS('remet-LZ'!BH70,"&gt;0.7",'remet-LZ'!BH70,"&lt;=1.0")</f>
        <v>0</v>
      </c>
      <c r="L53" s="68">
        <f>COUNTIFS('remet-LZ'!BH70,"&gt;1.0",'remet-LZ'!BH70,"&lt;=3.0")</f>
        <v>0</v>
      </c>
      <c r="M53" s="68">
        <f>COUNTIF('remet-LZ'!BH70,"&gt;3.0")</f>
        <v>0</v>
      </c>
      <c r="N53" s="64">
        <f>('remet-LZ'!AM70)</f>
        <v>0.11</v>
      </c>
      <c r="O53">
        <f>COUNTIF('remet-LZ'!Y70,"=1")</f>
        <v>1</v>
      </c>
      <c r="P53">
        <f>COUNTIF('remet-LZ'!Y70,"&gt;1")</f>
        <v>0</v>
      </c>
      <c r="Q53" t="s">
        <v>3587</v>
      </c>
      <c r="R53" t="s">
        <v>3584</v>
      </c>
      <c r="S53">
        <v>0</v>
      </c>
      <c r="T53">
        <v>0</v>
      </c>
    </row>
    <row r="54" spans="1:20" ht="17">
      <c r="A54" t="str">
        <f>('remet-LZ'!E71)</f>
        <v>Cyanobacteria</v>
      </c>
      <c r="B54" t="str">
        <f>('remet-LZ'!I71)</f>
        <v>Chroococcus</v>
      </c>
      <c r="C54" s="53" t="s">
        <v>3668</v>
      </c>
      <c r="E54">
        <f>COUNTIF('remet-LZ'!Q71,"&lt;=10")</f>
        <v>1</v>
      </c>
      <c r="F54">
        <f>COUNTIFS('remet-LZ'!Q71,"&gt;10",'remet-LZ'!Q71,"&lt;=25")</f>
        <v>0</v>
      </c>
      <c r="G54">
        <f>COUNTIFS('remet-LZ'!Q71,"&gt;25",'remet-LZ'!Q71,"&lt;=100")</f>
        <v>0</v>
      </c>
      <c r="H54">
        <f>COUNTIFS('remet-LZ'!Q71,"&gt;100")</f>
        <v>0</v>
      </c>
      <c r="I54" s="68">
        <f>COUNTIF('remet-LZ'!BH71,"&lt;=0.3")</f>
        <v>0</v>
      </c>
      <c r="J54" s="68">
        <f>COUNTIFS('remet-LZ'!BH71,"&gt;0.3",'remet-LZ'!BH71,"&lt;=0.7")</f>
        <v>1</v>
      </c>
      <c r="K54" s="68">
        <f>COUNTIFS('remet-LZ'!BH71,"&gt;0.7",'remet-LZ'!BH71,"&lt;=1.0")</f>
        <v>0</v>
      </c>
      <c r="L54" s="68">
        <f>COUNTIFS('remet-LZ'!BH71,"&gt;1.0",'remet-LZ'!BH71,"&lt;=3.0")</f>
        <v>0</v>
      </c>
      <c r="M54" s="68">
        <f>COUNTIF('remet-LZ'!BH71,"&gt;3.0")</f>
        <v>0</v>
      </c>
      <c r="N54" s="64">
        <f>('remet-LZ'!AM71)</f>
        <v>0.22</v>
      </c>
      <c r="O54">
        <f>COUNTIF('remet-LZ'!Y71,"=1")</f>
        <v>0</v>
      </c>
      <c r="P54">
        <f>COUNTIF('remet-LZ'!Y71,"&gt;1")</f>
        <v>1</v>
      </c>
      <c r="Q54" t="s">
        <v>3589</v>
      </c>
      <c r="R54" t="s">
        <v>3583</v>
      </c>
      <c r="S54">
        <v>0</v>
      </c>
      <c r="T54">
        <v>0</v>
      </c>
    </row>
    <row r="55" spans="1:20" ht="17">
      <c r="C55" s="53" t="s">
        <v>3669</v>
      </c>
    </row>
    <row r="56" spans="1:20" ht="17">
      <c r="C56" s="53" t="s">
        <v>3670</v>
      </c>
    </row>
    <row r="57" spans="1:20" ht="17">
      <c r="A57" t="str">
        <f>('remet-LZ'!E74)</f>
        <v>Bacillariophyta</v>
      </c>
      <c r="B57" t="str">
        <f>('remet-LZ'!I74)</f>
        <v>Pinnularia</v>
      </c>
      <c r="C57" s="53" t="s">
        <v>3671</v>
      </c>
      <c r="E57">
        <f>COUNTIF('remet-LZ'!Q74,"&lt;=10")</f>
        <v>0</v>
      </c>
      <c r="F57">
        <f>COUNTIFS('remet-LZ'!Q74,"&gt;10",'remet-LZ'!Q74,"&lt;=25")</f>
        <v>0</v>
      </c>
      <c r="G57">
        <f>COUNTIFS('remet-LZ'!Q74,"&gt;25",'remet-LZ'!Q74,"&lt;=100")</f>
        <v>1</v>
      </c>
      <c r="H57">
        <f>COUNTIFS('remet-LZ'!Q74,"&gt;100")</f>
        <v>0</v>
      </c>
      <c r="I57" s="68">
        <f>COUNTIF('remet-LZ'!BH74,"&lt;=0.3")</f>
        <v>0</v>
      </c>
      <c r="J57" s="68">
        <f>COUNTIFS('remet-LZ'!BH74,"&gt;0.3",'remet-LZ'!BH74,"&lt;=0.7")</f>
        <v>0</v>
      </c>
      <c r="K57" s="68">
        <f>COUNTIFS('remet-LZ'!BH74,"&gt;0.7",'remet-LZ'!BH74,"&lt;=1.0")</f>
        <v>0</v>
      </c>
      <c r="L57" s="68">
        <f>COUNTIFS('remet-LZ'!BH74,"&gt;1.0",'remet-LZ'!BH74,"&lt;=3.0")</f>
        <v>1</v>
      </c>
      <c r="M57" s="68">
        <f>COUNTIF('remet-LZ'!BH74,"&gt;3.0")</f>
        <v>0</v>
      </c>
      <c r="N57" s="64">
        <f>('remet-LZ'!AM74)</f>
        <v>0.11</v>
      </c>
      <c r="O57">
        <f>COUNTIF('remet-LZ'!Y74,"=1")</f>
        <v>1</v>
      </c>
      <c r="P57">
        <f>COUNTIF('remet-LZ'!Y74,"&gt;1")</f>
        <v>0</v>
      </c>
      <c r="Q57" t="s">
        <v>3586</v>
      </c>
      <c r="R57" t="s">
        <v>3584</v>
      </c>
      <c r="S57">
        <v>0</v>
      </c>
      <c r="T57">
        <v>1</v>
      </c>
    </row>
    <row r="58" spans="1:20" ht="17">
      <c r="A58" t="str">
        <f>('remet-LZ'!E75)</f>
        <v>Chlorophyta</v>
      </c>
      <c r="B58" t="str">
        <f>('remet-LZ'!I75)</f>
        <v>Planktosphaeria</v>
      </c>
      <c r="C58" s="53" t="s">
        <v>3672</v>
      </c>
      <c r="E58">
        <f>COUNTIF('remet-LZ'!Q75,"&lt;=10")</f>
        <v>1</v>
      </c>
      <c r="F58">
        <f>COUNTIFS('remet-LZ'!Q75,"&gt;10",'remet-LZ'!Q75,"&lt;=25")</f>
        <v>0</v>
      </c>
      <c r="G58">
        <f>COUNTIFS('remet-LZ'!Q75,"&gt;25",'remet-LZ'!Q75,"&lt;=100")</f>
        <v>0</v>
      </c>
      <c r="H58">
        <f>COUNTIFS('remet-LZ'!Q75,"&gt;100")</f>
        <v>0</v>
      </c>
      <c r="I58" s="68">
        <f>COUNTIF('remet-LZ'!BH75,"&lt;=0.3")</f>
        <v>0</v>
      </c>
      <c r="J58" s="68">
        <f>COUNTIFS('remet-LZ'!BH75,"&gt;0.3",'remet-LZ'!BH75,"&lt;=0.7")</f>
        <v>1</v>
      </c>
      <c r="K58" s="68">
        <f>COUNTIFS('remet-LZ'!BH75,"&gt;0.7",'remet-LZ'!BH75,"&lt;=1.0")</f>
        <v>0</v>
      </c>
      <c r="L58" s="68">
        <f>COUNTIFS('remet-LZ'!BH75,"&gt;1.0",'remet-LZ'!BH75,"&lt;=3.0")</f>
        <v>0</v>
      </c>
      <c r="M58" s="68">
        <f>COUNTIF('remet-LZ'!BH75,"&gt;3.0")</f>
        <v>0</v>
      </c>
      <c r="N58" s="64">
        <f>('remet-LZ'!AM75)</f>
        <v>0.16</v>
      </c>
      <c r="O58">
        <f>COUNTIF('remet-LZ'!Y75,"=1")</f>
        <v>1</v>
      </c>
      <c r="P58">
        <f>COUNTIF('remet-LZ'!Y75,"&gt;1")</f>
        <v>0</v>
      </c>
      <c r="Q58" t="s">
        <v>3589</v>
      </c>
      <c r="R58" t="s">
        <v>3583</v>
      </c>
      <c r="S58">
        <v>0</v>
      </c>
      <c r="T58">
        <v>0</v>
      </c>
    </row>
    <row r="59" spans="1:20" ht="17">
      <c r="A59" t="str">
        <f>('remet-LZ'!E76)</f>
        <v>Chlorophyta</v>
      </c>
      <c r="B59" t="str">
        <f>('remet-LZ'!I76)</f>
        <v>Carteria</v>
      </c>
      <c r="C59" s="53" t="s">
        <v>3673</v>
      </c>
      <c r="E59">
        <f>COUNTIF('remet-LZ'!Q76,"&lt;=10")</f>
        <v>0</v>
      </c>
      <c r="F59">
        <f>COUNTIFS('remet-LZ'!Q76,"&gt;10",'remet-LZ'!Q76,"&lt;=25")</f>
        <v>1</v>
      </c>
      <c r="G59">
        <f>COUNTIFS('remet-LZ'!Q76,"&gt;25",'remet-LZ'!Q76,"&lt;=100")</f>
        <v>0</v>
      </c>
      <c r="H59">
        <f>COUNTIFS('remet-LZ'!Q76,"&gt;100")</f>
        <v>0</v>
      </c>
      <c r="I59" s="68">
        <f>COUNTIF('remet-LZ'!BH76,"&lt;=0.3")</f>
        <v>0</v>
      </c>
      <c r="J59" s="68">
        <f>COUNTIFS('remet-LZ'!BH76,"&gt;0.3",'remet-LZ'!BH76,"&lt;=0.7")</f>
        <v>1</v>
      </c>
      <c r="K59" s="68">
        <f>COUNTIFS('remet-LZ'!BH76,"&gt;0.7",'remet-LZ'!BH76,"&lt;=1.0")</f>
        <v>0</v>
      </c>
      <c r="L59" s="68">
        <f>COUNTIFS('remet-LZ'!BH76,"&gt;1.0",'remet-LZ'!BH76,"&lt;=3.0")</f>
        <v>0</v>
      </c>
      <c r="M59" s="68">
        <f>COUNTIF('remet-LZ'!BH76,"&gt;3.0")</f>
        <v>0</v>
      </c>
      <c r="N59" s="64">
        <f>('remet-LZ'!AM76)</f>
        <v>0.16</v>
      </c>
      <c r="O59">
        <f>COUNTIF('remet-LZ'!Y76,"=1")</f>
        <v>1</v>
      </c>
      <c r="P59">
        <f>COUNTIF('remet-LZ'!Y76,"&gt;1")</f>
        <v>0</v>
      </c>
      <c r="Q59" t="s">
        <v>3587</v>
      </c>
      <c r="R59" t="s">
        <v>3583</v>
      </c>
      <c r="S59">
        <v>0</v>
      </c>
      <c r="T59">
        <v>0</v>
      </c>
    </row>
    <row r="60" spans="1:20" ht="17">
      <c r="C60" s="53" t="s">
        <v>3674</v>
      </c>
    </row>
    <row r="61" spans="1:20" ht="17">
      <c r="A61" t="str">
        <f>('remet-LZ'!E78)</f>
        <v>Bacillariophyta</v>
      </c>
      <c r="B61" t="str">
        <f>('remet-LZ'!I78)</f>
        <v>Gyrosigma</v>
      </c>
      <c r="C61" s="53" t="s">
        <v>3702</v>
      </c>
      <c r="E61">
        <f>COUNTIF('remet-LZ'!Q78,"&lt;=10")</f>
        <v>0</v>
      </c>
      <c r="F61">
        <f>COUNTIFS('remet-LZ'!Q78,"&gt;10",'remet-LZ'!Q78,"&lt;=25")</f>
        <v>0</v>
      </c>
      <c r="G61">
        <f>COUNTIFS('remet-LZ'!Q78,"&gt;25",'remet-LZ'!Q78,"&lt;=100")</f>
        <v>0</v>
      </c>
      <c r="H61">
        <f>COUNTIFS('remet-LZ'!Q78,"&gt;100")</f>
        <v>1</v>
      </c>
      <c r="I61" s="68">
        <f>COUNTIF('remet-LZ'!BH78,"&lt;=0.3")</f>
        <v>0</v>
      </c>
      <c r="J61" s="68">
        <f>COUNTIFS('remet-LZ'!BH78,"&gt;0.3",'remet-LZ'!BH78,"&lt;=0.7")</f>
        <v>0</v>
      </c>
      <c r="K61" s="68">
        <f>COUNTIFS('remet-LZ'!BH78,"&gt;0.7",'remet-LZ'!BH78,"&lt;=1.0")</f>
        <v>0</v>
      </c>
      <c r="L61" s="68">
        <f>COUNTIFS('remet-LZ'!BH78,"&gt;1.0",'remet-LZ'!BH78,"&lt;=3.0")</f>
        <v>1</v>
      </c>
      <c r="M61" s="68">
        <f>COUNTIF('remet-LZ'!BH78,"&gt;3.0")</f>
        <v>0</v>
      </c>
      <c r="N61" s="64">
        <f>('remet-LZ'!AM78)</f>
        <v>0.11</v>
      </c>
      <c r="O61">
        <f>COUNTIF('remet-LZ'!Y78,"=1")</f>
        <v>1</v>
      </c>
      <c r="P61">
        <f>COUNTIF('remet-LZ'!Y78,"&gt;1")</f>
        <v>0</v>
      </c>
      <c r="Q61" t="s">
        <v>3586</v>
      </c>
      <c r="R61" t="s">
        <v>3584</v>
      </c>
      <c r="S61">
        <v>0</v>
      </c>
      <c r="T61">
        <v>1</v>
      </c>
    </row>
    <row r="62" spans="1:20" ht="17">
      <c r="A62" t="str">
        <f>('remet-LZ'!E80)</f>
        <v>Cyanobacteria</v>
      </c>
      <c r="B62" t="str">
        <f>('remet-LZ'!I80)</f>
        <v>Aphanothece</v>
      </c>
      <c r="C62" s="53" t="s">
        <v>3675</v>
      </c>
      <c r="E62">
        <f>COUNTIF('remet-LZ'!Q80:'remet-LZ'!Q82,"&lt;=10")/COUNT('remet-LZ'!Q80:'remet-LZ'!Q82)</f>
        <v>1</v>
      </c>
      <c r="F62">
        <f>COUNTIFS('remet-LZ'!Q80:'remet-LZ'!Q82,"&gt;10",'remet-LZ'!Q80:'remet-LZ'!Q82,"&lt;=25")/COUNT('remet-LZ'!Q80:'remet-LZ'!Q82)</f>
        <v>0</v>
      </c>
      <c r="G62">
        <f>COUNTIFS('remet-LZ'!Q80:'remet-LZ'!Q82,"&gt;25",'remet-LZ'!Q80:'remet-LZ'!Q82,"&lt;=100")/COUNT('remet-LZ'!Q80:'remet-LZ'!Q82)</f>
        <v>0</v>
      </c>
      <c r="H62">
        <f>COUNTIFS('remet-LZ'!Q80:'remet-LZ'!Q82,"&gt;100")/COUNT('remet-LZ'!Q80:'remet-LZ'!Q82)</f>
        <v>0</v>
      </c>
      <c r="I62">
        <f>COUNTIF('remet-LZ'!BH80:'remet-LZ'!BH82,"&lt;=0.3")/COUNT('remet-LZ'!BH80:'remet-LZ'!BP82)</f>
        <v>1</v>
      </c>
      <c r="J62">
        <f>COUNTIFS('remet-LZ'!BH80:'remet-LZ'!BH82,"&gt;0.3",'remet-LZ'!BH80:'remet-LZ'!BH82,"&lt;=0.7")/COUNT('remet-LZ'!BH80:'remet-LZ'!BH82)</f>
        <v>0</v>
      </c>
      <c r="K62">
        <f>COUNTIFS('remet-LZ'!BH80:'remet-LZ'!BH82,"&gt;0.7",'remet-LZ'!BH80:'remet-LZ'!BH82,"&lt;=1.0")/COUNT('remet-LZ'!BH80:'remet-LZ'!BH82)</f>
        <v>0</v>
      </c>
      <c r="L62">
        <f>COUNTIFS('remet-LZ'!BH80:'remet-LZ'!BH82,"&gt;1.0",'remet-LZ'!BH80:'remet-LZ'!BH82,"&lt;=3.0")/COUNT('remet-LZ'!BH80:'remet-LZ'!BH82)</f>
        <v>0</v>
      </c>
      <c r="M62">
        <f>COUNTIFS('remet-LZ'!BH80:'remet-LZ'!BH82,"&gt;3")/COUNT('remet-LZ'!BH80:'remet-LZ'!BH82)</f>
        <v>0</v>
      </c>
      <c r="N62" s="64">
        <f>('remet-LZ'!AM80)</f>
        <v>0.22</v>
      </c>
      <c r="O62">
        <f>COUNTIF('remet-LZ'!Y80:'remet-LZ'!Y82,"=1")/COUNT('remet-LZ'!Y80:'remet-LZ'!Y82)</f>
        <v>0.33333333333333331</v>
      </c>
      <c r="P62">
        <f>COUNTIF('remet-LZ'!Y80:'remet-LZ'!Y82,"&gt;1")/COUNT('remet-LZ'!Y80:'remet-LZ'!Y82)</f>
        <v>0.66666666666666663</v>
      </c>
      <c r="Q62" t="s">
        <v>3589</v>
      </c>
      <c r="R62" t="s">
        <v>3583</v>
      </c>
      <c r="S62">
        <v>0</v>
      </c>
      <c r="T62">
        <v>0</v>
      </c>
    </row>
    <row r="63" spans="1:20" ht="34">
      <c r="C63" s="53" t="s">
        <v>3676</v>
      </c>
    </row>
    <row r="64" spans="1:20" ht="17">
      <c r="A64" t="str">
        <f>('remet-LZ'!E84)</f>
        <v>Ochrophyta</v>
      </c>
      <c r="B64" t="str">
        <f>('remet-LZ'!I84)</f>
        <v>Kephyrion</v>
      </c>
      <c r="C64" s="53" t="s">
        <v>3677</v>
      </c>
      <c r="E64">
        <f>COUNTIF('remet-LZ'!Q84,"&lt;=10")</f>
        <v>1</v>
      </c>
      <c r="F64">
        <f>COUNTIFS('remet-LZ'!Q84,"&gt;10",'remet-LZ'!Q84,"&lt;=25")</f>
        <v>0</v>
      </c>
      <c r="G64">
        <f>COUNTIFS('remet-LZ'!Q84,"&gt;25",'remet-LZ'!Q84,"&lt;=100")</f>
        <v>0</v>
      </c>
      <c r="H64">
        <f>COUNTIFS('remet-LZ'!Q84,"&gt;100")</f>
        <v>0</v>
      </c>
      <c r="I64" s="68">
        <f>COUNTIF('remet-LZ'!BH84,"&lt;=0.3")</f>
        <v>0</v>
      </c>
      <c r="J64" s="68">
        <f>COUNTIFS('remet-LZ'!BH84,"&gt;0.3",'remet-LZ'!BH84,"&lt;=0.7")</f>
        <v>1</v>
      </c>
      <c r="K64" s="68">
        <f>COUNTIFS('remet-LZ'!BH84,"&gt;0.7",'remet-LZ'!BH84,"&lt;=1.0")</f>
        <v>0</v>
      </c>
      <c r="L64" s="68">
        <f>COUNTIFS('remet-LZ'!BH84,"&gt;1.0",'remet-LZ'!BH84,"&lt;=3.0")</f>
        <v>0</v>
      </c>
      <c r="M64" s="68">
        <f>COUNTIF('remet-LZ'!BH84,"&gt;3.0")</f>
        <v>0</v>
      </c>
      <c r="N64" s="64">
        <f>('remet-LZ'!AM84)</f>
        <v>0.11</v>
      </c>
      <c r="O64">
        <f>COUNTIF('remet-LZ'!Y84,"=1")</f>
        <v>1</v>
      </c>
      <c r="P64">
        <f>COUNTIF('remet-LZ'!Y84,"&gt;1")</f>
        <v>0</v>
      </c>
      <c r="Q64" t="s">
        <v>3587</v>
      </c>
      <c r="R64" t="s">
        <v>3584</v>
      </c>
      <c r="S64">
        <v>0</v>
      </c>
      <c r="T64">
        <v>0</v>
      </c>
    </row>
    <row r="65" spans="1:20" ht="17">
      <c r="A65" t="str">
        <f>('remet-LZ'!E85)</f>
        <v>Chlorophyta</v>
      </c>
      <c r="B65" t="str">
        <f>('remet-LZ'!I85)</f>
        <v>Chlamydomonas</v>
      </c>
      <c r="C65" s="53" t="s">
        <v>3678</v>
      </c>
      <c r="E65">
        <f>COUNTIF('remet-LZ'!Q85:'remet-LZ'!Q86,"&lt;=10")/COUNT('remet-LZ'!Q85:'remet-LZ'!Q86)</f>
        <v>0.5</v>
      </c>
      <c r="F65">
        <f>COUNTIFS('remet-LZ'!Q85:'remet-LZ'!Q86,"&gt;10",'remet-LZ'!Q85:'remet-LZ'!Q86,"&lt;=25")/COUNT('remet-LZ'!Q85:'remet-LZ'!Q86)</f>
        <v>0.5</v>
      </c>
      <c r="G65">
        <f>COUNTIFS('remet-LZ'!Q85:'remet-LZ'!Q86,"&gt;25",'remet-LZ'!Q85:'remet-LZ'!Q86,"&lt;=100")/COUNT('remet-LZ'!Q85:'remet-LZ'!Q86)</f>
        <v>0</v>
      </c>
      <c r="H65">
        <f>COUNTIFS('remet-LZ'!Q85:'remet-LZ'!Q86,"&gt;100")/COUNT('remet-LZ'!Q85:'remet-LZ'!Q86)</f>
        <v>0</v>
      </c>
      <c r="I65">
        <f>COUNTIF('remet-LZ'!BH85:'remet-LZ'!BH86,"&lt;=0.3")/COUNT('remet-LZ'!BH85:'remet-LZ'!BP86)</f>
        <v>0.5</v>
      </c>
      <c r="J65">
        <f>COUNTIFS('remet-LZ'!BH85:'remet-LZ'!BH86,"&gt;0.3",'remet-LZ'!BH85:'remet-LZ'!BH86,"&lt;=0.7")/COUNT('remet-LZ'!BH85:'remet-LZ'!BH86)</f>
        <v>0</v>
      </c>
      <c r="K65">
        <f>COUNTIFS('remet-LZ'!BH85:'remet-LZ'!BH86,"&gt;0.7",'remet-LZ'!BH85:'remet-LZ'!BH86,"&lt;=1.0")/COUNT('remet-LZ'!BH85:'remet-LZ'!BH86)</f>
        <v>0.5</v>
      </c>
      <c r="L65">
        <f>COUNTIFS('remet-LZ'!BH85:'remet-LZ'!BH86,"&gt;1.0",'remet-LZ'!BH85:'remet-LZ'!BH86,"&lt;=3.0")/COUNT('remet-LZ'!BH85:'remet-LZ'!BH86)</f>
        <v>0</v>
      </c>
      <c r="M65">
        <f>COUNTIFS('remet-LZ'!BH85:'remet-LZ'!BH86,"&gt;3")/COUNT('remet-LZ'!BH85:'remet-LZ'!BH86)</f>
        <v>0</v>
      </c>
      <c r="N65" s="64">
        <f>('remet-LZ'!AM85)</f>
        <v>0.16</v>
      </c>
      <c r="O65">
        <f>COUNTIF('remet-LZ'!Y85:'remet-LZ'!Y86,"=1")/COUNT('remet-LZ'!Y85:'remet-LZ'!Y86)</f>
        <v>1</v>
      </c>
      <c r="P65">
        <f>COUNTIF('remet-LZ'!Y85:'remet-LZ'!Y86,"&gt;1")/COUNT('remet-LZ'!Y85:'remet-LZ'!Y86)</f>
        <v>0</v>
      </c>
      <c r="Q65" t="s">
        <v>3587</v>
      </c>
      <c r="R65" t="s">
        <v>3583</v>
      </c>
      <c r="S65">
        <v>0</v>
      </c>
      <c r="T65">
        <v>0</v>
      </c>
    </row>
    <row r="66" spans="1:20" ht="17">
      <c r="C66" s="53" t="s">
        <v>3679</v>
      </c>
    </row>
    <row r="67" spans="1:20" ht="17">
      <c r="A67" t="str">
        <f>('remet-LZ'!E88)</f>
        <v>Chlorophyta</v>
      </c>
      <c r="B67" t="str">
        <f>('remet-LZ'!I88)</f>
        <v>Coelastrum</v>
      </c>
      <c r="C67" s="53" t="s">
        <v>3701</v>
      </c>
      <c r="E67">
        <f>COUNTIF('remet-LZ'!Q88:'remet-LZ'!Q89,"&lt;=10")/COUNT('remet-LZ'!Q88:'remet-LZ'!Q89)</f>
        <v>1</v>
      </c>
      <c r="F67">
        <f>COUNTIFS('remet-LZ'!Q88:'remet-LZ'!Q89,"&gt;10",'remet-LZ'!Q88:'remet-LZ'!Q89,"&lt;=25")/COUNT('remet-LZ'!Q88:'remet-LZ'!Q89)</f>
        <v>0</v>
      </c>
      <c r="G67">
        <f>COUNTIFS('remet-LZ'!Q88:'remet-LZ'!Q89,"&gt;25",'remet-LZ'!Q88:'remet-LZ'!Q89,"&lt;=100")/COUNT('remet-LZ'!Q88:'remet-LZ'!Q89)</f>
        <v>0</v>
      </c>
      <c r="H67">
        <f>COUNTIFS('remet-LZ'!Q88:'remet-LZ'!Q89,"&gt;100")/COUNT('remet-LZ'!Q88:'remet-LZ'!Q89)</f>
        <v>0</v>
      </c>
      <c r="I67">
        <f>COUNTIF('remet-LZ'!BH88:'remet-LZ'!BH89,"&lt;=0.3")/COUNT('remet-LZ'!BH88:'remet-LZ'!BP89)</f>
        <v>0</v>
      </c>
      <c r="J67">
        <f>COUNTIFS('remet-LZ'!BH88:'remet-LZ'!BH89,"&gt;0.3",'remet-LZ'!BH88:'remet-LZ'!BH89,"&lt;=0.7")/COUNT('remet-LZ'!BH88:'remet-LZ'!BH89)</f>
        <v>1</v>
      </c>
      <c r="K67">
        <f>COUNTIFS('remet-LZ'!BH88:'remet-LZ'!BH89,"&gt;0.7",'remet-LZ'!BH88:'remet-LZ'!BH89,"&lt;=1.0")/COUNT('remet-LZ'!BH88:'remet-LZ'!BH89)</f>
        <v>0</v>
      </c>
      <c r="L67">
        <f>COUNTIFS('remet-LZ'!BH88:'remet-LZ'!BH89,"&gt;1.0",'remet-LZ'!BH88:'remet-LZ'!BH89,"&lt;=3.0")/COUNT('remet-LZ'!BH88:'remet-LZ'!BH89)</f>
        <v>0</v>
      </c>
      <c r="M67">
        <f>COUNTIFS('remet-LZ'!BH88:'remet-LZ'!BH89,"&gt;3")/COUNT('remet-LZ'!BH88:'remet-LZ'!BH89)</f>
        <v>0</v>
      </c>
      <c r="N67" s="64">
        <f>('remet-LZ'!AM88)</f>
        <v>0.16</v>
      </c>
      <c r="O67">
        <f>COUNTIF('remet-LZ'!Y88:'remet-LZ'!Y89,"=1")/COUNT('remet-LZ'!Y88:'remet-LZ'!Y89)</f>
        <v>0</v>
      </c>
      <c r="P67">
        <f>COUNTIF('remet-LZ'!Y88:'remet-LZ'!Y89,"&gt;1")/COUNT('remet-LZ'!Y88:'remet-LZ'!Y89)</f>
        <v>1</v>
      </c>
      <c r="Q67" t="s">
        <v>3589</v>
      </c>
      <c r="R67" t="s">
        <v>3583</v>
      </c>
      <c r="S67">
        <v>0</v>
      </c>
      <c r="T67">
        <v>0</v>
      </c>
    </row>
    <row r="68" spans="1:20" ht="17">
      <c r="A68" t="str">
        <f>('remet-LZ'!E90)</f>
        <v>Bacillariophyta</v>
      </c>
      <c r="B68" t="str">
        <f>('remet-LZ'!I90)</f>
        <v>Aulacoseira</v>
      </c>
      <c r="C68" s="53" t="s">
        <v>3680</v>
      </c>
      <c r="E68">
        <f>COUNTIF('remet-LZ'!Q90:'remet-LZ'!Q92,"&lt;=10")/COUNT('remet-LZ'!Q90:'remet-LZ'!Q92)</f>
        <v>0</v>
      </c>
      <c r="F68">
        <f>COUNTIFS('remet-LZ'!Q90:'remet-LZ'!Q92,"&gt;10",'remet-LZ'!Q90:'remet-LZ'!Q92,"&lt;=25")/COUNT('remet-LZ'!Q90:'remet-LZ'!Q92)</f>
        <v>0.33333333333333331</v>
      </c>
      <c r="G68">
        <f>COUNTIFS('remet-LZ'!Q90:'remet-LZ'!Q92,"&gt;25",'remet-LZ'!Q90:'remet-LZ'!Q92,"&lt;=100")/COUNT('remet-LZ'!Q90:'remet-LZ'!Q92)</f>
        <v>0.66666666666666663</v>
      </c>
      <c r="H68">
        <f>COUNTIFS('remet-LZ'!Q90:'remet-LZ'!Q92,"&gt;100")/COUNT('remet-LZ'!Q90:'remet-LZ'!Q92)</f>
        <v>0</v>
      </c>
      <c r="I68">
        <f>COUNTIF('remet-LZ'!BH90:'remet-LZ'!BH92,"&lt;=0.3")/COUNT('remet-LZ'!BH90:'remet-LZ'!BP92)</f>
        <v>0</v>
      </c>
      <c r="J68">
        <f>COUNTIFS('remet-LZ'!BH90:'remet-LZ'!BH92,"&gt;0.3",'remet-LZ'!BH90:'remet-LZ'!BH92,"&lt;=0.7")/COUNT('remet-LZ'!BH90:'remet-LZ'!BH92)</f>
        <v>0</v>
      </c>
      <c r="K68">
        <f>COUNTIFS('remet-LZ'!BH90:'remet-LZ'!BH92,"&gt;0.7",'remet-LZ'!BH90:'remet-LZ'!BH92,"&lt;=1.0")/COUNT('remet-LZ'!BH90:'remet-LZ'!BH92)</f>
        <v>0.66666666666666663</v>
      </c>
      <c r="L68">
        <f>COUNTIFS('remet-LZ'!BH90:'remet-LZ'!BH92,"&gt;1.0",'remet-LZ'!BH90:'remet-LZ'!BH92,"&lt;=3.0")/COUNT('remet-LZ'!BH90:'remet-LZ'!BH92)</f>
        <v>0.33333333333333331</v>
      </c>
      <c r="M68">
        <f>COUNTIFS('remet-LZ'!BH90:'remet-LZ'!BH92,"&gt;3")/COUNT('remet-LZ'!BH90:'remet-LZ'!BH92)</f>
        <v>0</v>
      </c>
      <c r="N68" s="64">
        <f>('remet-LZ'!AM90)</f>
        <v>0.11</v>
      </c>
      <c r="O68">
        <f>COUNTIF('remet-LZ'!Y90:'remet-LZ'!Y92,"=1")/COUNT('remet-LZ'!Y90:'remet-LZ'!Y92)</f>
        <v>1</v>
      </c>
      <c r="P68">
        <f>COUNTIF('remet-LZ'!Y90:'remet-LZ'!Y92,"&gt;1")/COUNT('remet-LZ'!Y90:'remet-LZ'!Y92)</f>
        <v>0</v>
      </c>
      <c r="Q68" t="s">
        <v>3589</v>
      </c>
      <c r="R68" t="s">
        <v>3584</v>
      </c>
      <c r="S68">
        <v>0</v>
      </c>
      <c r="T68">
        <v>1</v>
      </c>
    </row>
    <row r="69" spans="1:20" ht="17">
      <c r="C69" s="53" t="s">
        <v>3681</v>
      </c>
    </row>
    <row r="70" spans="1:20" ht="17">
      <c r="A70" t="str">
        <f>('remet-LZ'!E94)</f>
        <v>Chlorophyta</v>
      </c>
      <c r="B70" t="str">
        <f>('remet-LZ'!I94)</f>
        <v>Monoraphidium</v>
      </c>
      <c r="C70" s="53" t="s">
        <v>3682</v>
      </c>
      <c r="E70">
        <f>COUNTIF('remet-LZ'!Q94,"&lt;=10")</f>
        <v>0</v>
      </c>
      <c r="F70">
        <f>COUNTIFS('remet-LZ'!Q94,"&gt;10",'remet-LZ'!Q94,"&lt;=25")</f>
        <v>1</v>
      </c>
      <c r="G70">
        <f>COUNTIFS('remet-LZ'!Q94,"&gt;25",'remet-LZ'!Q94,"&lt;=100")</f>
        <v>0</v>
      </c>
      <c r="H70">
        <f>COUNTIFS('remet-LZ'!Q94,"&gt;100")</f>
        <v>0</v>
      </c>
      <c r="I70" s="68">
        <f>COUNTIF('remet-LZ'!BH94,"&lt;=0.3")</f>
        <v>1</v>
      </c>
      <c r="J70" s="68">
        <f>COUNTIFS('remet-LZ'!BH94,"&gt;0.3",'remet-LZ'!BH94,"&lt;=0.7")</f>
        <v>0</v>
      </c>
      <c r="K70" s="68">
        <f>COUNTIFS('remet-LZ'!BH94,"&gt;0.7",'remet-LZ'!BH94,"&lt;=1.0")</f>
        <v>0</v>
      </c>
      <c r="L70" s="68">
        <f>COUNTIFS('remet-LZ'!BH94,"&gt;1.0",'remet-LZ'!BH94,"&lt;=3.0")</f>
        <v>0</v>
      </c>
      <c r="M70" s="68">
        <f>COUNTIF('remet-LZ'!BH94,"&gt;3.0")</f>
        <v>0</v>
      </c>
      <c r="N70" s="64">
        <f>('remet-LZ'!AM94)</f>
        <v>0.16</v>
      </c>
      <c r="O70">
        <f>COUNTIF('remet-LZ'!Y94,"=1")</f>
        <v>1</v>
      </c>
      <c r="P70">
        <f>COUNTIF('remet-LZ'!Y94,"&gt;1")</f>
        <v>0</v>
      </c>
      <c r="Q70" t="s">
        <v>3589</v>
      </c>
      <c r="R70" t="s">
        <v>3583</v>
      </c>
      <c r="S70">
        <v>0</v>
      </c>
      <c r="T70">
        <v>0</v>
      </c>
    </row>
    <row r="71" spans="1:20" ht="17">
      <c r="A71" t="str">
        <f>('remet-LZ'!E95)</f>
        <v>Ochrophyta</v>
      </c>
      <c r="B71" t="str">
        <f>('remet-LZ'!I95)</f>
        <v>Mallomonas</v>
      </c>
      <c r="C71" s="53" t="s">
        <v>3683</v>
      </c>
      <c r="E71">
        <f>COUNTIF('remet-LZ'!Q95,"&lt;=10")</f>
        <v>0</v>
      </c>
      <c r="F71">
        <f>COUNTIFS('remet-LZ'!Q95,"&gt;10",'remet-LZ'!Q95,"&lt;=25")</f>
        <v>0</v>
      </c>
      <c r="G71">
        <f>COUNTIFS('remet-LZ'!Q95,"&gt;25",'remet-LZ'!Q95,"&lt;=100")</f>
        <v>1</v>
      </c>
      <c r="H71">
        <f>COUNTIFS('remet-LZ'!Q95,"&gt;100")</f>
        <v>0</v>
      </c>
      <c r="I71" s="68">
        <f>COUNTIF('remet-LZ'!BH95,"&lt;=0.3")</f>
        <v>1</v>
      </c>
      <c r="J71" s="68">
        <f>COUNTIFS('remet-LZ'!BH95,"&gt;0.3",'remet-LZ'!BH95,"&lt;=0.7")</f>
        <v>0</v>
      </c>
      <c r="K71" s="68">
        <f>COUNTIFS('remet-LZ'!BH95,"&gt;0.7",'remet-LZ'!BH95,"&lt;=1.0")</f>
        <v>0</v>
      </c>
      <c r="L71" s="68">
        <f>COUNTIFS('remet-LZ'!BH95,"&gt;1.0",'remet-LZ'!BH95,"&lt;=3.0")</f>
        <v>0</v>
      </c>
      <c r="M71" s="68">
        <f>COUNTIF('remet-LZ'!BH95,"&gt;3.0")</f>
        <v>0</v>
      </c>
      <c r="N71" s="64">
        <f>('remet-LZ'!AM95)</f>
        <v>0.11</v>
      </c>
      <c r="O71">
        <f>COUNTIF('remet-LZ'!Y95,"=1")</f>
        <v>1</v>
      </c>
      <c r="P71">
        <f>COUNTIF('remet-LZ'!Y95,"&gt;1")</f>
        <v>0</v>
      </c>
      <c r="Q71" t="s">
        <v>3587</v>
      </c>
      <c r="R71" t="s">
        <v>3584</v>
      </c>
      <c r="S71">
        <v>0</v>
      </c>
      <c r="T71">
        <v>1</v>
      </c>
    </row>
    <row r="72" spans="1:20" ht="17">
      <c r="A72" t="str">
        <f>('remet-LZ'!E96)</f>
        <v>Bacillariophyta</v>
      </c>
      <c r="B72" t="str">
        <f>('remet-LZ'!I96)</f>
        <v>Melosira</v>
      </c>
      <c r="C72" s="53" t="s">
        <v>3684</v>
      </c>
      <c r="E72">
        <f>COUNTIF('remet-LZ'!Q96,"&lt;=10")</f>
        <v>0</v>
      </c>
      <c r="F72">
        <f>COUNTIFS('remet-LZ'!Q96,"&gt;10",'remet-LZ'!Q96,"&lt;=25")</f>
        <v>1</v>
      </c>
      <c r="G72">
        <f>COUNTIFS('remet-LZ'!Q96,"&gt;25",'remet-LZ'!Q96,"&lt;=100")</f>
        <v>0</v>
      </c>
      <c r="H72">
        <f>COUNTIFS('remet-LZ'!Q96,"&gt;100")</f>
        <v>0</v>
      </c>
      <c r="I72" s="68">
        <f>COUNTIF('remet-LZ'!BH96,"&lt;=0.3")</f>
        <v>0</v>
      </c>
      <c r="J72" s="68">
        <f>COUNTIFS('remet-LZ'!BH96,"&gt;0.3",'remet-LZ'!BH96,"&lt;=0.7")</f>
        <v>0</v>
      </c>
      <c r="K72" s="68">
        <f>COUNTIFS('remet-LZ'!BH96,"&gt;0.7",'remet-LZ'!BH96,"&lt;=1.0")</f>
        <v>0</v>
      </c>
      <c r="L72" s="68">
        <f>COUNTIFS('remet-LZ'!BH96,"&gt;1.0",'remet-LZ'!BH96,"&lt;=3.0")</f>
        <v>1</v>
      </c>
      <c r="M72" s="68">
        <f>COUNTIF('remet-LZ'!BH96,"&gt;3.0")</f>
        <v>0</v>
      </c>
      <c r="N72" s="64">
        <f>('remet-LZ'!AM96)</f>
        <v>0.11</v>
      </c>
      <c r="O72">
        <f>COUNTIF('remet-LZ'!Y96,"=1")</f>
        <v>1</v>
      </c>
      <c r="P72">
        <f>COUNTIF('remet-LZ'!Y96,"&gt;1")</f>
        <v>0</v>
      </c>
      <c r="Q72" t="s">
        <v>3589</v>
      </c>
      <c r="R72" t="s">
        <v>3584</v>
      </c>
      <c r="S72">
        <v>0</v>
      </c>
      <c r="T72">
        <v>1</v>
      </c>
    </row>
    <row r="73" spans="1:20" ht="17">
      <c r="C73" s="53" t="s">
        <v>3685</v>
      </c>
    </row>
    <row r="74" spans="1:20" ht="17">
      <c r="C74" s="53" t="s">
        <v>3686</v>
      </c>
    </row>
    <row r="75" spans="1:20" ht="17">
      <c r="A75" t="str">
        <f>('remet-LZ'!E99)</f>
        <v>Cyanobacteria</v>
      </c>
      <c r="B75" t="str">
        <f>('remet-LZ'!I99)</f>
        <v>Merismopedia</v>
      </c>
      <c r="C75" s="53" t="s">
        <v>3687</v>
      </c>
      <c r="E75">
        <f>COUNTIF('remet-LZ'!Q99,"&lt;=10")</f>
        <v>1</v>
      </c>
      <c r="F75">
        <f>COUNTIFS('remet-LZ'!Q99,"&gt;10",'remet-LZ'!Q99,"&lt;=25")</f>
        <v>0</v>
      </c>
      <c r="G75">
        <f>COUNTIFS('remet-LZ'!Q99,"&gt;25",'remet-LZ'!Q99,"&lt;=100")</f>
        <v>0</v>
      </c>
      <c r="H75">
        <f>COUNTIFS('remet-LZ'!Q99,"&gt;100")</f>
        <v>0</v>
      </c>
      <c r="I75" s="68">
        <f>COUNTIF('remet-LZ'!BH99,"&lt;=0.3")</f>
        <v>1</v>
      </c>
      <c r="J75" s="68">
        <f>COUNTIFS('remet-LZ'!BH99,"&gt;0.3",'remet-LZ'!BH99,"&lt;=0.7")</f>
        <v>0</v>
      </c>
      <c r="K75" s="68">
        <f>COUNTIFS('remet-LZ'!BH99,"&gt;0.7",'remet-LZ'!BH99,"&lt;=1.0")</f>
        <v>0</v>
      </c>
      <c r="L75" s="68">
        <f>COUNTIFS('remet-LZ'!BH99,"&gt;1.0",'remet-LZ'!BH99,"&lt;=3.0")</f>
        <v>0</v>
      </c>
      <c r="M75" s="68">
        <f>COUNTIF('remet-LZ'!BH99,"&gt;3.0")</f>
        <v>0</v>
      </c>
      <c r="N75" s="64">
        <f>('remet-LZ'!AM99)</f>
        <v>0.22</v>
      </c>
      <c r="O75">
        <f>COUNTIF('remet-LZ'!Y99,"=1")</f>
        <v>0</v>
      </c>
      <c r="P75">
        <f>COUNTIF('remet-LZ'!Y99,"&gt;1")</f>
        <v>1</v>
      </c>
      <c r="Q75" t="s">
        <v>3589</v>
      </c>
      <c r="R75" t="s">
        <v>3583</v>
      </c>
      <c r="S75">
        <v>0</v>
      </c>
      <c r="T75">
        <v>0</v>
      </c>
    </row>
    <row r="76" spans="1:20" ht="17">
      <c r="A76" t="str">
        <f>('remet-LZ'!E100)</f>
        <v>Charophyta</v>
      </c>
      <c r="B76" t="str">
        <f>('remet-LZ'!I100)</f>
        <v>Closterium</v>
      </c>
      <c r="C76" s="53" t="s">
        <v>3688</v>
      </c>
      <c r="E76">
        <f>COUNTIF('remet-LZ'!Q100:'remet-LZ'!Q103,"&lt;=10")/COUNT('remet-LZ'!Q100:'remet-LZ'!Q103)</f>
        <v>0</v>
      </c>
      <c r="F76">
        <f>COUNTIFS('remet-LZ'!Q100:'remet-LZ'!Q103,"&gt;10",'remet-LZ'!Q100:'remet-LZ'!Q103,"&lt;=25")/COUNT('remet-LZ'!Q100:'remet-LZ'!Q103)</f>
        <v>0</v>
      </c>
      <c r="G76">
        <f>COUNTIFS('remet-LZ'!Q100:'remet-LZ'!Q103,"&gt;25",'remet-LZ'!Q100:'remet-LZ'!Q103,"&lt;=100")/COUNT('remet-LZ'!Q100:'remet-LZ'!Q103)</f>
        <v>0.25</v>
      </c>
      <c r="H76">
        <f>COUNTIFS('remet-LZ'!Q100:'remet-LZ'!Q103,"&gt;100")/COUNT('remet-LZ'!Q100:'remet-LZ'!Q103)</f>
        <v>0.75</v>
      </c>
      <c r="I76">
        <f>COUNTIF('remet-LZ'!BH100:'remet-LZ'!BH103,"&lt;=0.3")/COUNT('remet-LZ'!BH100:'remet-LZ'!BP103)</f>
        <v>0.25</v>
      </c>
      <c r="J76">
        <f>COUNTIFS('remet-LZ'!BH100:'remet-LZ'!BH103,"&gt;0.3",'remet-LZ'!BH100:'remet-LZ'!BH103,"&lt;=0.7")/COUNT('remet-LZ'!BH100:'remet-LZ'!BH103)</f>
        <v>0.5</v>
      </c>
      <c r="K76">
        <f>COUNTIFS('remet-LZ'!BH100:'remet-LZ'!BH103,"&gt;0.7",'remet-LZ'!BH100:'remet-LZ'!BH103,"&lt;=1.0")/COUNT('remet-LZ'!BH100:'remet-LZ'!BH103)</f>
        <v>0</v>
      </c>
      <c r="L76">
        <f>COUNTIFS('remet-LZ'!BH100:'remet-LZ'!BH103,"&gt;1.0",'remet-LZ'!BH100:'remet-LZ'!BH103,"&lt;=3.0")/COUNT('remet-LZ'!BH100:'remet-LZ'!BH103)</f>
        <v>0.25</v>
      </c>
      <c r="M76">
        <f>COUNTIFS('remet-LZ'!BH100:'remet-LZ'!BH103,"&gt;3")/COUNT('remet-LZ'!BH100:'remet-LZ'!BH103)</f>
        <v>0</v>
      </c>
      <c r="N76" s="64">
        <f>('remet-LZ'!AM100)</f>
        <v>0.11</v>
      </c>
      <c r="O76">
        <f>COUNTIF('remet-LZ'!Y100:'remet-LZ'!Y103,"=1")/COUNT('remet-LZ'!Y100:'remet-LZ'!Y103)</f>
        <v>1</v>
      </c>
      <c r="P76">
        <f>COUNTIF('remet-LZ'!Y100:'remet-LZ'!Y103,"&gt;1")/COUNT('remet-LZ'!Y100:'remet-LZ'!Y103)</f>
        <v>0</v>
      </c>
      <c r="Q76" t="s">
        <v>3589</v>
      </c>
      <c r="R76" t="s">
        <v>3583</v>
      </c>
      <c r="S76">
        <v>0</v>
      </c>
      <c r="T76">
        <v>0</v>
      </c>
    </row>
    <row r="77" spans="1:20" ht="17">
      <c r="A77" t="str">
        <f>('remet-LZ'!E104)</f>
        <v>Cyanobacteria</v>
      </c>
      <c r="B77" t="str">
        <f>('remet-LZ'!I104)</f>
        <v>Aphanocapsa</v>
      </c>
      <c r="C77" s="53" t="s">
        <v>3699</v>
      </c>
      <c r="E77">
        <f>COUNTIF('remet-LZ'!Q104:'remet-LZ'!Q106,"&lt;=10")/COUNT('remet-LZ'!Q104:'remet-LZ'!Q106)</f>
        <v>1</v>
      </c>
      <c r="F77">
        <f>COUNTIFS('remet-LZ'!Q104:'remet-LZ'!Q106,"&gt;10",'remet-LZ'!Q104:'remet-LZ'!Q106,"&lt;=25")/COUNT('remet-LZ'!Q104:'remet-LZ'!Q106)</f>
        <v>0</v>
      </c>
      <c r="G77">
        <f>COUNTIFS('remet-LZ'!Q104:'remet-LZ'!Q106,"&gt;25",'remet-LZ'!Q104:'remet-LZ'!Q106,"&lt;=100")/COUNT('remet-LZ'!Q104:'remet-LZ'!Q106)</f>
        <v>0</v>
      </c>
      <c r="H77">
        <f>COUNTIFS('remet-LZ'!Q104:'remet-LZ'!Q106,"&gt;100")/COUNT('remet-LZ'!Q104:'remet-LZ'!Q106)</f>
        <v>0</v>
      </c>
      <c r="I77">
        <f>COUNTIF('remet-LZ'!BH104:'remet-LZ'!BH106,"&lt;=0.3")/COUNT('remet-LZ'!BH104:'remet-LZ'!BP106)</f>
        <v>1</v>
      </c>
      <c r="J77">
        <f>COUNTIFS('remet-LZ'!BH104:'remet-LZ'!BH106,"&gt;0.3",'remet-LZ'!BH104:'remet-LZ'!BH106,"&lt;=0.7")/COUNT('remet-LZ'!BH104:'remet-LZ'!BH106)</f>
        <v>0</v>
      </c>
      <c r="K77">
        <f>COUNTIFS('remet-LZ'!BH104:'remet-LZ'!BH106,"&gt;0.7",'remet-LZ'!BH104:'remet-LZ'!BH106,"&lt;=1.0")/COUNT('remet-LZ'!BH104:'remet-LZ'!BH106)</f>
        <v>0</v>
      </c>
      <c r="L77">
        <f>COUNTIFS('remet-LZ'!BH104:'remet-LZ'!BH106,"&gt;1.0",'remet-LZ'!BH104:'remet-LZ'!BH106,"&lt;=3.0")/COUNT('remet-LZ'!BH104:'remet-LZ'!BH106)</f>
        <v>0</v>
      </c>
      <c r="M77">
        <f>COUNTIFS('remet-LZ'!BH104:'remet-LZ'!BH106,"&gt;3")/COUNT('remet-LZ'!BH104:'remet-LZ'!BH106)</f>
        <v>0</v>
      </c>
      <c r="N77" s="64">
        <f>('remet-LZ'!AM104)</f>
        <v>0.22</v>
      </c>
      <c r="O77">
        <f>COUNTIF('remet-LZ'!Y104:'remet-LZ'!Y106,"=1")/COUNT('remet-LZ'!Y104:'remet-LZ'!Y106)</f>
        <v>0.33333333333333331</v>
      </c>
      <c r="P77">
        <f>COUNTIF('remet-LZ'!Y104:'remet-LZ'!Y106,"&gt;1")/COUNT('remet-LZ'!Y104:'remet-LZ'!Y106)</f>
        <v>0.66666666666666663</v>
      </c>
      <c r="Q77" t="s">
        <v>3589</v>
      </c>
      <c r="R77" t="s">
        <v>3583</v>
      </c>
      <c r="S77">
        <v>0</v>
      </c>
      <c r="T77">
        <v>0</v>
      </c>
    </row>
    <row r="78" spans="1:20" ht="17">
      <c r="A78" t="str">
        <f>('remet-LZ'!E107)</f>
        <v>Ochrophyta</v>
      </c>
      <c r="B78" t="str">
        <f>('remet-LZ'!I107)</f>
        <v>Mallomonas</v>
      </c>
      <c r="C78" s="53" t="s">
        <v>3689</v>
      </c>
      <c r="E78">
        <f>COUNTIF('remet-LZ'!Q107,"&lt;=10")</f>
        <v>0</v>
      </c>
      <c r="F78">
        <f>COUNTIFS('remet-LZ'!Q107,"&gt;10",'remet-LZ'!Q107,"&lt;=25")</f>
        <v>0</v>
      </c>
      <c r="G78">
        <f>COUNTIFS('remet-LZ'!Q107,"&gt;25",'remet-LZ'!Q107,"&lt;=100")</f>
        <v>1</v>
      </c>
      <c r="H78">
        <f>COUNTIFS('remet-LZ'!Q107,"&gt;100")</f>
        <v>0</v>
      </c>
      <c r="I78" s="68">
        <f>COUNTIF('remet-LZ'!BH107,"&lt;=0.3")</f>
        <v>0</v>
      </c>
      <c r="J78" s="68">
        <f>COUNTIFS('remet-LZ'!BH107,"&gt;0.3",'remet-LZ'!BH107,"&lt;=0.7")</f>
        <v>1</v>
      </c>
      <c r="K78" s="68">
        <f>COUNTIFS('remet-LZ'!BH107,"&gt;0.7",'remet-LZ'!BH107,"&lt;=1.0")</f>
        <v>0</v>
      </c>
      <c r="L78" s="68">
        <f>COUNTIFS('remet-LZ'!BH107,"&gt;1.0",'remet-LZ'!BH107,"&lt;=3.0")</f>
        <v>0</v>
      </c>
      <c r="M78" s="68">
        <f>COUNTIF('remet-LZ'!BH107,"&gt;3.0")</f>
        <v>0</v>
      </c>
      <c r="N78" s="64">
        <f>('remet-LZ'!AM107)</f>
        <v>0.11</v>
      </c>
      <c r="O78">
        <f>COUNTIF('remet-LZ'!Y107,"=1")</f>
        <v>1</v>
      </c>
      <c r="P78">
        <f>COUNTIF('remet-LZ'!Y107,"&gt;1")</f>
        <v>0</v>
      </c>
      <c r="Q78" t="s">
        <v>3587</v>
      </c>
      <c r="R78" t="s">
        <v>3584</v>
      </c>
      <c r="S78">
        <v>0</v>
      </c>
      <c r="T78">
        <v>1</v>
      </c>
    </row>
    <row r="79" spans="1:20" ht="17">
      <c r="A79" t="str">
        <f>('remet-LZ'!E108)</f>
        <v>Chlorophyta</v>
      </c>
      <c r="B79" t="str">
        <f>('remet-LZ'!I108)</f>
        <v>Coenochloris</v>
      </c>
      <c r="C79" s="53" t="s">
        <v>3690</v>
      </c>
      <c r="E79">
        <f>COUNTIF('remet-LZ'!Q108,"&lt;=10")</f>
        <v>1</v>
      </c>
      <c r="F79">
        <f>COUNTIFS('remet-LZ'!Q108,"&gt;10",'remet-LZ'!Q108,"&lt;=25")</f>
        <v>0</v>
      </c>
      <c r="G79">
        <f>COUNTIFS('remet-LZ'!Q108,"&gt;25",'remet-LZ'!Q108,"&lt;=100")</f>
        <v>0</v>
      </c>
      <c r="H79">
        <f>COUNTIFS('remet-LZ'!Q108,"&gt;100")</f>
        <v>0</v>
      </c>
      <c r="I79" s="68">
        <f>COUNTIF('remet-LZ'!BH108,"&lt;=0.3")</f>
        <v>1</v>
      </c>
      <c r="J79" s="68">
        <f>COUNTIFS('remet-LZ'!BH108,"&gt;0.3",'remet-LZ'!BH108,"&lt;=0.7")</f>
        <v>0</v>
      </c>
      <c r="K79" s="68">
        <f>COUNTIFS('remet-LZ'!BH108,"&gt;0.7",'remet-LZ'!BH108,"&lt;=1.0")</f>
        <v>0</v>
      </c>
      <c r="L79" s="68">
        <f>COUNTIFS('remet-LZ'!BH108,"&gt;1.0",'remet-LZ'!BH108,"&lt;=3.0")</f>
        <v>0</v>
      </c>
      <c r="M79" s="68">
        <f>COUNTIF('remet-LZ'!BH108,"&gt;3.0")</f>
        <v>0</v>
      </c>
      <c r="N79" s="64">
        <f>('remet-LZ'!AM108)</f>
        <v>0.16</v>
      </c>
      <c r="O79">
        <f>COUNTIF('remet-LZ'!Y108,"=1")</f>
        <v>0</v>
      </c>
      <c r="P79">
        <f>COUNTIF('remet-LZ'!Y108,"&gt;1")</f>
        <v>1</v>
      </c>
      <c r="Q79" t="s">
        <v>3589</v>
      </c>
      <c r="R79" t="s">
        <v>3583</v>
      </c>
      <c r="S79">
        <v>0</v>
      </c>
      <c r="T79">
        <v>0</v>
      </c>
    </row>
    <row r="80" spans="1:20" ht="17">
      <c r="A80" t="str">
        <f>('remet-LZ'!E109)</f>
        <v>Chlorophyta</v>
      </c>
      <c r="B80" t="str">
        <f>('remet-LZ'!I109)</f>
        <v>Scenedesmus</v>
      </c>
      <c r="C80" s="53" t="s">
        <v>3691</v>
      </c>
      <c r="E80">
        <f>COUNTIF('remet-LZ'!Q109:'remet-LZ'!Q110,"&lt;=10")/COUNT('remet-LZ'!Q109:'remet-LZ'!Q110)</f>
        <v>0</v>
      </c>
      <c r="F80">
        <f>COUNTIFS('remet-LZ'!Q109:'remet-LZ'!Q110,"&gt;10",'remet-LZ'!Q109:'remet-LZ'!Q110,"&lt;=25")/COUNT('remet-LZ'!Q109:'remet-LZ'!Q110)</f>
        <v>1</v>
      </c>
      <c r="G80">
        <f>COUNTIFS('remet-LZ'!Q109:'remet-LZ'!Q110,"&gt;25",'remet-LZ'!Q109:'remet-LZ'!Q110,"&lt;=100")/COUNT('remet-LZ'!Q109:'remet-LZ'!Q110)</f>
        <v>0</v>
      </c>
      <c r="H80">
        <f>COUNTIFS('remet-LZ'!Q109:'remet-LZ'!Q110,"&gt;100")/COUNT('remet-LZ'!Q109:'remet-LZ'!Q110)</f>
        <v>0</v>
      </c>
      <c r="I80">
        <f>COUNTIF('remet-LZ'!BH109:'remet-LZ'!BH110,"&lt;=0.3")/COUNT('remet-LZ'!BH109:'remet-LZ'!BP110)</f>
        <v>0</v>
      </c>
      <c r="J80">
        <f>COUNTIFS('remet-LZ'!BH109:'remet-LZ'!BH110,"&gt;0.3",'remet-LZ'!BH109:'remet-LZ'!BH110,"&lt;=0.7")/COUNT('remet-LZ'!BH109:'remet-LZ'!BH110)</f>
        <v>1</v>
      </c>
      <c r="K80">
        <f>COUNTIFS('remet-LZ'!BH109:'remet-LZ'!BH110,"&gt;0.7",'remet-LZ'!BH109:'remet-LZ'!BH110,"&lt;=1.0")/COUNT('remet-LZ'!BH109:'remet-LZ'!BH110)</f>
        <v>0</v>
      </c>
      <c r="L80">
        <f>COUNTIFS('remet-LZ'!BH109:'remet-LZ'!BH110,"&gt;1.0",'remet-LZ'!BH109:'remet-LZ'!BH110,"&lt;=3.0")/COUNT('remet-LZ'!BH109:'remet-LZ'!BH110)</f>
        <v>0</v>
      </c>
      <c r="M80">
        <f>COUNTIFS('remet-LZ'!BH109:'remet-LZ'!BH110,"&gt;3")/COUNT('remet-LZ'!BH109:'remet-LZ'!BH110)</f>
        <v>0</v>
      </c>
      <c r="N80" s="64">
        <f>('remet-LZ'!AM109)</f>
        <v>0.16</v>
      </c>
      <c r="O80">
        <f>COUNTIF('remet-LZ'!Y109:'remet-LZ'!Y110,"=1")/COUNT('remet-LZ'!Y109:'remet-LZ'!Y110)</f>
        <v>0</v>
      </c>
      <c r="P80">
        <f>COUNTIF('remet-LZ'!Y109:'remet-LZ'!Y110,"&gt;1")/COUNT('remet-LZ'!Y109:'remet-LZ'!Y110)</f>
        <v>1</v>
      </c>
      <c r="Q80" t="s">
        <v>3589</v>
      </c>
      <c r="R80" t="s">
        <v>3583</v>
      </c>
      <c r="S80">
        <v>0</v>
      </c>
      <c r="T80">
        <v>0</v>
      </c>
    </row>
    <row r="81" spans="1:20" ht="17">
      <c r="A81" t="str">
        <f>('remet-LZ'!E111)</f>
        <v>Chlorophyta</v>
      </c>
      <c r="B81" t="str">
        <f>('remet-LZ'!I111)</f>
        <v>Botryococcus</v>
      </c>
      <c r="C81" s="53" t="s">
        <v>3692</v>
      </c>
      <c r="E81">
        <f>COUNTIF('remet-LZ'!Q111,"&lt;=10")</f>
        <v>1</v>
      </c>
      <c r="F81">
        <f>COUNTIFS('remet-LZ'!Q111,"&gt;10",'remet-LZ'!Q111,"&lt;=25")</f>
        <v>0</v>
      </c>
      <c r="G81">
        <f>COUNTIFS('remet-LZ'!Q111,"&gt;25",'remet-LZ'!Q111,"&lt;=100")</f>
        <v>0</v>
      </c>
      <c r="H81">
        <f>COUNTIFS('remet-LZ'!Q111,"&gt;100")</f>
        <v>0</v>
      </c>
      <c r="I81" s="68">
        <f>COUNTIF('remet-LZ'!BH111,"&lt;=0.3")</f>
        <v>1</v>
      </c>
      <c r="J81" s="68">
        <f>COUNTIFS('remet-LZ'!BH111,"&gt;0.3",'remet-LZ'!BH111,"&lt;=0.7")</f>
        <v>0</v>
      </c>
      <c r="K81" s="68">
        <f>COUNTIFS('remet-LZ'!BH111,"&gt;0.7",'remet-LZ'!BH111,"&lt;=1.0")</f>
        <v>0</v>
      </c>
      <c r="L81" s="68">
        <f>COUNTIFS('remet-LZ'!BH111,"&gt;1.0",'remet-LZ'!BH111,"&lt;=3.0")</f>
        <v>0</v>
      </c>
      <c r="M81" s="68">
        <f>COUNTIF('remet-LZ'!BH111,"&gt;3.0")</f>
        <v>0</v>
      </c>
      <c r="N81" s="64">
        <f>('remet-LZ'!AM111)</f>
        <v>0.16</v>
      </c>
      <c r="O81">
        <f>COUNTIF('remet-LZ'!Y111,"=1")</f>
        <v>0</v>
      </c>
      <c r="P81">
        <f>COUNTIF('remet-LZ'!Y111,"&gt;1")</f>
        <v>1</v>
      </c>
      <c r="Q81" t="s">
        <v>3589</v>
      </c>
      <c r="R81" t="s">
        <v>3583</v>
      </c>
      <c r="S81">
        <v>0</v>
      </c>
      <c r="T81">
        <v>0</v>
      </c>
    </row>
    <row r="82" spans="1:20" ht="17">
      <c r="A82" t="str">
        <f>('remet-LZ'!E112)</f>
        <v>Ochrophyta</v>
      </c>
      <c r="B82" t="str">
        <f>('remet-LZ'!I112)</f>
        <v>Bitrichia</v>
      </c>
      <c r="C82" s="53" t="s">
        <v>3693</v>
      </c>
      <c r="E82">
        <f>COUNTIF('remet-LZ'!Q112,"&lt;=10")</f>
        <v>0</v>
      </c>
      <c r="F82">
        <f>COUNTIFS('remet-LZ'!Q112,"&gt;10",'remet-LZ'!Q112,"&lt;=25")</f>
        <v>1</v>
      </c>
      <c r="G82">
        <f>COUNTIFS('remet-LZ'!Q112,"&gt;25",'remet-LZ'!Q112,"&lt;=100")</f>
        <v>0</v>
      </c>
      <c r="H82">
        <f>COUNTIFS('remet-LZ'!Q112,"&gt;100")</f>
        <v>0</v>
      </c>
      <c r="I82" s="68">
        <f>COUNTIF('remet-LZ'!BH112,"&lt;=0.3")</f>
        <v>1</v>
      </c>
      <c r="J82" s="68">
        <f>COUNTIFS('remet-LZ'!BH112,"&gt;0.3",'remet-LZ'!BH112,"&lt;=0.7")</f>
        <v>0</v>
      </c>
      <c r="K82" s="68">
        <f>COUNTIFS('remet-LZ'!BH112,"&gt;0.7",'remet-LZ'!BH112,"&lt;=1.0")</f>
        <v>0</v>
      </c>
      <c r="L82" s="68">
        <f>COUNTIFS('remet-LZ'!BH112,"&gt;1.0",'remet-LZ'!BH112,"&lt;=3.0")</f>
        <v>0</v>
      </c>
      <c r="M82" s="68">
        <f>COUNTIF('remet-LZ'!BH112,"&gt;3.0")</f>
        <v>0</v>
      </c>
      <c r="N82" s="64">
        <f>('remet-LZ'!AM112)</f>
        <v>0.11</v>
      </c>
      <c r="O82">
        <f>COUNTIF('remet-LZ'!Y112,"=1")</f>
        <v>1</v>
      </c>
      <c r="P82">
        <f>COUNTIF('remet-LZ'!Y112,"&gt;1")</f>
        <v>0</v>
      </c>
      <c r="Q82" t="s">
        <v>3589</v>
      </c>
      <c r="R82" t="s">
        <v>3584</v>
      </c>
      <c r="S82">
        <v>0</v>
      </c>
      <c r="T82">
        <v>0</v>
      </c>
    </row>
    <row r="83" spans="1:20" ht="17">
      <c r="A83" t="str">
        <f>('remet-LZ'!E113)</f>
        <v>Chlorophyta</v>
      </c>
      <c r="B83" t="str">
        <f>('remet-LZ'!I113)</f>
        <v>Westella</v>
      </c>
      <c r="C83" s="53" t="s">
        <v>3694</v>
      </c>
      <c r="E83">
        <f>COUNTIF('remet-LZ'!Q113,"&lt;=10")</f>
        <v>1</v>
      </c>
      <c r="F83">
        <f>COUNTIFS('remet-LZ'!Q113,"&gt;10",'remet-LZ'!Q113,"&lt;=25")</f>
        <v>0</v>
      </c>
      <c r="G83">
        <f>COUNTIFS('remet-LZ'!Q113,"&gt;25",'remet-LZ'!Q113,"&lt;=100")</f>
        <v>0</v>
      </c>
      <c r="H83">
        <f>COUNTIFS('remet-LZ'!Q113,"&gt;100")</f>
        <v>0</v>
      </c>
      <c r="I83" s="68">
        <f>COUNTIF('remet-LZ'!BH113,"&lt;=0.3")</f>
        <v>0</v>
      </c>
      <c r="J83" s="68">
        <f>COUNTIFS('remet-LZ'!BH113,"&gt;0.3",'remet-LZ'!BH113,"&lt;=0.7")</f>
        <v>1</v>
      </c>
      <c r="K83" s="68">
        <f>COUNTIFS('remet-LZ'!BH113,"&gt;0.7",'remet-LZ'!BH113,"&lt;=1.0")</f>
        <v>0</v>
      </c>
      <c r="L83" s="68">
        <f>COUNTIFS('remet-LZ'!BH113,"&gt;1.0",'remet-LZ'!BH113,"&lt;=3.0")</f>
        <v>0</v>
      </c>
      <c r="M83" s="68">
        <f>COUNTIF('remet-LZ'!BH113,"&gt;3.0")</f>
        <v>0</v>
      </c>
      <c r="N83" s="64">
        <f>('remet-LZ'!AM113)</f>
        <v>0.16</v>
      </c>
      <c r="O83">
        <f>COUNTIF('remet-LZ'!Y113,"=1")</f>
        <v>0</v>
      </c>
      <c r="P83">
        <f>COUNTIF('remet-LZ'!Y113,"&gt;1")</f>
        <v>1</v>
      </c>
      <c r="Q83" t="s">
        <v>3589</v>
      </c>
      <c r="R83" t="s">
        <v>3583</v>
      </c>
      <c r="S83">
        <v>0</v>
      </c>
      <c r="T83">
        <v>0</v>
      </c>
    </row>
    <row r="84" spans="1:20" ht="17">
      <c r="A84" t="str">
        <f>('remet-LZ'!E114)</f>
        <v>Ochrophyta</v>
      </c>
      <c r="B84" t="str">
        <f>('remet-LZ'!I114)</f>
        <v>Mallomonas</v>
      </c>
      <c r="C84" s="53" t="s">
        <v>3695</v>
      </c>
      <c r="E84">
        <f>COUNTIF('remet-LZ'!Q114,"&lt;=10")</f>
        <v>0</v>
      </c>
      <c r="F84">
        <f>COUNTIFS('remet-LZ'!Q114,"&gt;10",'remet-LZ'!Q114,"&lt;=25")</f>
        <v>0</v>
      </c>
      <c r="G84">
        <f>COUNTIFS('remet-LZ'!Q114,"&gt;25",'remet-LZ'!Q114,"&lt;=100")</f>
        <v>1</v>
      </c>
      <c r="H84">
        <f>COUNTIFS('remet-LZ'!Q114,"&gt;100")</f>
        <v>0</v>
      </c>
      <c r="I84" s="68">
        <f>COUNTIF('remet-LZ'!BH114,"&lt;=0.3")</f>
        <v>0</v>
      </c>
      <c r="J84" s="68">
        <f>COUNTIFS('remet-LZ'!BH114,"&gt;0.3",'remet-LZ'!BH114,"&lt;=0.7")</f>
        <v>1</v>
      </c>
      <c r="K84" s="68">
        <f>COUNTIFS('remet-LZ'!BH114,"&gt;0.7",'remet-LZ'!BH114,"&lt;=1.0")</f>
        <v>0</v>
      </c>
      <c r="L84" s="68">
        <f>COUNTIFS('remet-LZ'!BH114,"&gt;1.0",'remet-LZ'!BH114,"&lt;=3.0")</f>
        <v>0</v>
      </c>
      <c r="M84" s="68">
        <f>COUNTIF('remet-LZ'!BH114,"&gt;3.0")</f>
        <v>0</v>
      </c>
      <c r="N84" s="64">
        <f>('remet-LZ'!AM114)</f>
        <v>0.11</v>
      </c>
      <c r="O84">
        <f>COUNTIF('remet-LZ'!Y114,"=1")</f>
        <v>1</v>
      </c>
      <c r="P84">
        <f>COUNTIF('remet-LZ'!Y114,"&gt;1")</f>
        <v>0</v>
      </c>
      <c r="Q84" t="s">
        <v>3589</v>
      </c>
      <c r="R84" t="s">
        <v>3584</v>
      </c>
      <c r="S84">
        <v>0</v>
      </c>
      <c r="T84">
        <v>1</v>
      </c>
    </row>
    <row r="85" spans="1:20" ht="17">
      <c r="A85" t="str">
        <f>('remet-LZ'!E115)</f>
        <v>Ochrophyta</v>
      </c>
      <c r="B85" t="str">
        <f>('remet-LZ'!I115)</f>
        <v>Uroglena</v>
      </c>
      <c r="C85" s="53" t="s">
        <v>3700</v>
      </c>
      <c r="E85">
        <f>COUNTIF('remet-LZ'!Q115,"&lt;=10")</f>
        <v>1</v>
      </c>
      <c r="F85">
        <f>COUNTIFS('remet-LZ'!Q115,"&gt;10",'remet-LZ'!Q115,"&lt;=25")</f>
        <v>0</v>
      </c>
      <c r="G85">
        <f>COUNTIFS('remet-LZ'!Q115,"&gt;25",'remet-LZ'!Q115,"&lt;=100")</f>
        <v>0</v>
      </c>
      <c r="H85">
        <f>COUNTIFS('remet-LZ'!Q115,"&gt;100")</f>
        <v>0</v>
      </c>
      <c r="I85" s="68">
        <f>COUNTIF('remet-LZ'!BH115,"&lt;=0.3")</f>
        <v>1</v>
      </c>
      <c r="J85" s="68">
        <f>COUNTIFS('remet-LZ'!BH115,"&gt;0.3",'remet-LZ'!BH115,"&lt;=0.7")</f>
        <v>0</v>
      </c>
      <c r="K85" s="68">
        <f>COUNTIFS('remet-LZ'!BH115,"&gt;0.7",'remet-LZ'!BH115,"&lt;=1.0")</f>
        <v>0</v>
      </c>
      <c r="L85" s="68">
        <f>COUNTIFS('remet-LZ'!BH115,"&gt;1.0",'remet-LZ'!BH115,"&lt;=3.0")</f>
        <v>0</v>
      </c>
      <c r="M85" s="68">
        <f>COUNTIF('remet-LZ'!BH115,"&gt;3.0")</f>
        <v>0</v>
      </c>
      <c r="N85" s="64">
        <f>('remet-LZ'!AM115)</f>
        <v>0.11</v>
      </c>
      <c r="O85">
        <f>COUNTIF('remet-LZ'!Y115,"=1")</f>
        <v>0</v>
      </c>
      <c r="P85">
        <f>COUNTIF('remet-LZ'!Y115,"&gt;1")</f>
        <v>1</v>
      </c>
      <c r="Q85" t="s">
        <v>3587</v>
      </c>
      <c r="R85" t="s">
        <v>3584</v>
      </c>
      <c r="S85">
        <v>0</v>
      </c>
      <c r="T85">
        <v>0</v>
      </c>
    </row>
    <row r="86" spans="1:20" ht="17">
      <c r="A86" t="str">
        <f>('remet-LZ'!E116)</f>
        <v>Chlorophyta</v>
      </c>
      <c r="B86" t="str">
        <f>('remet-LZ'!I116)</f>
        <v>Ulothrix</v>
      </c>
      <c r="C86" s="53" t="s">
        <v>3795</v>
      </c>
      <c r="E86">
        <f>COUNTIF('remet-LZ'!Q116,"&lt;=10")</f>
        <v>1</v>
      </c>
      <c r="F86">
        <f>COUNTIFS('remet-LZ'!Q116,"&gt;10",'remet-LZ'!Q116,"&lt;=25")</f>
        <v>0</v>
      </c>
      <c r="G86">
        <f>COUNTIFS('remet-LZ'!Q116,"&gt;25",'remet-LZ'!Q116,"&lt;=100")</f>
        <v>0</v>
      </c>
      <c r="H86">
        <f>COUNTIFS('remet-LZ'!Q116,"&gt;100")</f>
        <v>0</v>
      </c>
      <c r="I86" s="68">
        <f>COUNTIF('remet-LZ'!BH116,"&lt;=0.3")</f>
        <v>0</v>
      </c>
      <c r="J86" s="68">
        <f>COUNTIFS('remet-LZ'!BH116,"&gt;0.3",'remet-LZ'!BH116,"&lt;=0.7")</f>
        <v>0</v>
      </c>
      <c r="K86" s="68">
        <f>COUNTIFS('remet-LZ'!BH116,"&gt;0.7",'remet-LZ'!BH116,"&lt;=1.0")</f>
        <v>1</v>
      </c>
      <c r="L86" s="68">
        <f>COUNTIFS('remet-LZ'!BH116,"&gt;1.0",'remet-LZ'!BH116,"&lt;=3.0")</f>
        <v>0</v>
      </c>
      <c r="M86" s="68">
        <f>COUNTIF('remet-LZ'!BH116,"&gt;3.0")</f>
        <v>0</v>
      </c>
      <c r="N86" s="64">
        <f>('remet-LZ'!AM116)</f>
        <v>0.16</v>
      </c>
      <c r="O86">
        <f>COUNTIF('remet-LZ'!Y116,"=1")</f>
        <v>0</v>
      </c>
      <c r="P86">
        <f>COUNTIF('remet-LZ'!Y116,"&gt;1")</f>
        <v>1</v>
      </c>
      <c r="Q86" t="s">
        <v>3589</v>
      </c>
      <c r="R86" t="s">
        <v>3583</v>
      </c>
      <c r="S86">
        <v>0</v>
      </c>
      <c r="T86">
        <v>0</v>
      </c>
    </row>
    <row r="87" spans="1:20" ht="17">
      <c r="A87" t="str">
        <f>('remet-LZ'!E117)</f>
        <v>Bacillariophyta</v>
      </c>
      <c r="B87" t="str">
        <f>('remet-LZ'!I117)</f>
        <v>Aulacoseira</v>
      </c>
      <c r="C87" s="53" t="s">
        <v>3796</v>
      </c>
      <c r="E87">
        <f>COUNTIF('remet-LZ'!Q117,"&lt;=10")</f>
        <v>0</v>
      </c>
      <c r="F87">
        <f>COUNTIFS('remet-LZ'!Q117,"&gt;10",'remet-LZ'!Q117,"&lt;=25")</f>
        <v>1</v>
      </c>
      <c r="G87">
        <f>COUNTIFS('remet-LZ'!Q117,"&gt;25",'remet-LZ'!Q117,"&lt;=100")</f>
        <v>0</v>
      </c>
      <c r="H87">
        <f>COUNTIFS('remet-LZ'!Q117,"&gt;100")</f>
        <v>0</v>
      </c>
      <c r="I87" s="68">
        <f>COUNTIF('remet-LZ'!BH117,"&lt;=0.3")</f>
        <v>0</v>
      </c>
      <c r="J87" s="68">
        <f>COUNTIFS('remet-LZ'!BH117,"&gt;0.3",'remet-LZ'!BH117,"&lt;=0.7")</f>
        <v>0</v>
      </c>
      <c r="K87" s="68">
        <f>COUNTIFS('remet-LZ'!BH117,"&gt;0.7",'remet-LZ'!BH117,"&lt;=1.0")</f>
        <v>0</v>
      </c>
      <c r="L87" s="68">
        <f>COUNTIFS('remet-LZ'!BH117,"&gt;1.0",'remet-LZ'!BH117,"&lt;=3.0")</f>
        <v>1</v>
      </c>
      <c r="M87" s="68">
        <f>COUNTIF('remet-LZ'!BH117,"&gt;3.0")</f>
        <v>0</v>
      </c>
      <c r="N87" s="64">
        <f>('remet-LZ'!AM117)</f>
        <v>0.11</v>
      </c>
      <c r="O87">
        <f>COUNTIF('remet-LZ'!Y117,"=1")</f>
        <v>1</v>
      </c>
      <c r="P87">
        <f>COUNTIF('remet-LZ'!Y117,"&gt;1")</f>
        <v>0</v>
      </c>
      <c r="Q87" t="s">
        <v>3589</v>
      </c>
      <c r="R87" t="s">
        <v>3584</v>
      </c>
      <c r="S87">
        <v>0</v>
      </c>
      <c r="T87">
        <v>1</v>
      </c>
    </row>
    <row r="88" spans="1:20" ht="17">
      <c r="A88" t="str">
        <f>('remet-LZ'!E118)</f>
        <v>Bacillariophyta</v>
      </c>
      <c r="B88" t="str">
        <f>('remet-LZ'!I118)</f>
        <v>Fragilaria</v>
      </c>
      <c r="C88" s="53" t="s">
        <v>3797</v>
      </c>
      <c r="E88">
        <f>COUNTIF('remet-LZ'!Q118,"&lt;=10")</f>
        <v>0</v>
      </c>
      <c r="F88">
        <f>COUNTIFS('remet-LZ'!Q118,"&gt;10",'remet-LZ'!Q118,"&lt;=25")</f>
        <v>0</v>
      </c>
      <c r="G88">
        <f>COUNTIFS('remet-LZ'!Q118,"&gt;25",'remet-LZ'!Q118,"&lt;=100")</f>
        <v>1</v>
      </c>
      <c r="H88">
        <f>COUNTIFS('remet-LZ'!Q118,"&gt;100")</f>
        <v>0</v>
      </c>
      <c r="I88" s="68">
        <f>COUNTIF('remet-LZ'!BH118,"&lt;=0.3")</f>
        <v>1</v>
      </c>
      <c r="J88" s="68">
        <f>COUNTIFS('remet-LZ'!BH118,"&gt;0.3",'remet-LZ'!BH118,"&lt;=0.7")</f>
        <v>0</v>
      </c>
      <c r="K88" s="68">
        <f>COUNTIFS('remet-LZ'!BH118,"&gt;0.7",'remet-LZ'!BH118,"&lt;=1.0")</f>
        <v>0</v>
      </c>
      <c r="L88" s="68">
        <f>COUNTIFS('remet-LZ'!BH118,"&gt;1.0",'remet-LZ'!BH118,"&lt;=3.0")</f>
        <v>0</v>
      </c>
      <c r="M88" s="68">
        <f>COUNTIF('remet-LZ'!BH118,"&gt;3.0")</f>
        <v>0</v>
      </c>
      <c r="N88" s="64">
        <f>('remet-LZ'!AM118)</f>
        <v>0.11</v>
      </c>
      <c r="O88">
        <f>COUNTIF('remet-LZ'!Y118,"=1")</f>
        <v>1</v>
      </c>
      <c r="P88">
        <f>COUNTIF('remet-LZ'!Y118,"&gt;1")</f>
        <v>0</v>
      </c>
      <c r="Q88" t="s">
        <v>3589</v>
      </c>
      <c r="R88" t="s">
        <v>3584</v>
      </c>
      <c r="S88">
        <v>0</v>
      </c>
      <c r="T88">
        <v>1</v>
      </c>
    </row>
    <row r="89" spans="1:20" ht="17">
      <c r="A89" t="str">
        <f>('remet-LZ'!E119)</f>
        <v>Cyanobacteria</v>
      </c>
      <c r="B89" t="str">
        <f>('remet-LZ'!I119)</f>
        <v>Oscillatoria</v>
      </c>
      <c r="C89" s="53" t="s">
        <v>3798</v>
      </c>
      <c r="E89">
        <f>COUNTIF('remet-LZ'!Q119,"&lt;=10")</f>
        <v>1</v>
      </c>
      <c r="F89">
        <f>COUNTIFS('remet-LZ'!Q119,"&gt;10",'remet-LZ'!Q119,"&lt;=25")</f>
        <v>0</v>
      </c>
      <c r="G89">
        <f>COUNTIFS('remet-LZ'!Q119,"&gt;25",'remet-LZ'!Q119,"&lt;=100")</f>
        <v>0</v>
      </c>
      <c r="H89">
        <f>COUNTIFS('remet-LZ'!Q119,"&gt;100")</f>
        <v>0</v>
      </c>
      <c r="I89" s="68">
        <f>COUNTIF('remet-LZ'!BH119,"&lt;=0.3")</f>
        <v>0</v>
      </c>
      <c r="J89" s="68">
        <f>COUNTIFS('remet-LZ'!BH119,"&gt;0.3",'remet-LZ'!BH119,"&lt;=0.7")</f>
        <v>0</v>
      </c>
      <c r="K89" s="68">
        <f>COUNTIFS('remet-LZ'!BH119,"&gt;0.7",'remet-LZ'!BH119,"&lt;=1.0")</f>
        <v>0</v>
      </c>
      <c r="L89" s="68">
        <f>COUNTIFS('remet-LZ'!BH119,"&gt;1.0",'remet-LZ'!BH119,"&lt;=3.0")</f>
        <v>1</v>
      </c>
      <c r="M89" s="68">
        <f>COUNTIF('remet-LZ'!BH119,"&gt;3.0")</f>
        <v>0</v>
      </c>
      <c r="N89" s="64">
        <f>('remet-LZ'!AM119)</f>
        <v>0.22</v>
      </c>
      <c r="O89">
        <f>COUNTIF('remet-LZ'!Y119,"=1")</f>
        <v>0</v>
      </c>
      <c r="P89">
        <f>COUNTIF('remet-LZ'!Y119,"&gt;1")</f>
        <v>1</v>
      </c>
      <c r="Q89" t="s">
        <v>3589</v>
      </c>
      <c r="R89" t="s">
        <v>3583</v>
      </c>
      <c r="S89">
        <v>0</v>
      </c>
      <c r="T89">
        <v>0</v>
      </c>
    </row>
    <row r="90" spans="1:20" ht="17">
      <c r="C90" s="53" t="s">
        <v>3799</v>
      </c>
    </row>
    <row r="91" spans="1:20" ht="17">
      <c r="C91" s="53" t="s">
        <v>3800</v>
      </c>
    </row>
    <row r="92" spans="1:20" ht="34">
      <c r="A92" t="str">
        <f>('remet-LZ'!E122)</f>
        <v>Cyanobacteria</v>
      </c>
      <c r="B92" t="str">
        <f>('remet-LZ'!I122)</f>
        <v>Coelosphaerium</v>
      </c>
      <c r="C92" s="53" t="s">
        <v>3801</v>
      </c>
      <c r="E92">
        <f>COUNTIF('remet-LZ'!Q122,"&lt;=10")</f>
        <v>1</v>
      </c>
      <c r="F92">
        <f>COUNTIFS('remet-LZ'!Q122,"&gt;10",'remet-LZ'!Q122,"&lt;=25")</f>
        <v>0</v>
      </c>
      <c r="G92">
        <f>COUNTIFS('remet-LZ'!Q122,"&gt;25",'remet-LZ'!Q122,"&lt;=100")</f>
        <v>0</v>
      </c>
      <c r="H92">
        <f>COUNTIFS('remet-LZ'!Q122,"&gt;100")</f>
        <v>0</v>
      </c>
      <c r="I92" s="68">
        <f>COUNTIF('remet-LZ'!BH122,"&lt;=0.3")</f>
        <v>1</v>
      </c>
      <c r="J92" s="68">
        <f>COUNTIFS('remet-LZ'!BH122,"&gt;0.3",'remet-LZ'!BH122,"&lt;=0.7")</f>
        <v>0</v>
      </c>
      <c r="K92" s="68">
        <f>COUNTIFS('remet-LZ'!BH122,"&gt;0.7",'remet-LZ'!BH122,"&lt;=1.0")</f>
        <v>0</v>
      </c>
      <c r="L92" s="68">
        <f>COUNTIFS('remet-LZ'!BH122,"&gt;1.0",'remet-LZ'!BH122,"&lt;=3.0")</f>
        <v>0</v>
      </c>
      <c r="M92" s="68">
        <f>COUNTIF('remet-LZ'!BH122,"&gt;3.0")</f>
        <v>0</v>
      </c>
      <c r="N92" s="64">
        <f>('remet-LZ'!AM122)</f>
        <v>0.22</v>
      </c>
      <c r="O92">
        <f>COUNTIF('remet-LZ'!Y122,"=1")</f>
        <v>0</v>
      </c>
      <c r="P92">
        <f>COUNTIF('remet-LZ'!Y122,"&gt;1")</f>
        <v>1</v>
      </c>
      <c r="Q92" t="s">
        <v>3589</v>
      </c>
      <c r="R92" t="s">
        <v>3583</v>
      </c>
      <c r="S92">
        <v>1</v>
      </c>
      <c r="T92">
        <v>0</v>
      </c>
    </row>
    <row r="93" spans="1:20" ht="17">
      <c r="C93" s="53" t="s">
        <v>3802</v>
      </c>
    </row>
    <row r="94" spans="1:20" ht="17">
      <c r="A94" t="str">
        <f>('remet-LZ'!E124)</f>
        <v>Charophyta</v>
      </c>
      <c r="B94" t="str">
        <f>('remet-LZ'!I124)</f>
        <v>Spirogyra</v>
      </c>
      <c r="C94" s="53" t="s">
        <v>3803</v>
      </c>
      <c r="E94">
        <f>COUNTIF('remet-LZ'!Q124:'remet-LZ'!Q126,"&lt;=10")/COUNT('remet-LZ'!Q124:'remet-LZ'!Q126)</f>
        <v>0</v>
      </c>
      <c r="F94">
        <f>COUNTIFS('remet-LZ'!Q124:'remet-LZ'!Q126,"&gt;10",'remet-LZ'!Q124:'remet-LZ'!Q126,"&lt;=25")/COUNT('remet-LZ'!Q124:'remet-LZ'!Q126)</f>
        <v>0</v>
      </c>
      <c r="G94">
        <f>COUNTIFS('remet-LZ'!Q124:'remet-LZ'!Q126,"&gt;25",'remet-LZ'!Q124:'remet-LZ'!Q126,"&lt;=100")/COUNT('remet-LZ'!Q124:'remet-LZ'!Q126)</f>
        <v>0.66666666666666663</v>
      </c>
      <c r="H94">
        <f>COUNTIFS('remet-LZ'!Q124:'remet-LZ'!Q126,"&gt;100")/COUNT('remet-LZ'!Q124:'remet-LZ'!Q126)</f>
        <v>0.33333333333333331</v>
      </c>
      <c r="I94">
        <f>COUNTIF('remet-LZ'!BH124:'remet-LZ'!BH126,"&lt;=0.3")/COUNT('remet-LZ'!BH124:'remet-LZ'!BP126)</f>
        <v>0</v>
      </c>
      <c r="J94">
        <f>COUNTIFS('remet-LZ'!BH124:'remet-LZ'!BH126,"&gt;0.3",'remet-LZ'!BH124:'remet-LZ'!BH126,"&lt;=0.7")/COUNT('remet-LZ'!BH124:'remet-LZ'!BH126)</f>
        <v>0</v>
      </c>
      <c r="K94">
        <f>COUNTIFS('remet-LZ'!BH124:'remet-LZ'!BH126,"&gt;0.7",'remet-LZ'!BH124:'remet-LZ'!BH126,"&lt;=1.0")/COUNT('remet-LZ'!BH124:'remet-LZ'!BH126)</f>
        <v>0</v>
      </c>
      <c r="L94">
        <f>COUNTIFS('remet-LZ'!BH124:'remet-LZ'!BH126,"&gt;1.0",'remet-LZ'!BH124:'remet-LZ'!BH126,"&lt;=3.0")/COUNT('remet-LZ'!BH124:'remet-LZ'!BH126)</f>
        <v>0.33333333333333331</v>
      </c>
      <c r="M94">
        <f>COUNTIFS('remet-LZ'!BH124:'remet-LZ'!BH126,"&gt;3")/COUNT('remet-LZ'!BH124:'remet-LZ'!BH126)</f>
        <v>0.66666666666666663</v>
      </c>
      <c r="N94" s="64">
        <f>('remet-LZ'!AM124)</f>
        <v>0.11</v>
      </c>
      <c r="O94">
        <f>COUNTIF('remet-LZ'!Y124:'remet-LZ'!Y126,"=1")/COUNT('remet-LZ'!Y124:'remet-LZ'!Y126)</f>
        <v>0.66666666666666663</v>
      </c>
      <c r="P94">
        <f>COUNTIF('remet-LZ'!Y124:'remet-LZ'!Y126,"&gt;1")/COUNT('remet-LZ'!Y124:'remet-LZ'!Y126)</f>
        <v>0.33333333333333331</v>
      </c>
      <c r="Q94" t="s">
        <v>3589</v>
      </c>
      <c r="R94" t="s">
        <v>3583</v>
      </c>
      <c r="S94">
        <v>0</v>
      </c>
      <c r="T94">
        <v>0</v>
      </c>
    </row>
    <row r="95" spans="1:20" ht="17">
      <c r="A95" t="str">
        <f>('remet-LZ'!E127)</f>
        <v>Bacillariophyta</v>
      </c>
      <c r="B95" t="str">
        <f>('remet-LZ'!I127)</f>
        <v>Meridion</v>
      </c>
      <c r="C95" s="53" t="s">
        <v>3804</v>
      </c>
      <c r="E95">
        <f>COUNTIF('remet-LZ'!Q127,"&lt;=10")</f>
        <v>0</v>
      </c>
      <c r="F95">
        <f>COUNTIFS('remet-LZ'!Q127,"&gt;10",'remet-LZ'!Q127,"&lt;=25")</f>
        <v>0</v>
      </c>
      <c r="G95">
        <f>COUNTIFS('remet-LZ'!Q127,"&gt;25",'remet-LZ'!Q127,"&lt;=100")</f>
        <v>1</v>
      </c>
      <c r="H95">
        <f>COUNTIFS('remet-LZ'!Q127,"&gt;100")</f>
        <v>0</v>
      </c>
      <c r="I95" s="68">
        <f>COUNTIF('remet-LZ'!BH127,"&lt;=0.3")</f>
        <v>0</v>
      </c>
      <c r="J95" s="68">
        <f>COUNTIFS('remet-LZ'!BH127,"&gt;0.3",'remet-LZ'!BH127,"&lt;=0.7")</f>
        <v>1</v>
      </c>
      <c r="K95" s="68">
        <f>COUNTIFS('remet-LZ'!BH127,"&gt;0.7",'remet-LZ'!BH127,"&lt;=1.0")</f>
        <v>0</v>
      </c>
      <c r="L95" s="68">
        <f>COUNTIFS('remet-LZ'!BH127,"&gt;1.0",'remet-LZ'!BH127,"&lt;=3.0")</f>
        <v>0</v>
      </c>
      <c r="M95" s="68">
        <f>COUNTIF('remet-LZ'!BH127,"&gt;3.0")</f>
        <v>0</v>
      </c>
      <c r="N95" s="64">
        <f>('remet-LZ'!AM127)</f>
        <v>0.11</v>
      </c>
      <c r="O95">
        <f>COUNTIF('remet-LZ'!Y127,"=1")</f>
        <v>1</v>
      </c>
      <c r="P95">
        <f>COUNTIF('remet-LZ'!Y127,"&gt;1")</f>
        <v>0</v>
      </c>
      <c r="Q95" t="s">
        <v>3589</v>
      </c>
      <c r="R95" t="s">
        <v>3584</v>
      </c>
      <c r="S95">
        <v>0</v>
      </c>
      <c r="T95">
        <v>1</v>
      </c>
    </row>
    <row r="96" spans="1:20" ht="17">
      <c r="A96" t="str">
        <f>('remet-LZ'!E128)</f>
        <v>Bacillariophyta</v>
      </c>
      <c r="B96" t="str">
        <f>('remet-LZ'!I128)</f>
        <v>Surirella</v>
      </c>
      <c r="C96" s="53" t="s">
        <v>3805</v>
      </c>
      <c r="E96">
        <f>COUNTIF('remet-LZ'!Q128,"&lt;=10")</f>
        <v>0</v>
      </c>
      <c r="F96">
        <f>COUNTIFS('remet-LZ'!Q128,"&gt;10",'remet-LZ'!Q128,"&lt;=25")</f>
        <v>0</v>
      </c>
      <c r="G96">
        <f>COUNTIFS('remet-LZ'!Q128,"&gt;25",'remet-LZ'!Q128,"&lt;=100")</f>
        <v>1</v>
      </c>
      <c r="H96">
        <f>COUNTIFS('remet-LZ'!Q128,"&gt;100")</f>
        <v>0</v>
      </c>
      <c r="I96" s="68">
        <f>COUNTIF('remet-LZ'!BH128,"&lt;=0.3")</f>
        <v>0</v>
      </c>
      <c r="J96" s="68">
        <f>COUNTIFS('remet-LZ'!BH128,"&gt;0.3",'remet-LZ'!BH128,"&lt;=0.7")</f>
        <v>0</v>
      </c>
      <c r="K96" s="68">
        <f>COUNTIFS('remet-LZ'!BH128,"&gt;0.7",'remet-LZ'!BH128,"&lt;=1.0")</f>
        <v>0</v>
      </c>
      <c r="L96" s="68">
        <f>COUNTIFS('remet-LZ'!BH128,"&gt;1.0",'remet-LZ'!BH128,"&lt;=3.0")</f>
        <v>1</v>
      </c>
      <c r="M96" s="68">
        <f>COUNTIF('remet-LZ'!BH128,"&gt;3.0")</f>
        <v>0</v>
      </c>
      <c r="N96" s="64">
        <f>('remet-LZ'!AM128)</f>
        <v>0.11</v>
      </c>
      <c r="O96">
        <f>COUNTIF('remet-LZ'!Y128,"=1")</f>
        <v>1</v>
      </c>
      <c r="P96">
        <f>COUNTIF('remet-LZ'!Y128,"&gt;1")</f>
        <v>0</v>
      </c>
      <c r="Q96" t="s">
        <v>3586</v>
      </c>
      <c r="R96" t="s">
        <v>3584</v>
      </c>
      <c r="S96">
        <v>0</v>
      </c>
      <c r="T96">
        <v>1</v>
      </c>
    </row>
    <row r="97" spans="1:20" ht="17">
      <c r="A97" t="str">
        <f>('remet-LZ'!E129)</f>
        <v>Bacillariophyta</v>
      </c>
      <c r="B97" t="str">
        <f>('remet-LZ'!I129)</f>
        <v>Stephanodiscus</v>
      </c>
      <c r="C97" s="53" t="s">
        <v>3806</v>
      </c>
      <c r="E97">
        <f>COUNTIF('remet-LZ'!Q129,"&lt;=10")</f>
        <v>1</v>
      </c>
      <c r="F97">
        <f>COUNTIFS('remet-LZ'!Q129,"&gt;10",'remet-LZ'!Q129,"&lt;=25")</f>
        <v>0</v>
      </c>
      <c r="G97">
        <f>COUNTIFS('remet-LZ'!Q129,"&gt;25",'remet-LZ'!Q129,"&lt;=100")</f>
        <v>0</v>
      </c>
      <c r="H97">
        <f>COUNTIFS('remet-LZ'!Q129,"&gt;100")</f>
        <v>0</v>
      </c>
      <c r="I97" s="68">
        <f>COUNTIF('remet-LZ'!BH129,"&lt;=0.3")</f>
        <v>0</v>
      </c>
      <c r="J97" s="68">
        <f>COUNTIFS('remet-LZ'!BH129,"&gt;0.3",'remet-LZ'!BH129,"&lt;=0.7")</f>
        <v>0</v>
      </c>
      <c r="K97" s="68">
        <f>COUNTIFS('remet-LZ'!BH129,"&gt;0.7",'remet-LZ'!BH129,"&lt;=1.0")</f>
        <v>0</v>
      </c>
      <c r="L97" s="68">
        <f>COUNTIFS('remet-LZ'!BH129,"&gt;1.0",'remet-LZ'!BH129,"&lt;=3.0")</f>
        <v>1</v>
      </c>
      <c r="M97" s="68">
        <f>COUNTIF('remet-LZ'!BH129,"&gt;3.0")</f>
        <v>0</v>
      </c>
      <c r="N97" s="64">
        <f>('remet-LZ'!AM129)</f>
        <v>0.11</v>
      </c>
      <c r="O97">
        <f>COUNTIF('remet-LZ'!Y129,"=1")</f>
        <v>1</v>
      </c>
      <c r="P97">
        <f>COUNTIF('remet-LZ'!Y129,"&gt;1")</f>
        <v>0</v>
      </c>
      <c r="Q97" t="s">
        <v>3589</v>
      </c>
      <c r="R97" t="s">
        <v>3584</v>
      </c>
      <c r="S97">
        <v>0</v>
      </c>
      <c r="T97">
        <v>1</v>
      </c>
    </row>
    <row r="98" spans="1:20" ht="17">
      <c r="C98" s="53" t="s">
        <v>3807</v>
      </c>
    </row>
    <row r="99" spans="1:20" ht="17">
      <c r="A99" t="str">
        <f>('remet-LZ'!E131)</f>
        <v>Chlorophyta</v>
      </c>
      <c r="B99" t="str">
        <f>('remet-LZ'!I131)</f>
        <v>Tetrachlorella</v>
      </c>
      <c r="C99" s="53" t="s">
        <v>3808</v>
      </c>
      <c r="E99">
        <f>COUNTIF('remet-LZ'!Q131,"&lt;=10")</f>
        <v>0</v>
      </c>
      <c r="F99">
        <f>COUNTIFS('remet-LZ'!Q131,"&gt;10",'remet-LZ'!Q131,"&lt;=25")</f>
        <v>1</v>
      </c>
      <c r="G99">
        <f>COUNTIFS('remet-LZ'!Q131,"&gt;25",'remet-LZ'!Q131,"&lt;=100")</f>
        <v>0</v>
      </c>
      <c r="H99">
        <f>COUNTIFS('remet-LZ'!Q131,"&gt;100")</f>
        <v>0</v>
      </c>
      <c r="I99" s="68">
        <f>COUNTIF('remet-LZ'!BH131,"&lt;=0.3")</f>
        <v>0</v>
      </c>
      <c r="J99" s="68">
        <f>COUNTIFS('remet-LZ'!BH131,"&gt;0.3",'remet-LZ'!BH131,"&lt;=0.7")</f>
        <v>1</v>
      </c>
      <c r="K99" s="68">
        <f>COUNTIFS('remet-LZ'!BH131,"&gt;0.7",'remet-LZ'!BH131,"&lt;=1.0")</f>
        <v>0</v>
      </c>
      <c r="L99" s="68">
        <f>COUNTIFS('remet-LZ'!BH131,"&gt;1.0",'remet-LZ'!BH131,"&lt;=3.0")</f>
        <v>0</v>
      </c>
      <c r="M99" s="68">
        <f>COUNTIF('remet-LZ'!BH131,"&gt;3.0")</f>
        <v>0</v>
      </c>
      <c r="N99" s="64">
        <f>('remet-LZ'!AM131)</f>
        <v>0.16</v>
      </c>
      <c r="O99">
        <f>COUNTIF('remet-LZ'!Y131,"=1")</f>
        <v>0</v>
      </c>
      <c r="P99">
        <f>COUNTIF('remet-LZ'!Y131,"&gt;1")</f>
        <v>1</v>
      </c>
      <c r="Q99" t="s">
        <v>3589</v>
      </c>
      <c r="R99" t="s">
        <v>3583</v>
      </c>
      <c r="S99">
        <v>0</v>
      </c>
      <c r="T99">
        <v>0</v>
      </c>
    </row>
    <row r="100" spans="1:20" ht="17">
      <c r="A100" t="str">
        <f>('remet-LZ'!E132)</f>
        <v>Chlorophyta</v>
      </c>
      <c r="B100" t="str">
        <f>('remet-LZ'!I132)</f>
        <v>Actinastrum</v>
      </c>
      <c r="C100" s="53" t="s">
        <v>3809</v>
      </c>
      <c r="E100">
        <f>COUNTIF('remet-LZ'!Q132,"&lt;=10")</f>
        <v>0</v>
      </c>
      <c r="F100">
        <f>COUNTIFS('remet-LZ'!Q132,"&gt;10",'remet-LZ'!Q132,"&lt;=25")</f>
        <v>0</v>
      </c>
      <c r="G100">
        <f>COUNTIFS('remet-LZ'!Q132,"&gt;25",'remet-LZ'!Q132,"&lt;=100")</f>
        <v>1</v>
      </c>
      <c r="H100">
        <f>COUNTIFS('remet-LZ'!Q132,"&gt;100")</f>
        <v>0</v>
      </c>
      <c r="I100" s="68">
        <f>COUNTIF('remet-LZ'!BH132,"&lt;=0.3")</f>
        <v>1</v>
      </c>
      <c r="J100" s="68">
        <f>COUNTIFS('remet-LZ'!BH132,"&gt;0.3",'remet-LZ'!BH132,"&lt;=0.7")</f>
        <v>0</v>
      </c>
      <c r="K100" s="68">
        <f>COUNTIFS('remet-LZ'!BH132,"&gt;0.7",'remet-LZ'!BH132,"&lt;=1.0")</f>
        <v>0</v>
      </c>
      <c r="L100" s="68">
        <f>COUNTIFS('remet-LZ'!BH132,"&gt;1.0",'remet-LZ'!BH132,"&lt;=3.0")</f>
        <v>0</v>
      </c>
      <c r="M100" s="68">
        <f>COUNTIF('remet-LZ'!BH132,"&gt;3.0")</f>
        <v>0</v>
      </c>
      <c r="N100" s="64">
        <f>('remet-LZ'!AM132)</f>
        <v>0.16</v>
      </c>
      <c r="O100">
        <f>COUNTIF('remet-LZ'!Y132,"=1")</f>
        <v>0</v>
      </c>
      <c r="P100">
        <f>COUNTIF('remet-LZ'!Y132,"&gt;1")</f>
        <v>1</v>
      </c>
      <c r="Q100" t="s">
        <v>3589</v>
      </c>
      <c r="R100" t="s">
        <v>3583</v>
      </c>
      <c r="S100">
        <v>0</v>
      </c>
      <c r="T100">
        <v>0</v>
      </c>
    </row>
    <row r="101" spans="1:20" ht="17">
      <c r="C101" s="53" t="s">
        <v>3810</v>
      </c>
    </row>
    <row r="102" spans="1:20" ht="17">
      <c r="C102" s="53" t="s">
        <v>3811</v>
      </c>
    </row>
    <row r="103" spans="1:20" ht="17">
      <c r="C103" s="53" t="s">
        <v>3812</v>
      </c>
    </row>
    <row r="104" spans="1:20" ht="17">
      <c r="C104" s="53" t="s">
        <v>3813</v>
      </c>
    </row>
    <row r="105" spans="1:20" ht="17">
      <c r="A105" t="str">
        <f>('remet-LZ'!E137)</f>
        <v>Cyanobacteria</v>
      </c>
      <c r="B105" t="str">
        <f>('remet-LZ'!I137)</f>
        <v>Microcystis</v>
      </c>
      <c r="C105" s="53" t="s">
        <v>3814</v>
      </c>
      <c r="E105">
        <f>COUNTIF('remet-LZ'!Q137,"&lt;=10")</f>
        <v>1</v>
      </c>
      <c r="F105">
        <f>COUNTIFS('remet-LZ'!Q137,"&gt;10",'remet-LZ'!Q137,"&lt;=25")</f>
        <v>0</v>
      </c>
      <c r="G105">
        <f>COUNTIFS('remet-LZ'!Q137,"&gt;25",'remet-LZ'!Q137,"&lt;=100")</f>
        <v>0</v>
      </c>
      <c r="H105">
        <f>COUNTIFS('remet-LZ'!Q137,"&gt;100")</f>
        <v>0</v>
      </c>
      <c r="I105" s="68">
        <f>COUNTIF('remet-LZ'!BH137,"&lt;=0.3")</f>
        <v>0</v>
      </c>
      <c r="J105" s="68">
        <f>COUNTIFS('remet-LZ'!BH137,"&gt;0.3",'remet-LZ'!BH137,"&lt;=0.7")</f>
        <v>1</v>
      </c>
      <c r="K105" s="68">
        <f>COUNTIFS('remet-LZ'!BH137,"&gt;0.7",'remet-LZ'!BH137,"&lt;=1.0")</f>
        <v>0</v>
      </c>
      <c r="L105" s="68">
        <f>COUNTIFS('remet-LZ'!BH137,"&gt;1.0",'remet-LZ'!BH137,"&lt;=3.0")</f>
        <v>0</v>
      </c>
      <c r="M105" s="68">
        <f>COUNTIF('remet-LZ'!BH137,"&gt;3.0")</f>
        <v>0</v>
      </c>
      <c r="N105" s="64">
        <f>('remet-LZ'!AM137)</f>
        <v>0.22</v>
      </c>
      <c r="O105">
        <f>COUNTIF('remet-LZ'!Y137,"=1")</f>
        <v>0</v>
      </c>
      <c r="P105">
        <f>COUNTIF('remet-LZ'!Y137,"&gt;1")</f>
        <v>1</v>
      </c>
      <c r="Q105" t="s">
        <v>3589</v>
      </c>
      <c r="R105" t="s">
        <v>3583</v>
      </c>
      <c r="S105">
        <v>0</v>
      </c>
      <c r="T105">
        <v>0</v>
      </c>
    </row>
    <row r="106" spans="1:20" ht="17">
      <c r="A106" t="str">
        <f>('remet-LZ'!E138)</f>
        <v>Bacillariophyta</v>
      </c>
      <c r="B106" t="str">
        <f>('remet-LZ'!I138)</f>
        <v>Diploneis</v>
      </c>
      <c r="C106" s="53" t="s">
        <v>3815</v>
      </c>
      <c r="E106">
        <f>COUNTIF('remet-LZ'!Q138,"&lt;=10")</f>
        <v>0</v>
      </c>
      <c r="F106">
        <f>COUNTIFS('remet-LZ'!Q138,"&gt;10",'remet-LZ'!Q138,"&lt;=25")</f>
        <v>0</v>
      </c>
      <c r="G106">
        <f>COUNTIFS('remet-LZ'!Q138,"&gt;25",'remet-LZ'!Q138,"&lt;=100")</f>
        <v>1</v>
      </c>
      <c r="H106">
        <f>COUNTIFS('remet-LZ'!Q138,"&gt;100")</f>
        <v>0</v>
      </c>
      <c r="I106" s="68">
        <f>COUNTIF('remet-LZ'!BH138,"&lt;=0.3")</f>
        <v>0</v>
      </c>
      <c r="J106" s="68">
        <f>COUNTIFS('remet-LZ'!BH138,"&gt;0.3",'remet-LZ'!BH138,"&lt;=0.7")</f>
        <v>0</v>
      </c>
      <c r="K106" s="68">
        <f>COUNTIFS('remet-LZ'!BH138,"&gt;0.7",'remet-LZ'!BH138,"&lt;=1.0")</f>
        <v>0</v>
      </c>
      <c r="L106" s="68">
        <f>COUNTIFS('remet-LZ'!BH138,"&gt;1.0",'remet-LZ'!BH138,"&lt;=3.0")</f>
        <v>1</v>
      </c>
      <c r="M106" s="68">
        <f>COUNTIF('remet-LZ'!BH138,"&gt;3.0")</f>
        <v>0</v>
      </c>
      <c r="N106" s="64">
        <f>('remet-LZ'!AM138)</f>
        <v>0.11</v>
      </c>
      <c r="O106">
        <f>COUNTIF('remet-LZ'!Y138,"=1")</f>
        <v>1</v>
      </c>
      <c r="P106">
        <f>COUNTIF('remet-LZ'!Y138,"&gt;1")</f>
        <v>0</v>
      </c>
      <c r="Q106" t="s">
        <v>3586</v>
      </c>
      <c r="R106" t="s">
        <v>3584</v>
      </c>
      <c r="S106">
        <v>0</v>
      </c>
      <c r="T106">
        <v>1</v>
      </c>
    </row>
    <row r="107" spans="1:20" ht="17">
      <c r="A107" t="str">
        <f>('remet-LZ'!E139)</f>
        <v>Bacillariophyta</v>
      </c>
      <c r="B107" t="str">
        <f>('remet-LZ'!I139)</f>
        <v>Fragilaria</v>
      </c>
      <c r="C107" s="53" t="s">
        <v>3816</v>
      </c>
      <c r="D107" s="81" t="s">
        <v>1807</v>
      </c>
      <c r="E107">
        <f>COUNTIF('remet-LZ'!Q139,"&lt;=10")</f>
        <v>0</v>
      </c>
      <c r="F107">
        <f>COUNTIFS('remet-LZ'!Q139,"&gt;10",'remet-LZ'!Q139,"&lt;=25")</f>
        <v>0</v>
      </c>
      <c r="G107">
        <f>COUNTIFS('remet-LZ'!Q139,"&gt;25",'remet-LZ'!Q139,"&lt;=100")</f>
        <v>1</v>
      </c>
      <c r="H107">
        <f>COUNTIFS('remet-LZ'!Q139,"&gt;100")</f>
        <v>0</v>
      </c>
      <c r="I107" s="68">
        <f>COUNTIF('remet-LZ'!BH139,"&lt;=0.3")</f>
        <v>0</v>
      </c>
      <c r="J107" s="68">
        <f>COUNTIFS('remet-LZ'!BH139,"&gt;0.3",'remet-LZ'!BH139,"&lt;=0.7")</f>
        <v>0</v>
      </c>
      <c r="K107" s="68">
        <f>COUNTIFS('remet-LZ'!BH139,"&gt;0.7",'remet-LZ'!BH139,"&lt;=1.0")</f>
        <v>0</v>
      </c>
      <c r="L107" s="68">
        <f>COUNTIFS('remet-LZ'!BH139,"&gt;1.0",'remet-LZ'!BH139,"&lt;=3.0")</f>
        <v>1</v>
      </c>
      <c r="M107" s="68">
        <f>COUNTIF('remet-LZ'!BH139,"&gt;3.0")</f>
        <v>0</v>
      </c>
      <c r="N107" s="64">
        <f>('remet-LZ'!AM139)</f>
        <v>0.11</v>
      </c>
      <c r="O107">
        <f>COUNTIF('remet-LZ'!Y139,"=1")</f>
        <v>1</v>
      </c>
      <c r="P107">
        <f>COUNTIF('remet-LZ'!Y139,"&gt;1")</f>
        <v>0</v>
      </c>
      <c r="Q107" t="s">
        <v>3589</v>
      </c>
      <c r="R107" t="s">
        <v>3584</v>
      </c>
      <c r="S107">
        <v>0</v>
      </c>
      <c r="T107">
        <v>1</v>
      </c>
    </row>
    <row r="108" spans="1:20" ht="34">
      <c r="C108" s="53" t="s">
        <v>3817</v>
      </c>
    </row>
    <row r="109" spans="1:20" ht="17">
      <c r="A109" t="str">
        <f>('remet-LZ'!E141)</f>
        <v>Ochrophyta</v>
      </c>
      <c r="B109" t="str">
        <f>('remet-LZ'!I141)</f>
        <v>Mallomonas</v>
      </c>
      <c r="C109" s="53" t="s">
        <v>3818</v>
      </c>
      <c r="E109">
        <f>COUNTIF('remet-LZ'!Q141,"&lt;=10")</f>
        <v>0</v>
      </c>
      <c r="F109">
        <f>COUNTIFS('remet-LZ'!Q141,"&gt;10",'remet-LZ'!Q141,"&lt;=25")</f>
        <v>1</v>
      </c>
      <c r="G109">
        <f>COUNTIFS('remet-LZ'!Q141,"&gt;25",'remet-LZ'!Q141,"&lt;=100")</f>
        <v>0</v>
      </c>
      <c r="H109">
        <f>COUNTIFS('remet-LZ'!Q141,"&gt;100")</f>
        <v>0</v>
      </c>
      <c r="I109" s="68">
        <f>COUNTIF('remet-LZ'!BH141,"&lt;=0.3")</f>
        <v>0</v>
      </c>
      <c r="J109" s="68">
        <f>COUNTIFS('remet-LZ'!BH141,"&gt;0.3",'remet-LZ'!BH141,"&lt;=0.7")</f>
        <v>1</v>
      </c>
      <c r="K109" s="68">
        <f>COUNTIFS('remet-LZ'!BH141,"&gt;0.7",'remet-LZ'!BH141,"&lt;=1.0")</f>
        <v>0</v>
      </c>
      <c r="L109" s="68">
        <f>COUNTIFS('remet-LZ'!BH141,"&gt;1.0",'remet-LZ'!BH141,"&lt;=3.0")</f>
        <v>0</v>
      </c>
      <c r="M109" s="68">
        <f>COUNTIF('remet-LZ'!BH141,"&gt;3.0")</f>
        <v>0</v>
      </c>
      <c r="N109" s="64">
        <f>('remet-LZ'!AM141)</f>
        <v>0.11</v>
      </c>
      <c r="O109">
        <f>COUNTIF('remet-LZ'!Y141,"=1")</f>
        <v>1</v>
      </c>
      <c r="P109">
        <f>COUNTIF('remet-LZ'!Y141,"&gt;1")</f>
        <v>0</v>
      </c>
      <c r="Q109" t="s">
        <v>3587</v>
      </c>
      <c r="R109" t="s">
        <v>3584</v>
      </c>
      <c r="S109">
        <v>0</v>
      </c>
      <c r="T109">
        <v>1</v>
      </c>
    </row>
    <row r="110" spans="1:20" ht="17">
      <c r="A110" t="str">
        <f>('remet-LZ'!E142)</f>
        <v>Ochrophyta</v>
      </c>
      <c r="B110" t="str">
        <f>('remet-LZ'!I142)</f>
        <v>Mallomonas</v>
      </c>
      <c r="C110" s="53" t="s">
        <v>3819</v>
      </c>
      <c r="E110">
        <f>COUNTIF('remet-LZ'!Q142,"&lt;=10")</f>
        <v>0</v>
      </c>
      <c r="F110">
        <f>COUNTIFS('remet-LZ'!Q142,"&gt;10",'remet-LZ'!Q142,"&lt;=25")</f>
        <v>0</v>
      </c>
      <c r="G110">
        <f>COUNTIFS('remet-LZ'!Q142,"&gt;25",'remet-LZ'!Q142,"&lt;=100")</f>
        <v>1</v>
      </c>
      <c r="H110">
        <f>COUNTIFS('remet-LZ'!Q142,"&gt;100")</f>
        <v>0</v>
      </c>
      <c r="I110" s="68">
        <f>COUNTIF('remet-LZ'!BH142,"&lt;=0.3")</f>
        <v>0</v>
      </c>
      <c r="J110" s="68">
        <f>COUNTIFS('remet-LZ'!BH142,"&gt;0.3",'remet-LZ'!BH142,"&lt;=0.7")</f>
        <v>0</v>
      </c>
      <c r="K110" s="68">
        <f>COUNTIFS('remet-LZ'!BH142,"&gt;0.7",'remet-LZ'!BH142,"&lt;=1.0")</f>
        <v>1</v>
      </c>
      <c r="L110" s="68">
        <f>COUNTIFS('remet-LZ'!BH142,"&gt;1.0",'remet-LZ'!BH142,"&lt;=3.0")</f>
        <v>0</v>
      </c>
      <c r="M110" s="68">
        <f>COUNTIF('remet-LZ'!BH142,"&gt;3.0")</f>
        <v>0</v>
      </c>
      <c r="N110" s="64">
        <f>('remet-LZ'!AM142)</f>
        <v>0.11</v>
      </c>
      <c r="O110">
        <f>COUNTIF('remet-LZ'!Y142,"=1")</f>
        <v>1</v>
      </c>
      <c r="P110">
        <f>COUNTIF('remet-LZ'!Y142,"&gt;1")</f>
        <v>0</v>
      </c>
      <c r="Q110" t="s">
        <v>3587</v>
      </c>
      <c r="R110" t="s">
        <v>3584</v>
      </c>
      <c r="S110">
        <f>-T1101</f>
        <v>0</v>
      </c>
      <c r="T110">
        <v>1</v>
      </c>
    </row>
    <row r="111" spans="1:20" ht="23">
      <c r="A111" t="str">
        <f>('remet-LZ'!E143)</f>
        <v>Chlorophyta</v>
      </c>
      <c r="B111" t="str">
        <f>('remet-LZ'!I143)</f>
        <v>Gonium</v>
      </c>
      <c r="C111" s="53" t="s">
        <v>3820</v>
      </c>
      <c r="D111" s="81" t="s">
        <v>3888</v>
      </c>
      <c r="E111">
        <f>COUNTIF('remet-LZ'!Q143,"&lt;=10")</f>
        <v>1</v>
      </c>
      <c r="F111">
        <f>COUNTIFS('remet-LZ'!Q143,"&gt;10",'remet-LZ'!Q143,"&lt;=25")</f>
        <v>0</v>
      </c>
      <c r="G111">
        <f>COUNTIFS('remet-LZ'!Q143,"&gt;25",'remet-LZ'!Q143,"&lt;=100")</f>
        <v>0</v>
      </c>
      <c r="H111">
        <f>COUNTIFS('remet-LZ'!Q143,"&gt;100")</f>
        <v>0</v>
      </c>
      <c r="I111" s="68">
        <f>COUNTIF('remet-LZ'!BH143,"&lt;=0.3")</f>
        <v>0</v>
      </c>
      <c r="J111" s="68">
        <f>COUNTIFS('remet-LZ'!BH143,"&gt;0.3",'remet-LZ'!BH143,"&lt;=0.7")</f>
        <v>0</v>
      </c>
      <c r="K111" s="68">
        <f>COUNTIFS('remet-LZ'!BH143,"&gt;0.7",'remet-LZ'!BH143,"&lt;=1.0")</f>
        <v>0</v>
      </c>
      <c r="L111" s="68">
        <f>COUNTIFS('remet-LZ'!BH143,"&gt;1.0",'remet-LZ'!BH143,"&lt;=3.0")</f>
        <v>1</v>
      </c>
      <c r="M111" s="68">
        <f>COUNTIF('remet-LZ'!BH143,"&gt;3.0")</f>
        <v>0</v>
      </c>
      <c r="N111" s="64">
        <f>('remet-LZ'!AM143)</f>
        <v>0.16</v>
      </c>
      <c r="O111">
        <f>COUNTIF('remet-LZ'!Y143,"=1")</f>
        <v>0</v>
      </c>
      <c r="P111">
        <f>COUNTIF('remet-LZ'!Y143,"&gt;1")</f>
        <v>1</v>
      </c>
      <c r="Q111" t="s">
        <v>3587</v>
      </c>
      <c r="R111" t="s">
        <v>3583</v>
      </c>
      <c r="S111">
        <v>0</v>
      </c>
      <c r="T111">
        <v>0</v>
      </c>
    </row>
    <row r="112" spans="1:20" ht="17">
      <c r="A112" t="str">
        <f>('remet-LZ'!E144)</f>
        <v>Chlorophyta</v>
      </c>
      <c r="B112" t="str">
        <f>('remet-LZ'!I144)</f>
        <v>Golenkinia</v>
      </c>
      <c r="C112" s="53" t="s">
        <v>3821</v>
      </c>
      <c r="E112">
        <f>COUNTIF('remet-LZ'!Q144,"&lt;=10")</f>
        <v>0</v>
      </c>
      <c r="F112">
        <f>COUNTIFS('remet-LZ'!Q144,"&gt;10",'remet-LZ'!Q144,"&lt;=25")</f>
        <v>1</v>
      </c>
      <c r="G112">
        <f>COUNTIFS('remet-LZ'!Q144,"&gt;25",'remet-LZ'!Q144,"&lt;=100")</f>
        <v>0</v>
      </c>
      <c r="H112">
        <f>COUNTIFS('remet-LZ'!Q144,"&gt;100")</f>
        <v>0</v>
      </c>
      <c r="I112" s="68">
        <f>COUNTIF('remet-LZ'!BH144,"&lt;=0.3")</f>
        <v>0</v>
      </c>
      <c r="J112" s="68">
        <f>COUNTIFS('remet-LZ'!BH144,"&gt;0.3",'remet-LZ'!BH144,"&lt;=0.7")</f>
        <v>0</v>
      </c>
      <c r="K112" s="68">
        <f>COUNTIFS('remet-LZ'!BH144,"&gt;0.7",'remet-LZ'!BH144,"&lt;=1.0")</f>
        <v>0</v>
      </c>
      <c r="L112" s="68">
        <f>COUNTIFS('remet-LZ'!BH144,"&gt;1.0",'remet-LZ'!BH144,"&lt;=3.0")</f>
        <v>1</v>
      </c>
      <c r="M112" s="68">
        <f>COUNTIF('remet-LZ'!BH144,"&gt;3.0")</f>
        <v>0</v>
      </c>
      <c r="N112" s="64">
        <f>('remet-LZ'!AM144)</f>
        <v>0.16</v>
      </c>
      <c r="O112">
        <f>COUNTIF('remet-LZ'!Y144,"=1")</f>
        <v>1</v>
      </c>
      <c r="P112">
        <f>COUNTIF('remet-LZ'!Y144,"&gt;1")</f>
        <v>0</v>
      </c>
      <c r="Q112" t="s">
        <v>3589</v>
      </c>
      <c r="R112" t="s">
        <v>3583</v>
      </c>
      <c r="S112">
        <v>0</v>
      </c>
      <c r="T112">
        <v>0</v>
      </c>
    </row>
    <row r="113" spans="1:20" ht="17">
      <c r="A113" t="str">
        <f>('remet-LZ'!E145)</f>
        <v>Chlorophyta</v>
      </c>
      <c r="B113" t="str">
        <f>('remet-LZ'!I145)</f>
        <v>Kirchneriella</v>
      </c>
      <c r="C113" s="53" t="s">
        <v>3822</v>
      </c>
      <c r="E113">
        <f>COUNTIF('remet-LZ'!Q145,"&lt;=10")</f>
        <v>0</v>
      </c>
      <c r="F113">
        <f>COUNTIFS('remet-LZ'!Q145,"&gt;10",'remet-LZ'!Q145,"&lt;=25")</f>
        <v>0</v>
      </c>
      <c r="G113">
        <f>COUNTIFS('remet-LZ'!Q145,"&gt;25",'remet-LZ'!Q145,"&lt;=100")</f>
        <v>1</v>
      </c>
      <c r="H113">
        <f>COUNTIFS('remet-LZ'!Q145,"&gt;100")</f>
        <v>0</v>
      </c>
      <c r="I113" s="68">
        <f>COUNTIF('remet-LZ'!BH145,"&lt;=0.3")</f>
        <v>0</v>
      </c>
      <c r="J113" s="68">
        <f>COUNTIFS('remet-LZ'!BH145,"&gt;0.3",'remet-LZ'!BH145,"&lt;=0.7")</f>
        <v>1</v>
      </c>
      <c r="K113" s="68">
        <f>COUNTIFS('remet-LZ'!BH145,"&gt;0.7",'remet-LZ'!BH145,"&lt;=1.0")</f>
        <v>0</v>
      </c>
      <c r="L113" s="68">
        <f>COUNTIFS('remet-LZ'!BH145,"&gt;1.0",'remet-LZ'!BH145,"&lt;=3.0")</f>
        <v>0</v>
      </c>
      <c r="M113" s="68">
        <f>COUNTIF('remet-LZ'!BH145,"&gt;3.0")</f>
        <v>0</v>
      </c>
      <c r="N113" s="64">
        <f>('remet-LZ'!AM145)</f>
        <v>0.16</v>
      </c>
      <c r="O113">
        <f>COUNTIF('remet-LZ'!Y145,"=1")</f>
        <v>0</v>
      </c>
      <c r="P113">
        <f>COUNTIF('remet-LZ'!Y145,"&gt;1")</f>
        <v>1</v>
      </c>
      <c r="Q113" t="s">
        <v>3589</v>
      </c>
      <c r="R113" t="s">
        <v>3583</v>
      </c>
      <c r="S113">
        <v>0</v>
      </c>
      <c r="T113">
        <v>0</v>
      </c>
    </row>
    <row r="114" spans="1:20" ht="17">
      <c r="C114" s="53" t="s">
        <v>3823</v>
      </c>
    </row>
    <row r="115" spans="1:20" ht="17">
      <c r="C115" s="53" t="s">
        <v>3824</v>
      </c>
    </row>
    <row r="116" spans="1:20" ht="17">
      <c r="A116" t="str">
        <f>('remet-LZ'!E148)</f>
        <v>Cyanobacteria</v>
      </c>
      <c r="B116" t="str">
        <f>('remet-LZ'!I148)</f>
        <v>Pseudanabaena</v>
      </c>
      <c r="C116" s="53" t="s">
        <v>3825</v>
      </c>
      <c r="E116">
        <f>COUNTIF('remet-LZ'!Q148:'remet-LZ'!Q149,"&lt;=10")/COUNT('remet-LZ'!Q148:'remet-LZ'!Q149)</f>
        <v>1</v>
      </c>
      <c r="F116">
        <f>COUNTIFS('remet-LZ'!Q148:'remet-LZ'!Q149,"&gt;10",'remet-LZ'!Q148:'remet-LZ'!Q149,"&lt;=25")/COUNT('remet-LZ'!Q148:'remet-LZ'!Q149)</f>
        <v>0</v>
      </c>
      <c r="G116">
        <f>COUNTIFS('remet-LZ'!Q148:'remet-LZ'!Q149,"&gt;25",'remet-LZ'!Q148:'remet-LZ'!Q149,"&lt;=100")/COUNT('remet-LZ'!Q148:'remet-LZ'!Q149)</f>
        <v>0</v>
      </c>
      <c r="H116">
        <f>COUNTIFS('remet-LZ'!Q148:'remet-LZ'!Q149,"&gt;100")/COUNT('remet-LZ'!Q148:'remet-LZ'!Q149)</f>
        <v>0</v>
      </c>
      <c r="I116">
        <f>COUNTIF('remet-LZ'!BH148:'remet-LZ'!BH149,"&lt;=0.3")/COUNT('remet-LZ'!BH148:'remet-LZ'!BP149)</f>
        <v>0</v>
      </c>
      <c r="J116">
        <f>COUNTIFS('remet-LZ'!BH148:'remet-LZ'!BH149,"&gt;0.3",'remet-LZ'!BH148:'remet-LZ'!BH149,"&lt;=0.7")/COUNT('remet-LZ'!BH148:'remet-LZ'!BH149)</f>
        <v>1</v>
      </c>
      <c r="K116">
        <f>COUNTIFS('remet-LZ'!BH148:'remet-LZ'!BH149,"&gt;0.7",'remet-LZ'!BH148:'remet-LZ'!BH149,"&lt;=1.0")/COUNT('remet-LZ'!BH148:'remet-LZ'!BH149)</f>
        <v>0</v>
      </c>
      <c r="L116">
        <f>COUNTIFS('remet-LZ'!BH148:'remet-LZ'!BH149,"&gt;1.0",'remet-LZ'!BH148:'remet-LZ'!BH149,"&lt;=3.0")/COUNT('remet-LZ'!BH148:'remet-LZ'!BH149)</f>
        <v>0</v>
      </c>
      <c r="M116">
        <f>COUNTIFS('remet-LZ'!BH148:'remet-LZ'!BH149,"&gt;3")/COUNT('remet-LZ'!BH148:'remet-LZ'!BH149)</f>
        <v>0</v>
      </c>
      <c r="N116" s="64">
        <f>('remet-LZ'!AM148)</f>
        <v>0.22</v>
      </c>
      <c r="O116">
        <f>COUNTIF('remet-LZ'!Y148:'remet-LZ'!Y149,"=1")/COUNT('remet-LZ'!Y148:'remet-LZ'!Y149)</f>
        <v>0</v>
      </c>
      <c r="P116">
        <f>COUNTIF('remet-LZ'!Y148:'remet-LZ'!Y149,"&gt;1")/COUNT('remet-LZ'!Y148:'remet-LZ'!Y149)</f>
        <v>1</v>
      </c>
      <c r="Q116" t="s">
        <v>3589</v>
      </c>
      <c r="R116" t="s">
        <v>3583</v>
      </c>
      <c r="S116">
        <v>0</v>
      </c>
      <c r="T116">
        <v>0</v>
      </c>
    </row>
    <row r="117" spans="1:20" ht="17">
      <c r="A117" t="str">
        <f>('remet-LZ'!E150)</f>
        <v>Cyanobacteria</v>
      </c>
      <c r="B117" t="str">
        <f>('remet-LZ'!I150)</f>
        <v>Anabaena</v>
      </c>
      <c r="C117" s="53" t="s">
        <v>3826</v>
      </c>
      <c r="E117">
        <f>COUNTIF('remet-LZ'!Q150,"&lt;=10")</f>
        <v>1</v>
      </c>
      <c r="F117">
        <f>COUNTIFS('remet-LZ'!Q150,"&gt;10",'remet-LZ'!Q150,"&lt;=25")</f>
        <v>0</v>
      </c>
      <c r="G117">
        <f>COUNTIFS('remet-LZ'!Q150,"&gt;25",'remet-LZ'!Q150,"&lt;=100")</f>
        <v>0</v>
      </c>
      <c r="H117">
        <f>COUNTIFS('remet-LZ'!Q150,"&gt;100")</f>
        <v>0</v>
      </c>
      <c r="I117" s="68">
        <f>COUNTIF('remet-LZ'!BH150,"&lt;=0.3")</f>
        <v>1</v>
      </c>
      <c r="J117" s="68">
        <f>COUNTIFS('remet-LZ'!BH150,"&gt;0.3",'remet-LZ'!BH150,"&lt;=0.7")</f>
        <v>0</v>
      </c>
      <c r="K117" s="68">
        <f>COUNTIFS('remet-LZ'!BH150,"&gt;0.7",'remet-LZ'!BH150,"&lt;=1.0")</f>
        <v>0</v>
      </c>
      <c r="L117" s="68">
        <f>COUNTIFS('remet-LZ'!BH150,"&gt;1.0",'remet-LZ'!BH150,"&lt;=3.0")</f>
        <v>0</v>
      </c>
      <c r="M117" s="68">
        <f>COUNTIF('remet-LZ'!BH150,"&gt;3.0")</f>
        <v>0</v>
      </c>
      <c r="N117" s="64">
        <f>('remet-LZ'!AM150)</f>
        <v>0.22</v>
      </c>
      <c r="O117">
        <f>COUNTIF('remet-LZ'!Y150,"=1")</f>
        <v>0</v>
      </c>
      <c r="P117">
        <f>COUNTIF('remet-LZ'!Y150,"&gt;1")</f>
        <v>1</v>
      </c>
      <c r="Q117" t="s">
        <v>3589</v>
      </c>
      <c r="R117" t="s">
        <v>3583</v>
      </c>
      <c r="S117">
        <v>1</v>
      </c>
      <c r="T117">
        <v>0</v>
      </c>
    </row>
    <row r="118" spans="1:20" ht="17">
      <c r="A118" t="str">
        <f>('remet-LZ'!E151)</f>
        <v>Bacillariophyta</v>
      </c>
      <c r="B118" t="str">
        <f>('remet-LZ'!I151)</f>
        <v>Nitzschia</v>
      </c>
      <c r="C118" s="53" t="s">
        <v>3827</v>
      </c>
      <c r="E118">
        <f>COUNTIF('remet-LZ'!Q151,"&lt;=10")</f>
        <v>0</v>
      </c>
      <c r="F118">
        <f>COUNTIFS('remet-LZ'!Q151,"&gt;10",'remet-LZ'!Q151,"&lt;=25")</f>
        <v>0</v>
      </c>
      <c r="G118">
        <f>COUNTIFS('remet-LZ'!Q151,"&gt;25",'remet-LZ'!Q151,"&lt;=100")</f>
        <v>1</v>
      </c>
      <c r="H118">
        <f>COUNTIFS('remet-LZ'!Q151,"&gt;100")</f>
        <v>0</v>
      </c>
      <c r="I118" s="68">
        <f>COUNTIF('remet-LZ'!BH151,"&lt;=0.3")</f>
        <v>0</v>
      </c>
      <c r="J118" s="68">
        <f>COUNTIFS('remet-LZ'!BH151,"&gt;0.3",'remet-LZ'!BH151,"&lt;=0.7")</f>
        <v>1</v>
      </c>
      <c r="K118" s="68">
        <f>COUNTIFS('remet-LZ'!BH151,"&gt;0.7",'remet-LZ'!BH151,"&lt;=1.0")</f>
        <v>0</v>
      </c>
      <c r="L118" s="68">
        <f>COUNTIFS('remet-LZ'!BH151,"&gt;1.0",'remet-LZ'!BH151,"&lt;=3.0")</f>
        <v>0</v>
      </c>
      <c r="M118" s="68">
        <f>COUNTIF('remet-LZ'!BH151,"&gt;3.0")</f>
        <v>0</v>
      </c>
      <c r="N118" s="64">
        <f>('remet-LZ'!AM151)</f>
        <v>0.11</v>
      </c>
      <c r="O118">
        <f>COUNTIF('remet-LZ'!Y151,"=1")</f>
        <v>1</v>
      </c>
      <c r="P118">
        <f>COUNTIF('remet-LZ'!Y151,"&gt;1")</f>
        <v>0</v>
      </c>
      <c r="Q118" t="s">
        <v>3586</v>
      </c>
      <c r="R118" t="s">
        <v>3584</v>
      </c>
      <c r="S118">
        <v>0</v>
      </c>
      <c r="T118">
        <v>1</v>
      </c>
    </row>
    <row r="119" spans="1:20" ht="17">
      <c r="A119" t="str">
        <f>('remet-LZ'!E152)</f>
        <v>Ochrophyta</v>
      </c>
      <c r="B119" t="str">
        <f>('remet-LZ'!I152)</f>
        <v>Ochromonas</v>
      </c>
      <c r="C119" s="53" t="s">
        <v>3828</v>
      </c>
      <c r="E119">
        <f>COUNTIF('remet-LZ'!Q152:'remet-LZ'!Q153,"&lt;=10")/COUNT('remet-LZ'!Q152:'remet-LZ'!Q153)</f>
        <v>1</v>
      </c>
      <c r="F119">
        <f>COUNTIFS('remet-LZ'!Q152:'remet-LZ'!Q153,"&gt;10",'remet-LZ'!Q152:'remet-LZ'!Q153,"&lt;=25")/COUNT('remet-LZ'!Q152:'remet-LZ'!Q153)</f>
        <v>0</v>
      </c>
      <c r="G119">
        <f>COUNTIFS('remet-LZ'!Q152:'remet-LZ'!Q153,"&gt;25",'remet-LZ'!Q152:'remet-LZ'!Q153,"&lt;=100")/COUNT('remet-LZ'!Q152:'remet-LZ'!Q153)</f>
        <v>0</v>
      </c>
      <c r="H119">
        <f>COUNTIFS('remet-LZ'!Q152:'remet-LZ'!Q153,"&gt;100")/COUNT('remet-LZ'!Q152:'remet-LZ'!Q153)</f>
        <v>0</v>
      </c>
      <c r="I119">
        <f>COUNTIF('remet-LZ'!BH152:'remet-LZ'!BH153,"&lt;=0.3")/COUNT('remet-LZ'!BH152:'remet-LZ'!BP153)</f>
        <v>0.5</v>
      </c>
      <c r="J119">
        <f>COUNTIFS('remet-LZ'!BH152:'remet-LZ'!BH153,"&gt;0.3",'remet-LZ'!BH152:'remet-LZ'!BH153,"&lt;=0.7")/COUNT('remet-LZ'!BH152:'remet-LZ'!BH153)</f>
        <v>0.5</v>
      </c>
      <c r="K119">
        <f>COUNTIFS('remet-LZ'!BH152:'remet-LZ'!BH153,"&gt;0.7",'remet-LZ'!BH152:'remet-LZ'!BH153,"&lt;=1.0")/COUNT('remet-LZ'!BH152:'remet-LZ'!BH153)</f>
        <v>0</v>
      </c>
      <c r="L119">
        <f>COUNTIFS('remet-LZ'!BH152:'remet-LZ'!BH153,"&gt;1.0",'remet-LZ'!BH152:'remet-LZ'!BH153,"&lt;=3.0")/COUNT('remet-LZ'!BH152:'remet-LZ'!BH153)</f>
        <v>0</v>
      </c>
      <c r="M119">
        <f>COUNTIFS('remet-LZ'!BH152:'remet-LZ'!BH153,"&gt;3")/COUNT('remet-LZ'!BH152:'remet-LZ'!BH153)</f>
        <v>0</v>
      </c>
      <c r="N119" s="64">
        <f>('remet-LZ'!AM152)</f>
        <v>0.11</v>
      </c>
      <c r="O119">
        <f>COUNTIF('remet-LZ'!Y152:'remet-LZ'!Y153,"=1")/COUNT('remet-LZ'!Y152:'remet-LZ'!Y153)</f>
        <v>1</v>
      </c>
      <c r="P119">
        <f>COUNTIF('remet-LZ'!Y152:'remet-LZ'!Y153,"&gt;1")/COUNT('remet-LZ'!Y152:'remet-LZ'!Y153)</f>
        <v>0</v>
      </c>
      <c r="Q119" t="s">
        <v>3587</v>
      </c>
      <c r="R119" t="s">
        <v>3584</v>
      </c>
      <c r="S119">
        <v>0</v>
      </c>
      <c r="T119">
        <v>0</v>
      </c>
    </row>
    <row r="120" spans="1:20" ht="17">
      <c r="C120" s="53" t="s">
        <v>3829</v>
      </c>
    </row>
    <row r="121" spans="1:20" ht="17">
      <c r="C121" s="53" t="s">
        <v>3830</v>
      </c>
    </row>
    <row r="122" spans="1:20" ht="17">
      <c r="C122" s="53" t="s">
        <v>3831</v>
      </c>
    </row>
    <row r="123" spans="1:20" ht="17">
      <c r="C123" s="53" t="s">
        <v>3832</v>
      </c>
    </row>
    <row r="124" spans="1:20" ht="17">
      <c r="C124" s="53" t="s">
        <v>3833</v>
      </c>
    </row>
    <row r="125" spans="1:20" ht="17">
      <c r="C125" s="53" t="s">
        <v>3834</v>
      </c>
    </row>
    <row r="126" spans="1:20" ht="17">
      <c r="A126" t="str">
        <f>('remet-LZ'!E160)</f>
        <v>Cyanobacteria</v>
      </c>
      <c r="B126" t="str">
        <f>('remet-LZ'!I160)</f>
        <v>Limnothrix</v>
      </c>
      <c r="C126" s="53" t="s">
        <v>3835</v>
      </c>
      <c r="E126">
        <f>COUNTIF('remet-LZ'!Q160,"&lt;=10")</f>
        <v>1</v>
      </c>
      <c r="F126">
        <f>COUNTIFS('remet-LZ'!Q160,"&gt;10",'remet-LZ'!Q160,"&lt;=25")</f>
        <v>0</v>
      </c>
      <c r="G126">
        <f>COUNTIFS('remet-LZ'!Q160,"&gt;25",'remet-LZ'!Q160,"&lt;=100")</f>
        <v>0</v>
      </c>
      <c r="H126">
        <f>COUNTIFS('remet-LZ'!Q160,"&gt;100")</f>
        <v>0</v>
      </c>
      <c r="I126" s="68">
        <f>COUNTIF('remet-LZ'!BH160,"&lt;=0.3")</f>
        <v>0</v>
      </c>
      <c r="J126" s="68">
        <f>COUNTIFS('remet-LZ'!BH160,"&gt;0.3",'remet-LZ'!BH160,"&lt;=0.7")</f>
        <v>1</v>
      </c>
      <c r="K126" s="68">
        <f>COUNTIFS('remet-LZ'!BH160,"&gt;0.7",'remet-LZ'!BH160,"&lt;=1.0")</f>
        <v>0</v>
      </c>
      <c r="L126" s="68">
        <f>COUNTIFS('remet-LZ'!BH160,"&gt;1.0",'remet-LZ'!BH160,"&lt;=3.0")</f>
        <v>0</v>
      </c>
      <c r="M126" s="68">
        <f>COUNTIF('remet-LZ'!BH160,"&gt;3.0")</f>
        <v>0</v>
      </c>
      <c r="N126" s="64">
        <f>('remet-LZ'!AM160)</f>
        <v>0.22</v>
      </c>
      <c r="O126">
        <f>COUNTIF('remet-LZ'!Y160,"=1")</f>
        <v>0</v>
      </c>
      <c r="P126">
        <f>COUNTIF('remet-LZ'!Y160,"&gt;1")</f>
        <v>1</v>
      </c>
      <c r="Q126" t="s">
        <v>3589</v>
      </c>
      <c r="R126" t="s">
        <v>3583</v>
      </c>
      <c r="S126">
        <v>0</v>
      </c>
      <c r="T126">
        <v>0</v>
      </c>
    </row>
    <row r="127" spans="1:20" ht="17">
      <c r="C127" s="53" t="s">
        <v>3836</v>
      </c>
    </row>
    <row r="128" spans="1:20" ht="17">
      <c r="C128" s="53" t="s">
        <v>3837</v>
      </c>
    </row>
    <row r="129" spans="1:20" ht="17">
      <c r="A129" t="str">
        <f>('remet-LZ'!E163)</f>
        <v>Chlorophyta</v>
      </c>
      <c r="B129" t="str">
        <f>('remet-LZ'!I163)</f>
        <v>Stichococcus</v>
      </c>
      <c r="C129" s="53" t="s">
        <v>3838</v>
      </c>
      <c r="E129">
        <f>COUNTIF('remet-LZ'!Q163:'remet-LZ'!Q164,"&lt;=10")/COUNT('remet-LZ'!Q163:'remet-LZ'!Q164)</f>
        <v>0</v>
      </c>
      <c r="F129">
        <f>COUNTIFS('remet-LZ'!Q163:'remet-LZ'!Q164,"&gt;10",'remet-LZ'!Q163:'remet-LZ'!Q164,"&lt;=25")/COUNT('remet-LZ'!Q163:'remet-LZ'!Q164)</f>
        <v>1</v>
      </c>
      <c r="G129">
        <f>COUNTIFS('remet-LZ'!Q163:'remet-LZ'!Q164,"&gt;25",'remet-LZ'!Q163:'remet-LZ'!Q164,"&lt;=100")/COUNT('remet-LZ'!Q163:'remet-LZ'!Q164)</f>
        <v>0</v>
      </c>
      <c r="H129">
        <f>COUNTIFS('remet-LZ'!Q163:'remet-LZ'!Q164,"&gt;100")/COUNT('remet-LZ'!Q163:'remet-LZ'!Q164)</f>
        <v>0</v>
      </c>
      <c r="I129">
        <f>COUNTIF('remet-LZ'!BH163:'remet-LZ'!BH164,"&lt;=0.3")/COUNT('remet-LZ'!BH163:'remet-LZ'!BP164)</f>
        <v>0</v>
      </c>
      <c r="J129">
        <f>COUNTIFS('remet-LZ'!BH163:'remet-LZ'!BH164,"&gt;0.3",'remet-LZ'!BH163:'remet-LZ'!BH164,"&lt;=0.7")/COUNT('remet-LZ'!BH163:'remet-LZ'!BH164)</f>
        <v>1</v>
      </c>
      <c r="K129">
        <f>COUNTIFS('remet-LZ'!BH163:'remet-LZ'!BH164,"&gt;0.7",'remet-LZ'!BH163:'remet-LZ'!BH164,"&lt;=1.0")/COUNT('remet-LZ'!BH163:'remet-LZ'!BH164)</f>
        <v>0</v>
      </c>
      <c r="L129">
        <f>COUNTIFS('remet-LZ'!BH163:'remet-LZ'!BH164,"&gt;1.0",'remet-LZ'!BH163:'remet-LZ'!BH164,"&lt;=3.0")/COUNT('remet-LZ'!BH163:'remet-LZ'!BH164)</f>
        <v>0</v>
      </c>
      <c r="M129">
        <f>COUNTIFS('remet-LZ'!BH163:'remet-LZ'!BH164,"&gt;3")/COUNT('remet-LZ'!BH163:'remet-LZ'!BH164)</f>
        <v>0</v>
      </c>
      <c r="N129" s="64">
        <f>('remet-LZ'!AM163)</f>
        <v>0.16</v>
      </c>
      <c r="O129">
        <f>COUNTIF('remet-LZ'!Y163:'remet-LZ'!Y164,"=1")/COUNT('remet-LZ'!Y163:'remet-LZ'!Y164)</f>
        <v>1</v>
      </c>
      <c r="P129">
        <f>COUNTIF('remet-LZ'!Y163:'remet-LZ'!Y164,"&gt;1")/COUNT('remet-LZ'!Y163:'remet-LZ'!Y164)</f>
        <v>0</v>
      </c>
      <c r="Q129" t="s">
        <v>3589</v>
      </c>
      <c r="R129" t="s">
        <v>3583</v>
      </c>
      <c r="S129">
        <v>0</v>
      </c>
      <c r="T129">
        <v>0</v>
      </c>
    </row>
    <row r="130" spans="1:20" ht="17">
      <c r="A130" t="str">
        <f>('remet-LZ'!E165)</f>
        <v>Ochrophyta</v>
      </c>
      <c r="B130" t="str">
        <f>('remet-LZ'!I165)</f>
        <v>Chrysolykos</v>
      </c>
      <c r="C130" s="53" t="s">
        <v>3839</v>
      </c>
      <c r="E130">
        <f>COUNTIF('remet-LZ'!Q165,"&lt;=10")</f>
        <v>0</v>
      </c>
      <c r="F130">
        <f>COUNTIFS('remet-LZ'!Q165,"&gt;10",'remet-LZ'!Q165,"&lt;=25")</f>
        <v>1</v>
      </c>
      <c r="G130">
        <f>COUNTIFS('remet-LZ'!Q165,"&gt;25",'remet-LZ'!Q165,"&lt;=100")</f>
        <v>0</v>
      </c>
      <c r="H130">
        <f>COUNTIFS('remet-LZ'!Q165,"&gt;100")</f>
        <v>0</v>
      </c>
      <c r="I130" s="68">
        <f>COUNTIF('remet-LZ'!BH165,"&lt;=0.3")</f>
        <v>0</v>
      </c>
      <c r="J130" s="68">
        <f>COUNTIFS('remet-LZ'!BH165,"&gt;0.3",'remet-LZ'!BH165,"&lt;=0.7")</f>
        <v>1</v>
      </c>
      <c r="K130" s="68">
        <f>COUNTIFS('remet-LZ'!BH165,"&gt;0.7",'remet-LZ'!BH165,"&lt;=1.0")</f>
        <v>0</v>
      </c>
      <c r="L130" s="68">
        <f>COUNTIFS('remet-LZ'!BH165,"&gt;1.0",'remet-LZ'!BH165,"&lt;=3.0")</f>
        <v>0</v>
      </c>
      <c r="M130" s="68">
        <f>COUNTIF('remet-LZ'!BH165,"&gt;3.0")</f>
        <v>0</v>
      </c>
      <c r="N130" s="64">
        <f>('remet-LZ'!AM165)</f>
        <v>0.11</v>
      </c>
      <c r="O130">
        <f>COUNTIF('remet-LZ'!Y165,"=1")</f>
        <v>1</v>
      </c>
      <c r="P130">
        <f>COUNTIF('remet-LZ'!Y165,"&gt;1")</f>
        <v>0</v>
      </c>
      <c r="Q130" t="s">
        <v>3587</v>
      </c>
      <c r="R130" t="s">
        <v>3584</v>
      </c>
      <c r="S130">
        <v>0</v>
      </c>
      <c r="T130">
        <v>0</v>
      </c>
    </row>
    <row r="131" spans="1:20" ht="17">
      <c r="A131" t="str">
        <f>('remet-LZ'!E166)</f>
        <v>Cyanobacteria</v>
      </c>
      <c r="B131" t="str">
        <f>('remet-LZ'!I166)</f>
        <v>Pseudanabaena</v>
      </c>
      <c r="C131" s="53" t="s">
        <v>3840</v>
      </c>
      <c r="E131">
        <f>COUNTIF('remet-LZ'!Q166,"&lt;=10")</f>
        <v>1</v>
      </c>
      <c r="F131">
        <f>COUNTIFS('remet-LZ'!Q166,"&gt;10",'remet-LZ'!Q166,"&lt;=25")</f>
        <v>0</v>
      </c>
      <c r="G131">
        <f>COUNTIFS('remet-LZ'!Q166,"&gt;25",'remet-LZ'!Q166,"&lt;=100")</f>
        <v>0</v>
      </c>
      <c r="H131">
        <f>COUNTIFS('remet-LZ'!Q166,"&gt;100")</f>
        <v>0</v>
      </c>
      <c r="I131" s="68">
        <f>COUNTIF('remet-LZ'!BH166,"&lt;=0.3")</f>
        <v>0</v>
      </c>
      <c r="J131" s="68">
        <f>COUNTIFS('remet-LZ'!BH166,"&gt;0.3",'remet-LZ'!BH166,"&lt;=0.7")</f>
        <v>1</v>
      </c>
      <c r="K131" s="68">
        <f>COUNTIFS('remet-LZ'!BH166,"&gt;0.7",'remet-LZ'!BH166,"&lt;=1.0")</f>
        <v>0</v>
      </c>
      <c r="L131" s="68">
        <f>COUNTIFS('remet-LZ'!BH166,"&gt;1.0",'remet-LZ'!BH166,"&lt;=3.0")</f>
        <v>0</v>
      </c>
      <c r="M131" s="68">
        <f>COUNTIF('remet-LZ'!BH166,"&gt;3.0")</f>
        <v>0</v>
      </c>
      <c r="N131" s="64">
        <f>('remet-LZ'!AM166)</f>
        <v>0.22</v>
      </c>
      <c r="O131">
        <f>COUNTIF('remet-LZ'!Y166,"=1")</f>
        <v>0</v>
      </c>
      <c r="P131">
        <f>COUNTIF('remet-LZ'!Y166,"&gt;1")</f>
        <v>1</v>
      </c>
      <c r="Q131" t="s">
        <v>3589</v>
      </c>
      <c r="R131" t="s">
        <v>3583</v>
      </c>
      <c r="S131">
        <v>0</v>
      </c>
      <c r="T131">
        <v>0</v>
      </c>
    </row>
    <row r="132" spans="1:20" ht="17">
      <c r="A132" t="str">
        <f>('remet-LZ'!E167)</f>
        <v>Ochrophyta</v>
      </c>
      <c r="B132" t="str">
        <f>('remet-LZ'!I167)</f>
        <v>Uroglena</v>
      </c>
      <c r="C132" s="53" t="s">
        <v>3841</v>
      </c>
      <c r="E132">
        <f>COUNTIF('remet-LZ'!Q167,"&lt;=10")</f>
        <v>1</v>
      </c>
      <c r="F132">
        <f>COUNTIFS('remet-LZ'!Q167,"&gt;10",'remet-LZ'!Q167,"&lt;=25")</f>
        <v>0</v>
      </c>
      <c r="G132">
        <f>COUNTIFS('remet-LZ'!Q167,"&gt;25",'remet-LZ'!Q167,"&lt;=100")</f>
        <v>0</v>
      </c>
      <c r="H132">
        <f>COUNTIFS('remet-LZ'!Q167,"&gt;100")</f>
        <v>0</v>
      </c>
      <c r="I132" s="68">
        <f>COUNTIF('remet-LZ'!BH167,"&lt;=0.3")</f>
        <v>1</v>
      </c>
      <c r="J132" s="68">
        <f>COUNTIFS('remet-LZ'!BH167,"&gt;0.3",'remet-LZ'!BH167,"&lt;=0.7")</f>
        <v>0</v>
      </c>
      <c r="K132" s="68">
        <f>COUNTIFS('remet-LZ'!BH167,"&gt;0.7",'remet-LZ'!BH167,"&lt;=1.0")</f>
        <v>0</v>
      </c>
      <c r="L132" s="68">
        <f>COUNTIFS('remet-LZ'!BH167,"&gt;1.0",'remet-LZ'!BH167,"&lt;=3.0")</f>
        <v>0</v>
      </c>
      <c r="M132" s="68">
        <f>COUNTIF('remet-LZ'!BH167,"&gt;3.0")</f>
        <v>0</v>
      </c>
      <c r="N132" s="64">
        <f>('remet-LZ'!AM167)</f>
        <v>0.11</v>
      </c>
      <c r="O132">
        <f>COUNTIF('remet-LZ'!Y167,"=1")</f>
        <v>0</v>
      </c>
      <c r="P132">
        <f>COUNTIF('remet-LZ'!Y167,"&gt;1")</f>
        <v>1</v>
      </c>
      <c r="Q132" t="s">
        <v>3587</v>
      </c>
      <c r="R132" t="s">
        <v>3584</v>
      </c>
      <c r="S132">
        <v>0</v>
      </c>
      <c r="T132">
        <v>0</v>
      </c>
    </row>
    <row r="133" spans="1:20" ht="17">
      <c r="A133" t="str">
        <f>('remet-LZ'!E168)</f>
        <v>Chlorophyta</v>
      </c>
      <c r="B133" t="str">
        <f>('remet-LZ'!I168)</f>
        <v>Monoraphidium</v>
      </c>
      <c r="C133" s="53" t="s">
        <v>3842</v>
      </c>
      <c r="E133">
        <f>COUNTIF('remet-LZ'!Q168,"&lt;=10")</f>
        <v>0</v>
      </c>
      <c r="F133">
        <f>COUNTIFS('remet-LZ'!Q168,"&gt;10",'remet-LZ'!Q168,"&lt;=25")</f>
        <v>1</v>
      </c>
      <c r="G133">
        <f>COUNTIFS('remet-LZ'!Q168,"&gt;25",'remet-LZ'!Q168,"&lt;=100")</f>
        <v>0</v>
      </c>
      <c r="H133">
        <f>COUNTIFS('remet-LZ'!Q168,"&gt;100")</f>
        <v>0</v>
      </c>
      <c r="I133" s="68">
        <f>COUNTIF('remet-LZ'!BH168,"&lt;=0.3")</f>
        <v>1</v>
      </c>
      <c r="J133" s="68">
        <f>COUNTIFS('remet-LZ'!BH168,"&gt;0.3",'remet-LZ'!BH168,"&lt;=0.7")</f>
        <v>0</v>
      </c>
      <c r="K133" s="68">
        <f>COUNTIFS('remet-LZ'!BH168,"&gt;0.7",'remet-LZ'!BH168,"&lt;=1.0")</f>
        <v>0</v>
      </c>
      <c r="L133" s="68">
        <f>COUNTIFS('remet-LZ'!BH168,"&gt;1.0",'remet-LZ'!BH168,"&lt;=3.0")</f>
        <v>0</v>
      </c>
      <c r="M133" s="68">
        <f>COUNTIF('remet-LZ'!BH168,"&gt;3.0")</f>
        <v>0</v>
      </c>
      <c r="N133" s="64">
        <f>('remet-LZ'!AM168)</f>
        <v>0.16</v>
      </c>
      <c r="O133">
        <f>COUNTIF('remet-LZ'!Y168,"=1")</f>
        <v>1</v>
      </c>
      <c r="P133">
        <f>COUNTIF('remet-LZ'!Y168,"&gt;1")</f>
        <v>0</v>
      </c>
      <c r="Q133" t="s">
        <v>3589</v>
      </c>
      <c r="R133" t="s">
        <v>3583</v>
      </c>
      <c r="S133">
        <v>0</v>
      </c>
      <c r="T133">
        <v>0</v>
      </c>
    </row>
    <row r="134" spans="1:20" ht="17">
      <c r="A134" t="str">
        <f>('remet-LZ'!E169)</f>
        <v>Bacillariophyta</v>
      </c>
      <c r="B134" t="str">
        <f>('remet-LZ'!I169)</f>
        <v>Tabellaria</v>
      </c>
      <c r="C134" s="53" t="s">
        <v>3843</v>
      </c>
      <c r="E134">
        <f>COUNTIF('remet-LZ'!Q169,"&lt;=10")</f>
        <v>0</v>
      </c>
      <c r="F134">
        <f>COUNTIFS('remet-LZ'!Q169,"&gt;10",'remet-LZ'!Q169,"&lt;=25")</f>
        <v>0</v>
      </c>
      <c r="G134">
        <f>COUNTIFS('remet-LZ'!Q169,"&gt;25",'remet-LZ'!Q169,"&lt;=100")</f>
        <v>1</v>
      </c>
      <c r="H134">
        <f>COUNTIFS('remet-LZ'!Q169,"&gt;100")</f>
        <v>0</v>
      </c>
      <c r="I134" s="68">
        <f>COUNTIF('remet-LZ'!BH169,"&lt;=0.3")</f>
        <v>0</v>
      </c>
      <c r="J134" s="68">
        <f>COUNTIFS('remet-LZ'!BH169,"&gt;0.3",'remet-LZ'!BH169,"&lt;=0.7")</f>
        <v>0</v>
      </c>
      <c r="K134" s="68">
        <f>COUNTIFS('remet-LZ'!BH169,"&gt;0.7",'remet-LZ'!BH169,"&lt;=1.0")</f>
        <v>0</v>
      </c>
      <c r="L134" s="68">
        <f>COUNTIFS('remet-LZ'!BH169,"&gt;1.0",'remet-LZ'!BH169,"&lt;=3.0")</f>
        <v>1</v>
      </c>
      <c r="M134" s="68">
        <f>COUNTIF('remet-LZ'!BH169,"&gt;3.0")</f>
        <v>0</v>
      </c>
      <c r="N134" s="64">
        <f>('remet-LZ'!AM169)</f>
        <v>0.11</v>
      </c>
      <c r="O134">
        <f>COUNTIF('remet-LZ'!Y169,"=1")</f>
        <v>1</v>
      </c>
      <c r="P134">
        <f>COUNTIF('remet-LZ'!Y169,"&gt;1")</f>
        <v>0</v>
      </c>
      <c r="Q134" t="s">
        <v>3589</v>
      </c>
      <c r="R134" t="s">
        <v>3584</v>
      </c>
      <c r="S134">
        <v>0</v>
      </c>
      <c r="T134">
        <v>1</v>
      </c>
    </row>
    <row r="135" spans="1:20" ht="17">
      <c r="A135" t="str">
        <f>('remet-LZ'!E170)</f>
        <v>Chlorophyta</v>
      </c>
      <c r="B135" t="str">
        <f>('remet-LZ'!I170)</f>
        <v>Chlamydomonas</v>
      </c>
      <c r="C135" s="53" t="s">
        <v>3844</v>
      </c>
      <c r="E135">
        <f>COUNTIF('remet-LZ'!Q170,"&lt;=10")</f>
        <v>1</v>
      </c>
      <c r="F135">
        <f>COUNTIFS('remet-LZ'!Q170,"&gt;10",'remet-LZ'!Q170,"&lt;=25")</f>
        <v>0</v>
      </c>
      <c r="G135">
        <f>COUNTIFS('remet-LZ'!Q170,"&gt;25",'remet-LZ'!Q170,"&lt;=100")</f>
        <v>0</v>
      </c>
      <c r="H135">
        <f>COUNTIFS('remet-LZ'!Q170,"&gt;100")</f>
        <v>0</v>
      </c>
      <c r="I135" s="68">
        <f>COUNTIF('remet-LZ'!BH170,"&lt;=0.3")</f>
        <v>0</v>
      </c>
      <c r="J135" s="68">
        <f>COUNTIFS('remet-LZ'!BH170,"&gt;0.3",'remet-LZ'!BH170,"&lt;=0.7")</f>
        <v>1</v>
      </c>
      <c r="K135" s="68">
        <f>COUNTIFS('remet-LZ'!BH170,"&gt;0.7",'remet-LZ'!BH170,"&lt;=1.0")</f>
        <v>0</v>
      </c>
      <c r="L135" s="68">
        <f>COUNTIFS('remet-LZ'!BH170,"&gt;1.0",'remet-LZ'!BH170,"&lt;=3.0")</f>
        <v>0</v>
      </c>
      <c r="M135" s="68">
        <f>COUNTIF('remet-LZ'!BH170,"&gt;3.0")</f>
        <v>0</v>
      </c>
      <c r="N135" s="64">
        <f>('remet-LZ'!AM170)</f>
        <v>0.16</v>
      </c>
      <c r="O135">
        <f>COUNTIF('remet-LZ'!Y170,"=1")</f>
        <v>1</v>
      </c>
      <c r="P135">
        <f>COUNTIF('remet-LZ'!Y170,"&gt;1")</f>
        <v>0</v>
      </c>
      <c r="Q135" t="s">
        <v>3587</v>
      </c>
      <c r="R135" t="s">
        <v>3583</v>
      </c>
      <c r="S135">
        <v>0</v>
      </c>
      <c r="T135">
        <v>0</v>
      </c>
    </row>
    <row r="136" spans="1:20" ht="17">
      <c r="A136" t="str">
        <f>('remet-LZ'!E171)</f>
        <v>Chlorophyta</v>
      </c>
      <c r="B136" t="str">
        <f>('remet-LZ'!I171)</f>
        <v>Fotterella</v>
      </c>
      <c r="C136" s="53" t="s">
        <v>3845</v>
      </c>
      <c r="E136">
        <f>COUNTIF('remet-LZ'!Q171,"&lt;=10")</f>
        <v>0</v>
      </c>
      <c r="F136">
        <f>COUNTIFS('remet-LZ'!Q171,"&gt;10",'remet-LZ'!Q171,"&lt;=25")</f>
        <v>1</v>
      </c>
      <c r="G136">
        <f>COUNTIFS('remet-LZ'!Q171,"&gt;25",'remet-LZ'!Q171,"&lt;=100")</f>
        <v>0</v>
      </c>
      <c r="H136">
        <f>COUNTIFS('remet-LZ'!Q171,"&gt;100")</f>
        <v>0</v>
      </c>
      <c r="I136" s="68">
        <f>COUNTIF('remet-LZ'!BH171,"&lt;=0.3")</f>
        <v>0</v>
      </c>
      <c r="J136" s="68">
        <f>COUNTIFS('remet-LZ'!BH171,"&gt;0.3",'remet-LZ'!BH171,"&lt;=0.7")</f>
        <v>1</v>
      </c>
      <c r="K136" s="68">
        <f>COUNTIFS('remet-LZ'!BH171,"&gt;0.7",'remet-LZ'!BH171,"&lt;=1.0")</f>
        <v>0</v>
      </c>
      <c r="L136" s="68">
        <f>COUNTIFS('remet-LZ'!BH171,"&gt;1.0",'remet-LZ'!BH171,"&lt;=3.0")</f>
        <v>0</v>
      </c>
      <c r="M136" s="68">
        <f>COUNTIF('remet-LZ'!BH171,"&gt;3.0")</f>
        <v>0</v>
      </c>
      <c r="N136" s="64">
        <f>('remet-LZ'!AM171)</f>
        <v>0.16</v>
      </c>
      <c r="O136">
        <f>COUNTIF('remet-LZ'!Y171,"=1")</f>
        <v>0</v>
      </c>
      <c r="P136">
        <f>COUNTIF('remet-LZ'!Y171,"&gt;1")</f>
        <v>1</v>
      </c>
      <c r="Q136" t="s">
        <v>3589</v>
      </c>
      <c r="R136" t="s">
        <v>3583</v>
      </c>
      <c r="S136">
        <v>0</v>
      </c>
      <c r="T136">
        <v>0</v>
      </c>
    </row>
    <row r="137" spans="1:20" ht="17">
      <c r="A137" t="str">
        <f>('remet-LZ'!E172)</f>
        <v>Bacillariophyta</v>
      </c>
      <c r="B137" t="str">
        <f>('remet-LZ'!I172)</f>
        <v>Nitzschia</v>
      </c>
      <c r="C137" s="53" t="s">
        <v>3846</v>
      </c>
      <c r="E137">
        <f>COUNTIF('remet-LZ'!Q172,"&lt;=10")</f>
        <v>0</v>
      </c>
      <c r="F137">
        <f>COUNTIFS('remet-LZ'!Q172,"&gt;10",'remet-LZ'!Q172,"&lt;=25")</f>
        <v>0</v>
      </c>
      <c r="G137">
        <f>COUNTIFS('remet-LZ'!Q172,"&gt;25",'remet-LZ'!Q172,"&lt;=100")</f>
        <v>1</v>
      </c>
      <c r="H137">
        <f>COUNTIFS('remet-LZ'!Q172,"&gt;100")</f>
        <v>0</v>
      </c>
      <c r="I137" s="68">
        <f>COUNTIF('remet-LZ'!BH172,"&lt;=0.3")</f>
        <v>0</v>
      </c>
      <c r="J137" s="68">
        <f>COUNTIFS('remet-LZ'!BH172,"&gt;0.3",'remet-LZ'!BH172,"&lt;=0.7")</f>
        <v>1</v>
      </c>
      <c r="K137" s="68">
        <f>COUNTIFS('remet-LZ'!BH172,"&gt;0.7",'remet-LZ'!BH172,"&lt;=1.0")</f>
        <v>0</v>
      </c>
      <c r="L137" s="68">
        <f>COUNTIFS('remet-LZ'!BH172,"&gt;1.0",'remet-LZ'!BH172,"&lt;=3.0")</f>
        <v>0</v>
      </c>
      <c r="M137" s="68">
        <f>COUNTIF('remet-LZ'!BH172,"&gt;3.0")</f>
        <v>0</v>
      </c>
      <c r="N137" s="64">
        <f>('remet-LZ'!AM172)</f>
        <v>0.11</v>
      </c>
      <c r="O137">
        <f>COUNTIF('remet-LZ'!Y172,"=1")</f>
        <v>1</v>
      </c>
      <c r="P137">
        <f>COUNTIF('remet-LZ'!Y172,"&gt;1")</f>
        <v>0</v>
      </c>
      <c r="Q137" t="s">
        <v>3586</v>
      </c>
      <c r="R137" t="s">
        <v>3584</v>
      </c>
      <c r="S137">
        <v>0</v>
      </c>
      <c r="T137">
        <v>1</v>
      </c>
    </row>
    <row r="138" spans="1:20" ht="17">
      <c r="C138" s="53" t="s">
        <v>3847</v>
      </c>
    </row>
    <row r="139" spans="1:20" ht="17">
      <c r="C139" s="53" t="s">
        <v>3848</v>
      </c>
    </row>
    <row r="140" spans="1:20" ht="17">
      <c r="A140" t="str">
        <f>('remet-LZ'!E175)</f>
        <v>Ochrophyta</v>
      </c>
      <c r="B140" t="str">
        <f>('remet-LZ'!I175)</f>
        <v>Kephyrion</v>
      </c>
      <c r="C140" s="53" t="s">
        <v>3849</v>
      </c>
      <c r="E140">
        <f>COUNTIF('remet-LZ'!Q175,"&lt;=10")</f>
        <v>1</v>
      </c>
      <c r="F140">
        <f>COUNTIFS('remet-LZ'!Q175,"&gt;10",'remet-LZ'!Q175,"&lt;=25")</f>
        <v>0</v>
      </c>
      <c r="G140">
        <f>COUNTIFS('remet-LZ'!Q175,"&gt;25",'remet-LZ'!Q175,"&lt;=100")</f>
        <v>0</v>
      </c>
      <c r="H140">
        <f>COUNTIFS('remet-LZ'!Q175,"&gt;100")</f>
        <v>0</v>
      </c>
      <c r="I140" s="68">
        <f>COUNTIF('remet-LZ'!BH175,"&lt;=0.3")</f>
        <v>1</v>
      </c>
      <c r="J140" s="68">
        <f>COUNTIFS('remet-LZ'!BH175,"&gt;0.3",'remet-LZ'!BH175,"&lt;=0.7")</f>
        <v>0</v>
      </c>
      <c r="K140" s="68">
        <f>COUNTIFS('remet-LZ'!BH175,"&gt;0.7",'remet-LZ'!BH175,"&lt;=1.0")</f>
        <v>0</v>
      </c>
      <c r="L140" s="68">
        <f>COUNTIFS('remet-LZ'!BH175,"&gt;1.0",'remet-LZ'!BH175,"&lt;=3.0")</f>
        <v>0</v>
      </c>
      <c r="M140" s="68">
        <f>COUNTIF('remet-LZ'!BH175,"&gt;3.0")</f>
        <v>0</v>
      </c>
      <c r="N140" s="64">
        <f>('remet-LZ'!AM175)</f>
        <v>0.11</v>
      </c>
      <c r="O140">
        <f>COUNTIF('remet-LZ'!Y175,"=1")</f>
        <v>1</v>
      </c>
      <c r="P140">
        <f>COUNTIF('remet-LZ'!Y175,"&gt;1")</f>
        <v>0</v>
      </c>
      <c r="Q140" t="s">
        <v>3587</v>
      </c>
      <c r="R140" t="s">
        <v>3584</v>
      </c>
      <c r="S140">
        <v>0</v>
      </c>
      <c r="T140">
        <v>0</v>
      </c>
    </row>
    <row r="141" spans="1:20" ht="17">
      <c r="C141" s="53" t="s">
        <v>3850</v>
      </c>
    </row>
    <row r="142" spans="1:20" ht="17">
      <c r="C142" s="53" t="s">
        <v>3851</v>
      </c>
    </row>
    <row r="143" spans="1:20" ht="23">
      <c r="A143" t="str">
        <f>('remet-LZ'!E178)</f>
        <v>Ochrophyta</v>
      </c>
      <c r="B143" t="str">
        <f>('remet-LZ'!I178)</f>
        <v>Chromulina</v>
      </c>
      <c r="C143" s="53" t="s">
        <v>3852</v>
      </c>
      <c r="D143" s="81" t="s">
        <v>3889</v>
      </c>
      <c r="E143">
        <f>COUNTIF('remet-LZ'!Q178,"&lt;=10")</f>
        <v>0</v>
      </c>
      <c r="F143">
        <f>COUNTIFS('remet-LZ'!Q178,"&gt;10",'remet-LZ'!Q178,"&lt;=25")</f>
        <v>1</v>
      </c>
      <c r="G143">
        <f>COUNTIFS('remet-LZ'!Q178,"&gt;25",'remet-LZ'!Q178,"&lt;=100")</f>
        <v>0</v>
      </c>
      <c r="H143">
        <f>COUNTIFS('remet-LZ'!Q178,"&gt;100")</f>
        <v>0</v>
      </c>
      <c r="I143" s="68">
        <f>COUNTIF('remet-LZ'!BH178,"&lt;=0.3")</f>
        <v>0</v>
      </c>
      <c r="J143" s="68">
        <f>COUNTIFS('remet-LZ'!BH178,"&gt;0.3",'remet-LZ'!BH178,"&lt;=0.7")</f>
        <v>1</v>
      </c>
      <c r="K143" s="68">
        <f>COUNTIFS('remet-LZ'!BH178,"&gt;0.7",'remet-LZ'!BH178,"&lt;=1.0")</f>
        <v>0</v>
      </c>
      <c r="L143" s="68">
        <f>COUNTIFS('remet-LZ'!BH178,"&gt;1.0",'remet-LZ'!BH178,"&lt;=3.0")</f>
        <v>0</v>
      </c>
      <c r="M143" s="68">
        <f>COUNTIF('remet-LZ'!BH178,"&gt;3.0")</f>
        <v>0</v>
      </c>
      <c r="N143" s="64">
        <f>('remet-LZ'!AM178)</f>
        <v>0.11</v>
      </c>
      <c r="O143">
        <f>COUNTIF('remet-LZ'!Y178,"=1")</f>
        <v>1</v>
      </c>
      <c r="P143">
        <f>COUNTIF('remet-LZ'!Y178,"&gt;1")</f>
        <v>0</v>
      </c>
      <c r="Q143" t="s">
        <v>3587</v>
      </c>
      <c r="R143" t="s">
        <v>3584</v>
      </c>
      <c r="S143">
        <v>0</v>
      </c>
      <c r="T143">
        <v>0</v>
      </c>
    </row>
    <row r="144" spans="1:20" ht="17">
      <c r="C144" s="53" t="s">
        <v>3853</v>
      </c>
    </row>
    <row r="145" spans="1:20" ht="17">
      <c r="A145" t="str">
        <f>('remet-LZ'!E180)</f>
        <v>Bacillariophyta</v>
      </c>
      <c r="B145" t="str">
        <f>('remet-LZ'!I180)</f>
        <v>Epithemia</v>
      </c>
      <c r="C145" s="53" t="s">
        <v>3854</v>
      </c>
      <c r="E145">
        <f>COUNTIF('remet-LZ'!Q180,"&lt;=10")</f>
        <v>0</v>
      </c>
      <c r="F145">
        <f>COUNTIFS('remet-LZ'!Q180,"&gt;10",'remet-LZ'!Q180,"&lt;=25")</f>
        <v>0</v>
      </c>
      <c r="G145">
        <f>COUNTIFS('remet-LZ'!Q180,"&gt;25",'remet-LZ'!Q180,"&lt;=100")</f>
        <v>1</v>
      </c>
      <c r="H145">
        <f>COUNTIFS('remet-LZ'!Q180,"&gt;100")</f>
        <v>0</v>
      </c>
      <c r="I145" s="68">
        <f>COUNTIF('remet-LZ'!BH180,"&lt;=0.3")</f>
        <v>0</v>
      </c>
      <c r="J145" s="68">
        <f>COUNTIFS('remet-LZ'!BH180,"&gt;0.3",'remet-LZ'!BH180,"&lt;=0.7")</f>
        <v>0</v>
      </c>
      <c r="K145" s="68">
        <f>COUNTIFS('remet-LZ'!BH180,"&gt;0.7",'remet-LZ'!BH180,"&lt;=1.0")</f>
        <v>0</v>
      </c>
      <c r="L145" s="68">
        <f>COUNTIFS('remet-LZ'!BH180,"&gt;1.0",'remet-LZ'!BH180,"&lt;=3.0")</f>
        <v>0</v>
      </c>
      <c r="M145" s="68">
        <f>COUNTIF('remet-LZ'!BH180,"&gt;3.0")</f>
        <v>1</v>
      </c>
      <c r="N145" s="64">
        <f>('remet-LZ'!AM180)</f>
        <v>0.11</v>
      </c>
      <c r="O145">
        <f>COUNTIF('remet-LZ'!Y180,"=1")</f>
        <v>1</v>
      </c>
      <c r="P145">
        <f>COUNTIF('remet-LZ'!Y180,"&gt;1")</f>
        <v>0</v>
      </c>
      <c r="Q145" t="s">
        <v>3586</v>
      </c>
      <c r="R145" t="s">
        <v>3584</v>
      </c>
      <c r="S145">
        <v>0</v>
      </c>
      <c r="T145">
        <v>1</v>
      </c>
    </row>
    <row r="146" spans="1:20" ht="17">
      <c r="A146" t="str">
        <f>('remet-LZ'!E181)</f>
        <v>Bacillariophyta</v>
      </c>
      <c r="B146" t="str">
        <f>('remet-LZ'!I181)</f>
        <v>Staurosira</v>
      </c>
      <c r="C146" s="53" t="s">
        <v>3855</v>
      </c>
      <c r="E146">
        <f>COUNTIF('remet-LZ'!Q181,"&lt;=10")</f>
        <v>0</v>
      </c>
      <c r="F146">
        <f>COUNTIFS('remet-LZ'!Q181,"&gt;10",'remet-LZ'!Q181,"&lt;=25")</f>
        <v>1</v>
      </c>
      <c r="G146">
        <f>COUNTIFS('remet-LZ'!Q181,"&gt;25",'remet-LZ'!Q181,"&lt;=100")</f>
        <v>0</v>
      </c>
      <c r="H146">
        <f>COUNTIFS('remet-LZ'!Q181,"&gt;100")</f>
        <v>0</v>
      </c>
      <c r="I146" s="68">
        <f>COUNTIF('remet-LZ'!BH181,"&lt;=0.3")</f>
        <v>0</v>
      </c>
      <c r="J146" s="68">
        <f>COUNTIFS('remet-LZ'!BH181,"&gt;0.3",'remet-LZ'!BH181,"&lt;=0.7")</f>
        <v>1</v>
      </c>
      <c r="K146" s="68">
        <f>COUNTIFS('remet-LZ'!BH181,"&gt;0.7",'remet-LZ'!BH181,"&lt;=1.0")</f>
        <v>0</v>
      </c>
      <c r="L146" s="68">
        <f>COUNTIFS('remet-LZ'!BH181,"&gt;1.0",'remet-LZ'!BH181,"&lt;=3.0")</f>
        <v>0</v>
      </c>
      <c r="M146" s="68">
        <f>COUNTIF('remet-LZ'!BH181,"&gt;3.0")</f>
        <v>0</v>
      </c>
      <c r="N146" s="64">
        <f>('remet-LZ'!AM181)</f>
        <v>0.11</v>
      </c>
      <c r="O146">
        <f>COUNTIF('remet-LZ'!Y181,"=1")</f>
        <v>1</v>
      </c>
      <c r="P146">
        <f>COUNTIF('remet-LZ'!Y181,"&gt;1")</f>
        <v>0</v>
      </c>
      <c r="Q146" t="s">
        <v>3589</v>
      </c>
      <c r="R146" t="s">
        <v>3584</v>
      </c>
      <c r="S146">
        <v>0</v>
      </c>
      <c r="T146">
        <v>1</v>
      </c>
    </row>
    <row r="147" spans="1:20" ht="17">
      <c r="C147" s="53" t="s">
        <v>3856</v>
      </c>
    </row>
    <row r="148" spans="1:20" ht="17">
      <c r="C148" s="53" t="s">
        <v>3857</v>
      </c>
    </row>
    <row r="149" spans="1:20" ht="17">
      <c r="C149" s="53" t="s">
        <v>3858</v>
      </c>
    </row>
    <row r="150" spans="1:20" ht="17">
      <c r="A150" t="str">
        <f>('remet-LZ'!E185)</f>
        <v>Chlorophyta</v>
      </c>
      <c r="B150" t="str">
        <f>('remet-LZ'!I185)</f>
        <v>Nephrocytium</v>
      </c>
      <c r="C150" s="53" t="s">
        <v>3859</v>
      </c>
      <c r="E150">
        <f>COUNTIF('remet-LZ'!Q185,"&lt;=10")</f>
        <v>0</v>
      </c>
      <c r="F150">
        <f>COUNTIFS('remet-LZ'!Q185,"&gt;10",'remet-LZ'!Q185,"&lt;=25")</f>
        <v>1</v>
      </c>
      <c r="G150">
        <f>COUNTIFS('remet-LZ'!Q185,"&gt;25",'remet-LZ'!Q185,"&lt;=100")</f>
        <v>0</v>
      </c>
      <c r="H150">
        <f>COUNTIFS('remet-LZ'!Q185,"&gt;100")</f>
        <v>0</v>
      </c>
      <c r="I150" s="68">
        <f>COUNTIF('remet-LZ'!BH185,"&lt;=0.3")</f>
        <v>1</v>
      </c>
      <c r="J150" s="68">
        <f>COUNTIFS('remet-LZ'!BH185,"&gt;0.3",'remet-LZ'!BH185,"&lt;=0.7")</f>
        <v>0</v>
      </c>
      <c r="K150" s="68">
        <f>COUNTIFS('remet-LZ'!BH185,"&gt;0.7",'remet-LZ'!BH185,"&lt;=1.0")</f>
        <v>0</v>
      </c>
      <c r="L150" s="68">
        <f>COUNTIFS('remet-LZ'!BH185,"&gt;1.0",'remet-LZ'!BH185,"&lt;=3.0")</f>
        <v>0</v>
      </c>
      <c r="M150" s="68">
        <f>COUNTIF('remet-LZ'!BH185,"&gt;3.0")</f>
        <v>0</v>
      </c>
      <c r="N150" s="64">
        <f>('remet-LZ'!AM185)</f>
        <v>0.16</v>
      </c>
      <c r="O150">
        <f>COUNTIF('remet-LZ'!Y185,"=1")</f>
        <v>0</v>
      </c>
      <c r="P150">
        <f>COUNTIF('remet-LZ'!Y185,"&gt;1")</f>
        <v>1</v>
      </c>
      <c r="Q150" t="s">
        <v>3589</v>
      </c>
      <c r="R150" t="s">
        <v>3583</v>
      </c>
      <c r="S150">
        <v>0</v>
      </c>
      <c r="T150">
        <v>0</v>
      </c>
    </row>
    <row r="151" spans="1:20" ht="17">
      <c r="A151" t="str">
        <f>('remet-LZ'!E186)</f>
        <v>Cyanobacteria</v>
      </c>
      <c r="B151" t="str">
        <f>('remet-LZ'!I186)</f>
        <v>Synechococcus</v>
      </c>
      <c r="C151" s="53" t="s">
        <v>3860</v>
      </c>
      <c r="E151">
        <f>COUNTIF('remet-LZ'!Q186,"&lt;=10")</f>
        <v>1</v>
      </c>
      <c r="F151">
        <f>COUNTIFS('remet-LZ'!Q186,"&gt;10",'remet-LZ'!Q186,"&lt;=25")</f>
        <v>0</v>
      </c>
      <c r="G151">
        <f>COUNTIFS('remet-LZ'!Q186,"&gt;25",'remet-LZ'!Q186,"&lt;=100")</f>
        <v>0</v>
      </c>
      <c r="H151">
        <f>COUNTIFS('remet-LZ'!Q186,"&gt;100")</f>
        <v>0</v>
      </c>
      <c r="I151" s="68">
        <f>COUNTIF('remet-LZ'!BH186,"&lt;=0.3")</f>
        <v>1</v>
      </c>
      <c r="J151" s="68">
        <f>COUNTIFS('remet-LZ'!BH186,"&gt;0.3",'remet-LZ'!BH186,"&lt;=0.7")</f>
        <v>0</v>
      </c>
      <c r="K151" s="68">
        <f>COUNTIFS('remet-LZ'!BH186,"&gt;0.7",'remet-LZ'!BH186,"&lt;=1.0")</f>
        <v>0</v>
      </c>
      <c r="L151" s="68">
        <f>COUNTIFS('remet-LZ'!BH186,"&gt;1.0",'remet-LZ'!BH186,"&lt;=3.0")</f>
        <v>0</v>
      </c>
      <c r="M151" s="68">
        <f>COUNTIF('remet-LZ'!BH186,"&gt;3.0")</f>
        <v>0</v>
      </c>
      <c r="N151" s="64">
        <f>('remet-LZ'!AM186)</f>
        <v>0.22</v>
      </c>
      <c r="O151">
        <f>COUNTIF('remet-LZ'!Y186,"=1")</f>
        <v>1</v>
      </c>
      <c r="P151">
        <f>COUNTIF('remet-LZ'!Y186,"&gt;1")</f>
        <v>0</v>
      </c>
      <c r="Q151" t="s">
        <v>3589</v>
      </c>
      <c r="R151" t="s">
        <v>3583</v>
      </c>
      <c r="S151">
        <v>0</v>
      </c>
      <c r="T151">
        <v>0</v>
      </c>
    </row>
    <row r="152" spans="1:20" ht="17">
      <c r="C152" s="53" t="s">
        <v>3861</v>
      </c>
    </row>
    <row r="153" spans="1:20" ht="17">
      <c r="C153" s="53" t="s">
        <v>3862</v>
      </c>
    </row>
    <row r="154" spans="1:20" ht="17">
      <c r="A154" t="str">
        <f>('remet-LZ'!E189)</f>
        <v>Ochrophyta</v>
      </c>
      <c r="B154" t="str">
        <f>('remet-LZ'!I189)</f>
        <v>Chrysococcus</v>
      </c>
      <c r="C154" s="53" t="s">
        <v>3863</v>
      </c>
      <c r="E154">
        <f>COUNTIF('remet-LZ'!Q189,"&lt;=10")</f>
        <v>0</v>
      </c>
      <c r="F154">
        <f>COUNTIFS('remet-LZ'!Q189,"&gt;10",'remet-LZ'!Q189,"&lt;=25")</f>
        <v>1</v>
      </c>
      <c r="G154">
        <f>COUNTIFS('remet-LZ'!Q189,"&gt;25",'remet-LZ'!Q189,"&lt;=100")</f>
        <v>0</v>
      </c>
      <c r="H154">
        <f>COUNTIFS('remet-LZ'!Q189,"&gt;100")</f>
        <v>0</v>
      </c>
      <c r="I154" s="68">
        <f>COUNTIF('remet-LZ'!BH189,"&lt;=0.3")</f>
        <v>0</v>
      </c>
      <c r="J154" s="68">
        <f>COUNTIFS('remet-LZ'!BH189,"&gt;0.3",'remet-LZ'!BH189,"&lt;=0.7")</f>
        <v>1</v>
      </c>
      <c r="K154" s="68">
        <f>COUNTIFS('remet-LZ'!BH189,"&gt;0.7",'remet-LZ'!BH189,"&lt;=1.0")</f>
        <v>0</v>
      </c>
      <c r="L154" s="68">
        <f>COUNTIFS('remet-LZ'!BH189,"&gt;1.0",'remet-LZ'!BH189,"&lt;=3.0")</f>
        <v>0</v>
      </c>
      <c r="M154" s="68">
        <f>COUNTIF('remet-LZ'!BH189,"&gt;3.0")</f>
        <v>0</v>
      </c>
      <c r="N154" s="64">
        <f>('remet-LZ'!AM189)</f>
        <v>0.11</v>
      </c>
      <c r="O154">
        <f>COUNTIF('remet-LZ'!Y189,"=1")</f>
        <v>1</v>
      </c>
      <c r="P154">
        <f>COUNTIF('remet-LZ'!Y189,"&gt;1")</f>
        <v>0</v>
      </c>
      <c r="Q154" t="s">
        <v>3587</v>
      </c>
      <c r="R154" t="s">
        <v>3584</v>
      </c>
      <c r="S154">
        <v>0</v>
      </c>
      <c r="T154">
        <v>0</v>
      </c>
    </row>
    <row r="155" spans="1:20" ht="17">
      <c r="A155" t="str">
        <f>('remet-LZ'!E190)</f>
        <v>Chlorophyta</v>
      </c>
      <c r="B155" t="str">
        <f>('remet-LZ'!I190)</f>
        <v>Tetrachlorella</v>
      </c>
      <c r="C155" s="53" t="s">
        <v>3864</v>
      </c>
      <c r="E155">
        <f>COUNTIF('remet-LZ'!Q190,"&lt;=10")</f>
        <v>1</v>
      </c>
      <c r="F155">
        <f>COUNTIFS('remet-LZ'!Q190,"&gt;10",'remet-LZ'!Q190,"&lt;=25")</f>
        <v>0</v>
      </c>
      <c r="G155">
        <f>COUNTIFS('remet-LZ'!Q190,"&gt;25",'remet-LZ'!Q190,"&lt;=100")</f>
        <v>0</v>
      </c>
      <c r="H155">
        <f>COUNTIFS('remet-LZ'!Q190,"&gt;100")</f>
        <v>0</v>
      </c>
      <c r="I155" s="68">
        <f>COUNTIF('remet-LZ'!BH190,"&lt;=0.3")</f>
        <v>1</v>
      </c>
      <c r="J155" s="68">
        <f>COUNTIFS('remet-LZ'!BH190,"&gt;0.3",'remet-LZ'!BH190,"&lt;=0.7")</f>
        <v>0</v>
      </c>
      <c r="K155" s="68">
        <f>COUNTIFS('remet-LZ'!BH190,"&gt;0.7",'remet-LZ'!BH190,"&lt;=1.0")</f>
        <v>0</v>
      </c>
      <c r="L155" s="68">
        <f>COUNTIFS('remet-LZ'!BH190,"&gt;1.0",'remet-LZ'!BH190,"&lt;=3.0")</f>
        <v>0</v>
      </c>
      <c r="M155" s="68">
        <f>COUNTIF('remet-LZ'!BH190,"&gt;3.0")</f>
        <v>0</v>
      </c>
      <c r="N155" s="64">
        <f>('remet-LZ'!AM190)</f>
        <v>0.16</v>
      </c>
      <c r="O155">
        <f>COUNTIF('remet-LZ'!Y190,"=1")</f>
        <v>0</v>
      </c>
      <c r="P155">
        <f>COUNTIF('remet-LZ'!Y190,"&gt;1")</f>
        <v>1</v>
      </c>
      <c r="Q155" t="s">
        <v>3589</v>
      </c>
      <c r="R155" t="s">
        <v>3583</v>
      </c>
      <c r="S155">
        <v>0</v>
      </c>
      <c r="T155">
        <v>0</v>
      </c>
    </row>
    <row r="156" spans="1:20" ht="17">
      <c r="A156" t="str">
        <f>('remet-LZ'!E191)</f>
        <v>Cyanobacteria</v>
      </c>
      <c r="B156" t="str">
        <f>('remet-LZ'!I191)</f>
        <v>Phormidium</v>
      </c>
      <c r="C156" s="53" t="s">
        <v>3865</v>
      </c>
      <c r="E156">
        <f>COUNTIF('remet-LZ'!Q191,"&lt;=10")</f>
        <v>1</v>
      </c>
      <c r="F156">
        <f>COUNTIFS('remet-LZ'!Q191,"&gt;10",'remet-LZ'!Q191,"&lt;=25")</f>
        <v>0</v>
      </c>
      <c r="G156">
        <f>COUNTIFS('remet-LZ'!Q191,"&gt;25",'remet-LZ'!Q191,"&lt;=100")</f>
        <v>0</v>
      </c>
      <c r="H156">
        <f>COUNTIFS('remet-LZ'!Q191,"&gt;100")</f>
        <v>0</v>
      </c>
      <c r="I156" s="68">
        <f>COUNTIF('remet-LZ'!BH191,"&lt;=0.3")</f>
        <v>0</v>
      </c>
      <c r="J156" s="68">
        <f>COUNTIFS('remet-LZ'!BH191,"&gt;0.3",'remet-LZ'!BH191,"&lt;=0.7")</f>
        <v>0</v>
      </c>
      <c r="K156" s="68">
        <f>COUNTIFS('remet-LZ'!BH191,"&gt;0.7",'remet-LZ'!BH191,"&lt;=1.0")</f>
        <v>1</v>
      </c>
      <c r="L156" s="68">
        <f>COUNTIFS('remet-LZ'!BH191,"&gt;1.0",'remet-LZ'!BH191,"&lt;=3.0")</f>
        <v>0</v>
      </c>
      <c r="M156" s="68">
        <f>COUNTIF('remet-LZ'!BH191,"&gt;3.0")</f>
        <v>0</v>
      </c>
      <c r="N156" s="64">
        <f>('remet-LZ'!AM191)</f>
        <v>0.22</v>
      </c>
      <c r="O156">
        <f>COUNTIF('remet-LZ'!Y191,"=1")</f>
        <v>0</v>
      </c>
      <c r="P156">
        <f>COUNTIF('remet-LZ'!Y191,"&gt;1")</f>
        <v>1</v>
      </c>
      <c r="Q156" t="s">
        <v>3589</v>
      </c>
      <c r="R156" t="s">
        <v>3583</v>
      </c>
      <c r="S156">
        <v>0</v>
      </c>
      <c r="T156">
        <v>0</v>
      </c>
    </row>
    <row r="157" spans="1:20" ht="17">
      <c r="A157" t="str">
        <f>('remet-LZ'!E192)</f>
        <v>Ochrophyta</v>
      </c>
      <c r="B157" t="str">
        <f>('remet-LZ'!I192)</f>
        <v>Tribonema</v>
      </c>
      <c r="C157" s="53" t="s">
        <v>3866</v>
      </c>
      <c r="E157">
        <f>COUNTIF('remet-LZ'!Q192,"&lt;=10")</f>
        <v>1</v>
      </c>
      <c r="F157">
        <f>COUNTIFS('remet-LZ'!Q192,"&gt;10",'remet-LZ'!Q192,"&lt;=25")</f>
        <v>0</v>
      </c>
      <c r="G157">
        <f>COUNTIFS('remet-LZ'!Q192,"&gt;25",'remet-LZ'!Q192,"&lt;=100")</f>
        <v>0</v>
      </c>
      <c r="H157">
        <f>COUNTIFS('remet-LZ'!Q192,"&gt;100")</f>
        <v>0</v>
      </c>
      <c r="I157" s="68">
        <f>COUNTIF('remet-LZ'!BH192,"&lt;=0.3")</f>
        <v>0</v>
      </c>
      <c r="J157" s="68">
        <f>COUNTIFS('remet-LZ'!BH192,"&gt;0.3",'remet-LZ'!BH192,"&lt;=0.7")</f>
        <v>0</v>
      </c>
      <c r="K157" s="68">
        <f>COUNTIFS('remet-LZ'!BH192,"&gt;0.7",'remet-LZ'!BH192,"&lt;=1.0")</f>
        <v>1</v>
      </c>
      <c r="L157" s="68">
        <f>COUNTIFS('remet-LZ'!BH192,"&gt;1.0",'remet-LZ'!BH192,"&lt;=3.0")</f>
        <v>0</v>
      </c>
      <c r="M157" s="68">
        <f>COUNTIF('remet-LZ'!BH192,"&gt;3.0")</f>
        <v>0</v>
      </c>
      <c r="N157" s="64">
        <f>('remet-LZ'!AM192)</f>
        <v>0.11</v>
      </c>
      <c r="O157">
        <f>COUNTIF('remet-LZ'!Y192,"=1")</f>
        <v>0</v>
      </c>
      <c r="P157">
        <f>COUNTIF('remet-LZ'!Y192,"&gt;1")</f>
        <v>1</v>
      </c>
      <c r="Q157" t="s">
        <v>3589</v>
      </c>
      <c r="R157" t="s">
        <v>3583</v>
      </c>
      <c r="S157">
        <v>0</v>
      </c>
      <c r="T157">
        <v>1</v>
      </c>
    </row>
    <row r="158" spans="1:20" ht="17">
      <c r="C158" s="53" t="s">
        <v>3867</v>
      </c>
    </row>
    <row r="159" spans="1:20" ht="17">
      <c r="A159" t="str">
        <f>('remet-LZ'!E194)</f>
        <v>Bacillariophyta</v>
      </c>
      <c r="B159" t="str">
        <f>('remet-LZ'!I194)</f>
        <v>Cyclotella</v>
      </c>
      <c r="C159" s="53" t="s">
        <v>3868</v>
      </c>
      <c r="E159">
        <f>COUNTIF('remet-LZ'!Q194,"&lt;=10")</f>
        <v>1</v>
      </c>
      <c r="F159">
        <f>COUNTIFS('remet-LZ'!Q194,"&gt;10",'remet-LZ'!Q194,"&lt;=25")</f>
        <v>0</v>
      </c>
      <c r="G159">
        <f>COUNTIFS('remet-LZ'!Q194,"&gt;25",'remet-LZ'!Q194,"&lt;=100")</f>
        <v>0</v>
      </c>
      <c r="H159">
        <f>COUNTIFS('remet-LZ'!Q194,"&gt;100")</f>
        <v>0</v>
      </c>
      <c r="I159" s="68">
        <f>COUNTIF('remet-LZ'!BH194,"&lt;=0.3")</f>
        <v>0</v>
      </c>
      <c r="J159" s="68">
        <f>COUNTIFS('remet-LZ'!BH194,"&gt;0.3",'remet-LZ'!BH194,"&lt;=0.7")</f>
        <v>0</v>
      </c>
      <c r="K159" s="68">
        <f>COUNTIFS('remet-LZ'!BH194,"&gt;0.7",'remet-LZ'!BH194,"&lt;=1.0")</f>
        <v>0</v>
      </c>
      <c r="L159" s="68">
        <f>COUNTIFS('remet-LZ'!BH194,"&gt;1.0",'remet-LZ'!BH194,"&lt;=3.0")</f>
        <v>1</v>
      </c>
      <c r="M159" s="68">
        <f>COUNTIF('remet-LZ'!BH194,"&gt;3.0")</f>
        <v>0</v>
      </c>
      <c r="N159" s="64">
        <f>('remet-LZ'!AM194)</f>
        <v>0.11</v>
      </c>
      <c r="O159">
        <f>COUNTIF('remet-LZ'!Y194,"=1")</f>
        <v>1</v>
      </c>
      <c r="P159">
        <f>COUNTIF('remet-LZ'!Y194,"&gt;1")</f>
        <v>0</v>
      </c>
      <c r="Q159" t="s">
        <v>3589</v>
      </c>
      <c r="R159" t="s">
        <v>3584</v>
      </c>
      <c r="S159">
        <v>0</v>
      </c>
      <c r="T159">
        <v>1</v>
      </c>
    </row>
    <row r="160" spans="1:20" ht="17">
      <c r="A160" t="str">
        <f>('remet-LZ'!E195)</f>
        <v>Bacillariophyta</v>
      </c>
      <c r="B160" t="str">
        <f>('remet-LZ'!I195)</f>
        <v>Fragilaria</v>
      </c>
      <c r="C160" s="53" t="s">
        <v>3869</v>
      </c>
      <c r="E160">
        <f>COUNTIF('remet-LZ'!Q195,"&lt;=10")</f>
        <v>0</v>
      </c>
      <c r="F160">
        <f>COUNTIFS('remet-LZ'!Q195,"&gt;10",'remet-LZ'!Q195,"&lt;=25")</f>
        <v>1</v>
      </c>
      <c r="G160">
        <f>COUNTIFS('remet-LZ'!Q195,"&gt;25",'remet-LZ'!Q195,"&lt;=100")</f>
        <v>0</v>
      </c>
      <c r="H160">
        <f>COUNTIFS('remet-LZ'!Q195,"&gt;100")</f>
        <v>0</v>
      </c>
      <c r="I160" s="68">
        <f>COUNTIF('remet-LZ'!BH195,"&lt;=0.3")</f>
        <v>1</v>
      </c>
      <c r="J160" s="68">
        <f>COUNTIFS('remet-LZ'!BH195,"&gt;0.3",'remet-LZ'!BH195,"&lt;=0.7")</f>
        <v>0</v>
      </c>
      <c r="K160" s="68">
        <f>COUNTIFS('remet-LZ'!BH195,"&gt;0.7",'remet-LZ'!BH195,"&lt;=1.0")</f>
        <v>0</v>
      </c>
      <c r="L160" s="68">
        <f>COUNTIFS('remet-LZ'!BH195,"&gt;1.0",'remet-LZ'!BH195,"&lt;=3.0")</f>
        <v>0</v>
      </c>
      <c r="M160" s="68">
        <f>COUNTIF('remet-LZ'!BH195,"&gt;3.0")</f>
        <v>0</v>
      </c>
      <c r="N160" s="64">
        <f>('remet-LZ'!AM195)</f>
        <v>0.11</v>
      </c>
      <c r="O160">
        <f>COUNTIF('remet-LZ'!Y195,"=1")</f>
        <v>1</v>
      </c>
      <c r="P160">
        <f>COUNTIF('remet-LZ'!Y195,"&gt;1")</f>
        <v>0</v>
      </c>
      <c r="Q160" t="s">
        <v>3589</v>
      </c>
      <c r="R160" t="s">
        <v>3584</v>
      </c>
      <c r="S160">
        <v>0</v>
      </c>
      <c r="T160">
        <v>1</v>
      </c>
    </row>
    <row r="161" spans="1:20" ht="17">
      <c r="A161" t="str">
        <f>('remet-LZ'!E196)</f>
        <v>Bacillariophyta</v>
      </c>
      <c r="B161" t="str">
        <f>('remet-LZ'!I196)</f>
        <v>Diatoma</v>
      </c>
      <c r="C161" s="53" t="s">
        <v>3870</v>
      </c>
      <c r="E161">
        <f>COUNTIF('remet-LZ'!Q196,"&lt;=10")</f>
        <v>0</v>
      </c>
      <c r="F161">
        <f>COUNTIFS('remet-LZ'!Q196,"&gt;10",'remet-LZ'!Q196,"&lt;=25")</f>
        <v>0</v>
      </c>
      <c r="G161">
        <f>COUNTIFS('remet-LZ'!Q196,"&gt;25",'remet-LZ'!Q196,"&lt;=100")</f>
        <v>1</v>
      </c>
      <c r="H161">
        <f>COUNTIFS('remet-LZ'!Q196,"&gt;100")</f>
        <v>0</v>
      </c>
      <c r="I161" s="68">
        <f>COUNTIF('remet-LZ'!BH196,"&lt;=0.3")</f>
        <v>0</v>
      </c>
      <c r="J161" s="68">
        <f>COUNTIFS('remet-LZ'!BH196,"&gt;0.3",'remet-LZ'!BH196,"&lt;=0.7")</f>
        <v>0</v>
      </c>
      <c r="K161" s="68">
        <f>COUNTIFS('remet-LZ'!BH196,"&gt;0.7",'remet-LZ'!BH196,"&lt;=1.0")</f>
        <v>0</v>
      </c>
      <c r="L161" s="68">
        <f>COUNTIFS('remet-LZ'!BH196,"&gt;1.0",'remet-LZ'!BH196,"&lt;=3.0")</f>
        <v>1</v>
      </c>
      <c r="M161" s="68">
        <f>COUNTIF('remet-LZ'!BH196,"&gt;3.0")</f>
        <v>0</v>
      </c>
      <c r="N161" s="64">
        <f>('remet-LZ'!AM196)</f>
        <v>0.11</v>
      </c>
      <c r="O161">
        <f>COUNTIF('remet-LZ'!Y196,"=1")</f>
        <v>1</v>
      </c>
      <c r="P161">
        <f>COUNTIF('remet-LZ'!Y196,"&gt;1")</f>
        <v>0</v>
      </c>
      <c r="Q161" t="s">
        <v>3589</v>
      </c>
      <c r="R161" t="s">
        <v>3584</v>
      </c>
      <c r="S161">
        <v>0</v>
      </c>
      <c r="T161">
        <v>1</v>
      </c>
    </row>
    <row r="162" spans="1:20" ht="17">
      <c r="C162" s="53" t="s">
        <v>3871</v>
      </c>
    </row>
    <row r="163" spans="1:20" ht="17">
      <c r="A163" t="str">
        <f>('remet-LZ'!E198)</f>
        <v>Cyanobacteria</v>
      </c>
      <c r="B163" t="str">
        <f>('remet-LZ'!I198)</f>
        <v>Pseudanabaena</v>
      </c>
      <c r="C163" s="53" t="s">
        <v>3872</v>
      </c>
      <c r="E163">
        <f>COUNTIF('remet-LZ'!Q198,"&lt;=10")</f>
        <v>1</v>
      </c>
      <c r="F163">
        <f>COUNTIFS('remet-LZ'!Q198,"&gt;10",'remet-LZ'!Q198,"&lt;=25")</f>
        <v>0</v>
      </c>
      <c r="G163">
        <f>COUNTIFS('remet-LZ'!Q198,"&gt;25",'remet-LZ'!Q198,"&lt;=100")</f>
        <v>0</v>
      </c>
      <c r="H163">
        <f>COUNTIFS('remet-LZ'!Q198,"&gt;100")</f>
        <v>0</v>
      </c>
      <c r="I163" s="68">
        <f>COUNTIF('remet-LZ'!BH198,"&lt;=0.3")</f>
        <v>0</v>
      </c>
      <c r="J163" s="68">
        <f>COUNTIFS('remet-LZ'!BH198,"&gt;0.3",'remet-LZ'!BH198,"&lt;=0.7")</f>
        <v>1</v>
      </c>
      <c r="K163" s="68">
        <f>COUNTIFS('remet-LZ'!BH198,"&gt;0.7",'remet-LZ'!BH198,"&lt;=1.0")</f>
        <v>0</v>
      </c>
      <c r="L163" s="68">
        <f>COUNTIFS('remet-LZ'!BH198,"&gt;1.0",'remet-LZ'!BH198,"&lt;=3.0")</f>
        <v>0</v>
      </c>
      <c r="M163" s="68">
        <f>COUNTIF('remet-LZ'!BH198,"&gt;3.0")</f>
        <v>0</v>
      </c>
      <c r="N163" s="64">
        <f>('remet-LZ'!AM198)</f>
        <v>0.22</v>
      </c>
      <c r="O163">
        <f>COUNTIF('remet-LZ'!Y198,"=1")</f>
        <v>0</v>
      </c>
      <c r="P163">
        <f>COUNTIF('remet-LZ'!Y198,"&gt;1")</f>
        <v>1</v>
      </c>
      <c r="Q163" t="s">
        <v>3589</v>
      </c>
      <c r="R163" t="s">
        <v>3583</v>
      </c>
      <c r="S163">
        <v>0</v>
      </c>
      <c r="T163">
        <v>0</v>
      </c>
    </row>
    <row r="164" spans="1:20" ht="17">
      <c r="A164" t="str">
        <f>('remet-LZ'!E199)</f>
        <v>Cyanobacteria</v>
      </c>
      <c r="B164" t="str">
        <f>('remet-LZ'!I199)</f>
        <v>Merismopedia</v>
      </c>
      <c r="C164" s="53" t="s">
        <v>3873</v>
      </c>
      <c r="E164">
        <f>COUNTIF('remet-LZ'!Q199,"&lt;=10")</f>
        <v>1</v>
      </c>
      <c r="F164">
        <f>COUNTIFS('remet-LZ'!Q199,"&gt;10",'remet-LZ'!Q199,"&lt;=25")</f>
        <v>0</v>
      </c>
      <c r="G164">
        <f>COUNTIFS('remet-LZ'!Q199,"&gt;25",'remet-LZ'!Q199,"&lt;=100")</f>
        <v>0</v>
      </c>
      <c r="H164">
        <f>COUNTIFS('remet-LZ'!Q199,"&gt;100")</f>
        <v>0</v>
      </c>
      <c r="I164" s="68">
        <f>COUNTIF('remet-LZ'!BH199,"&lt;=0.3")</f>
        <v>1</v>
      </c>
      <c r="J164" s="68">
        <f>COUNTIFS('remet-LZ'!BH199,"&gt;0.3",'remet-LZ'!BH199,"&lt;=0.7")</f>
        <v>0</v>
      </c>
      <c r="K164" s="68">
        <f>COUNTIFS('remet-LZ'!BH199,"&gt;0.7",'remet-LZ'!BH199,"&lt;=1.0")</f>
        <v>0</v>
      </c>
      <c r="L164" s="68">
        <f>COUNTIFS('remet-LZ'!BH199,"&gt;1.0",'remet-LZ'!BH199,"&lt;=3.0")</f>
        <v>0</v>
      </c>
      <c r="M164" s="68">
        <f>COUNTIF('remet-LZ'!BH199,"&gt;3.0")</f>
        <v>0</v>
      </c>
      <c r="N164" s="64">
        <f>('remet-LZ'!AM199)</f>
        <v>0.22</v>
      </c>
      <c r="O164">
        <f>COUNTIF('remet-LZ'!Y199,"=1")</f>
        <v>0</v>
      </c>
      <c r="P164">
        <f>COUNTIF('remet-LZ'!Y199,"&gt;1")</f>
        <v>1</v>
      </c>
      <c r="Q164" t="s">
        <v>3589</v>
      </c>
      <c r="R164" t="s">
        <v>3583</v>
      </c>
      <c r="S164">
        <v>0</v>
      </c>
      <c r="T164">
        <v>0</v>
      </c>
    </row>
    <row r="165" spans="1:20" ht="17">
      <c r="A165" t="str">
        <f>('remet-LZ'!E200)</f>
        <v>Bacillariophyta</v>
      </c>
      <c r="B165" t="str">
        <f>('remet-LZ'!I200)</f>
        <v>Aulacoseira</v>
      </c>
      <c r="C165" s="53" t="s">
        <v>3874</v>
      </c>
      <c r="E165">
        <f>COUNTIF('remet-LZ'!Q200,"&lt;=10")</f>
        <v>0</v>
      </c>
      <c r="F165">
        <f>COUNTIFS('remet-LZ'!Q200,"&gt;10",'remet-LZ'!Q200,"&lt;=25")</f>
        <v>0</v>
      </c>
      <c r="G165">
        <f>COUNTIFS('remet-LZ'!Q200,"&gt;25",'remet-LZ'!Q200,"&lt;=100")</f>
        <v>1</v>
      </c>
      <c r="H165">
        <f>COUNTIFS('remet-LZ'!Q200,"&gt;100")</f>
        <v>0</v>
      </c>
      <c r="I165" s="68">
        <f>COUNTIF('remet-LZ'!BH200,"&lt;=0.3")</f>
        <v>0</v>
      </c>
      <c r="J165" s="68">
        <f>COUNTIFS('remet-LZ'!BH200,"&gt;0.3",'remet-LZ'!BH200,"&lt;=0.7")</f>
        <v>0</v>
      </c>
      <c r="K165" s="68">
        <f>COUNTIFS('remet-LZ'!BH200,"&gt;0.7",'remet-LZ'!BH200,"&lt;=1.0")</f>
        <v>0</v>
      </c>
      <c r="L165" s="68">
        <f>COUNTIFS('remet-LZ'!BH200,"&gt;1.0",'remet-LZ'!BH200,"&lt;=3.0")</f>
        <v>1</v>
      </c>
      <c r="M165" s="68">
        <f>COUNTIF('remet-LZ'!BH200,"&gt;3.0")</f>
        <v>0</v>
      </c>
      <c r="N165" s="64">
        <f>('remet-LZ'!AM200)</f>
        <v>0.11</v>
      </c>
      <c r="O165">
        <f>COUNTIF('remet-LZ'!Y200,"=1")</f>
        <v>1</v>
      </c>
      <c r="P165">
        <f>COUNTIF('remet-LZ'!Y200,"&gt;1")</f>
        <v>0</v>
      </c>
      <c r="Q165" t="s">
        <v>3589</v>
      </c>
      <c r="R165" t="s">
        <v>3584</v>
      </c>
      <c r="S165">
        <v>0</v>
      </c>
      <c r="T165">
        <v>1</v>
      </c>
    </row>
    <row r="166" spans="1:20" ht="17">
      <c r="A166" t="str">
        <f>('remet-LZ'!E201)</f>
        <v>Bacillariophyta</v>
      </c>
      <c r="B166" t="str">
        <f>('remet-LZ'!I201)</f>
        <v>Cyclotella</v>
      </c>
      <c r="C166" s="53" t="s">
        <v>3875</v>
      </c>
      <c r="E166">
        <f>COUNTIF('remet-LZ'!Q201,"&lt;=10")</f>
        <v>0</v>
      </c>
      <c r="F166">
        <f>COUNTIFS('remet-LZ'!Q201,"&gt;10",'remet-LZ'!Q201,"&lt;=25")</f>
        <v>0</v>
      </c>
      <c r="G166">
        <f>COUNTIFS('remet-LZ'!Q201,"&gt;25",'remet-LZ'!Q201,"&lt;=100")</f>
        <v>1</v>
      </c>
      <c r="H166">
        <f>COUNTIFS('remet-LZ'!Q201,"&gt;100")</f>
        <v>0</v>
      </c>
      <c r="I166" s="68">
        <f>COUNTIF('remet-LZ'!BH201,"&lt;=0.3")</f>
        <v>0</v>
      </c>
      <c r="J166" s="68">
        <f>COUNTIFS('remet-LZ'!BH201,"&gt;0.3",'remet-LZ'!BH201,"&lt;=0.7")</f>
        <v>0</v>
      </c>
      <c r="K166" s="68">
        <f>COUNTIFS('remet-LZ'!BH201,"&gt;0.7",'remet-LZ'!BH201,"&lt;=1.0")</f>
        <v>0</v>
      </c>
      <c r="L166" s="68">
        <f>COUNTIFS('remet-LZ'!BH201,"&gt;1.0",'remet-LZ'!BH201,"&lt;=3.0")</f>
        <v>0</v>
      </c>
      <c r="M166" s="68">
        <f>COUNTIF('remet-LZ'!BH201,"&gt;3.0")</f>
        <v>1</v>
      </c>
      <c r="N166" s="64">
        <f>('remet-LZ'!AM201)</f>
        <v>0.11</v>
      </c>
      <c r="O166">
        <f>COUNTIF('remet-LZ'!Y201,"=1")</f>
        <v>1</v>
      </c>
      <c r="P166">
        <f>COUNTIF('remet-LZ'!Y201,"&gt;1")</f>
        <v>0</v>
      </c>
      <c r="Q166" t="s">
        <v>3589</v>
      </c>
      <c r="R166" t="s">
        <v>3584</v>
      </c>
      <c r="S166">
        <v>0</v>
      </c>
      <c r="T166">
        <v>1</v>
      </c>
    </row>
    <row r="167" spans="1:20" ht="17">
      <c r="C167" s="53" t="s">
        <v>3876</v>
      </c>
    </row>
    <row r="168" spans="1:20" ht="23">
      <c r="A168" t="str">
        <f>('remet-LZ'!E203)</f>
        <v>Cyanobacteria</v>
      </c>
      <c r="B168" t="str">
        <f>('remet-LZ'!I203)</f>
        <v>Coelosphaerium</v>
      </c>
      <c r="C168" s="53" t="s">
        <v>3877</v>
      </c>
      <c r="D168" s="81" t="s">
        <v>3890</v>
      </c>
      <c r="E168">
        <f>COUNTIF('remet-LZ'!Q203,"&lt;=10")</f>
        <v>1</v>
      </c>
      <c r="F168">
        <f>COUNTIFS('remet-LZ'!Q203,"&gt;10",'remet-LZ'!Q203,"&lt;=25")</f>
        <v>0</v>
      </c>
      <c r="G168">
        <f>COUNTIFS('remet-LZ'!Q203,"&gt;25",'remet-LZ'!Q203,"&lt;=100")</f>
        <v>0</v>
      </c>
      <c r="H168">
        <f>COUNTIFS('remet-LZ'!Q203,"&gt;100")</f>
        <v>0</v>
      </c>
      <c r="I168" s="68">
        <f>COUNTIF('remet-LZ'!BH203,"&lt;=0.3")</f>
        <v>1</v>
      </c>
      <c r="J168" s="68">
        <f>COUNTIFS('remet-LZ'!BH203,"&gt;0.3",'remet-LZ'!BH203,"&lt;=0.7")</f>
        <v>0</v>
      </c>
      <c r="K168" s="68">
        <f>COUNTIFS('remet-LZ'!BH203,"&gt;0.7",'remet-LZ'!BH203,"&lt;=1.0")</f>
        <v>0</v>
      </c>
      <c r="L168" s="68">
        <f>COUNTIFS('remet-LZ'!BH203,"&gt;1.0",'remet-LZ'!BH203,"&lt;=3.0")</f>
        <v>0</v>
      </c>
      <c r="M168" s="68">
        <f>COUNTIF('remet-LZ'!BH203,"&gt;3.0")</f>
        <v>0</v>
      </c>
      <c r="N168" s="64">
        <f>('remet-LZ'!AM203)</f>
        <v>0.22</v>
      </c>
      <c r="O168">
        <f>COUNTIF('remet-LZ'!Y203,"=1")</f>
        <v>0</v>
      </c>
      <c r="P168">
        <f>COUNTIF('remet-LZ'!Y203,"&gt;1")</f>
        <v>1</v>
      </c>
      <c r="Q168" t="s">
        <v>3589</v>
      </c>
      <c r="R168" t="s">
        <v>3583</v>
      </c>
      <c r="S168">
        <v>1</v>
      </c>
      <c r="T168">
        <v>0</v>
      </c>
    </row>
    <row r="169" spans="1:20" ht="17">
      <c r="A169" t="str">
        <f>('remet-LZ'!E204)</f>
        <v>Cyanobacteria</v>
      </c>
      <c r="B169" t="str">
        <f>('remet-LZ'!I204)</f>
        <v>Aphanocapsa</v>
      </c>
      <c r="C169" s="53" t="s">
        <v>3878</v>
      </c>
      <c r="E169">
        <f>COUNTIF('remet-LZ'!Q204,"&lt;=10")</f>
        <v>1</v>
      </c>
      <c r="F169">
        <f>COUNTIFS('remet-LZ'!Q204,"&gt;10",'remet-LZ'!Q204,"&lt;=25")</f>
        <v>0</v>
      </c>
      <c r="G169">
        <f>COUNTIFS('remet-LZ'!Q204,"&gt;25",'remet-LZ'!Q204,"&lt;=100")</f>
        <v>0</v>
      </c>
      <c r="H169">
        <f>COUNTIFS('remet-LZ'!Q204,"&gt;100")</f>
        <v>0</v>
      </c>
      <c r="I169" s="68">
        <f>COUNTIF('remet-LZ'!BH204,"&lt;=0.3")</f>
        <v>1</v>
      </c>
      <c r="J169" s="68">
        <f>COUNTIFS('remet-LZ'!BH204,"&gt;0.3",'remet-LZ'!BH204,"&lt;=0.7")</f>
        <v>0</v>
      </c>
      <c r="K169" s="68">
        <f>COUNTIFS('remet-LZ'!BH204,"&gt;0.7",'remet-LZ'!BH204,"&lt;=1.0")</f>
        <v>0</v>
      </c>
      <c r="L169" s="68">
        <f>COUNTIFS('remet-LZ'!BH204,"&gt;1.0",'remet-LZ'!BH204,"&lt;=3.0")</f>
        <v>0</v>
      </c>
      <c r="M169" s="68">
        <f>COUNTIF('remet-LZ'!BH204,"&gt;3.0")</f>
        <v>0</v>
      </c>
      <c r="N169" s="64">
        <f>('remet-LZ'!AM204)</f>
        <v>0.22</v>
      </c>
      <c r="O169">
        <f>COUNTIF('remet-LZ'!Y204,"=1")</f>
        <v>0</v>
      </c>
      <c r="P169">
        <f>COUNTIF('remet-LZ'!Y204,"&gt;1")</f>
        <v>1</v>
      </c>
      <c r="Q169" t="s">
        <v>3589</v>
      </c>
      <c r="R169" t="s">
        <v>3583</v>
      </c>
      <c r="S169">
        <v>0</v>
      </c>
      <c r="T169">
        <v>0</v>
      </c>
    </row>
    <row r="170" spans="1:20" ht="17">
      <c r="A170" t="str">
        <f>('remet-LZ'!E205)</f>
        <v>Cyanobacteria</v>
      </c>
      <c r="B170" t="str">
        <f>('remet-LZ'!I205)</f>
        <v>Leptolyngbya</v>
      </c>
      <c r="C170" s="53" t="s">
        <v>3879</v>
      </c>
      <c r="E170">
        <f>COUNTIF('remet-LZ'!Q205,"&lt;=10")</f>
        <v>1</v>
      </c>
      <c r="F170">
        <f>COUNTIFS('remet-LZ'!Q205,"&gt;10",'remet-LZ'!Q205,"&lt;=25")</f>
        <v>0</v>
      </c>
      <c r="G170">
        <f>COUNTIFS('remet-LZ'!Q205,"&gt;25",'remet-LZ'!Q205,"&lt;=100")</f>
        <v>0</v>
      </c>
      <c r="H170">
        <f>COUNTIFS('remet-LZ'!Q205,"&gt;100")</f>
        <v>0</v>
      </c>
      <c r="I170" s="68">
        <f>COUNTIF('remet-LZ'!BH205,"&lt;=0.3")</f>
        <v>0</v>
      </c>
      <c r="J170" s="68">
        <f>COUNTIFS('remet-LZ'!BH205,"&gt;0.3",'remet-LZ'!BH205,"&lt;=0.7")</f>
        <v>1</v>
      </c>
      <c r="K170" s="68">
        <f>COUNTIFS('remet-LZ'!BH205,"&gt;0.7",'remet-LZ'!BH205,"&lt;=1.0")</f>
        <v>0</v>
      </c>
      <c r="L170" s="68">
        <f>COUNTIFS('remet-LZ'!BH205,"&gt;1.0",'remet-LZ'!BH205,"&lt;=3.0")</f>
        <v>0</v>
      </c>
      <c r="M170" s="68">
        <f>COUNTIF('remet-LZ'!BH205,"&gt;3.0")</f>
        <v>0</v>
      </c>
      <c r="N170" s="64">
        <f>('remet-LZ'!AM205)</f>
        <v>0.22</v>
      </c>
      <c r="O170">
        <f>COUNTIF('remet-LZ'!Y205,"=1")</f>
        <v>0</v>
      </c>
      <c r="P170">
        <f>COUNTIF('remet-LZ'!Y205,"&gt;1")</f>
        <v>1</v>
      </c>
      <c r="Q170" t="s">
        <v>3589</v>
      </c>
      <c r="R170" t="s">
        <v>3583</v>
      </c>
      <c r="S170">
        <v>0</v>
      </c>
      <c r="T170">
        <v>0</v>
      </c>
    </row>
    <row r="171" spans="1:20" ht="17">
      <c r="A171" t="str">
        <f>('remet-LZ'!E206)</f>
        <v>Ochrophyta</v>
      </c>
      <c r="B171" t="str">
        <f>('remet-LZ'!I206)</f>
        <v>Synura</v>
      </c>
      <c r="C171" s="53" t="s">
        <v>3880</v>
      </c>
      <c r="E171">
        <f>COUNTIF('remet-LZ'!Q206,"&lt;=10")</f>
        <v>1</v>
      </c>
      <c r="F171">
        <f>COUNTIFS('remet-LZ'!Q206,"&gt;10",'remet-LZ'!Q206,"&lt;=25")</f>
        <v>0</v>
      </c>
      <c r="G171">
        <f>COUNTIFS('remet-LZ'!Q206,"&gt;25",'remet-LZ'!Q206,"&lt;=100")</f>
        <v>0</v>
      </c>
      <c r="H171">
        <f>COUNTIFS('remet-LZ'!Q206,"&gt;100")</f>
        <v>0</v>
      </c>
      <c r="I171" s="68">
        <f>COUNTIF('remet-LZ'!BH206,"&lt;=0.3")</f>
        <v>0</v>
      </c>
      <c r="J171" s="68">
        <f>COUNTIFS('remet-LZ'!BH206,"&gt;0.3",'remet-LZ'!BH206,"&lt;=0.7")</f>
        <v>0</v>
      </c>
      <c r="K171" s="68">
        <f>COUNTIFS('remet-LZ'!BH206,"&gt;0.7",'remet-LZ'!BH206,"&lt;=1.0")</f>
        <v>0</v>
      </c>
      <c r="L171" s="68">
        <f>COUNTIFS('remet-LZ'!BH206,"&gt;1.0",'remet-LZ'!BH206,"&lt;=3.0")</f>
        <v>1</v>
      </c>
      <c r="M171" s="68">
        <f>COUNTIF('remet-LZ'!BH206,"&gt;3.0")</f>
        <v>0</v>
      </c>
      <c r="N171" s="64">
        <f>('remet-LZ'!AM206)</f>
        <v>0.11</v>
      </c>
      <c r="O171">
        <f>COUNTIF('remet-LZ'!Y206,"=1")</f>
        <v>0</v>
      </c>
      <c r="P171">
        <f>COUNTIF('remet-LZ'!Y206,"&gt;1")</f>
        <v>1</v>
      </c>
      <c r="Q171" t="s">
        <v>3587</v>
      </c>
      <c r="R171" t="s">
        <v>3584</v>
      </c>
      <c r="S171">
        <v>0</v>
      </c>
      <c r="T171">
        <v>1</v>
      </c>
    </row>
    <row r="172" spans="1:20" ht="17">
      <c r="C172" s="53" t="s">
        <v>3881</v>
      </c>
    </row>
    <row r="173" spans="1:20" ht="17">
      <c r="C173" s="53" t="s">
        <v>3882</v>
      </c>
    </row>
    <row r="174" spans="1:20" ht="17">
      <c r="C174" s="53" t="s">
        <v>3883</v>
      </c>
    </row>
    <row r="175" spans="1:20" ht="17">
      <c r="A175" t="str">
        <f>('remet-LZ'!E210)</f>
        <v>Ochrophyta</v>
      </c>
      <c r="B175" t="str">
        <f>('remet-LZ'!I210)</f>
        <v>Bitrichia</v>
      </c>
      <c r="C175" s="53" t="s">
        <v>3884</v>
      </c>
      <c r="E175">
        <f>COUNTIF('remet-LZ'!Q210,"&lt;=10")</f>
        <v>1</v>
      </c>
      <c r="F175">
        <f>COUNTIFS('remet-LZ'!Q210,"&gt;10",'remet-LZ'!Q210,"&lt;=25")</f>
        <v>0</v>
      </c>
      <c r="G175">
        <f>COUNTIFS('remet-LZ'!Q210,"&gt;25",'remet-LZ'!Q210,"&lt;=100")</f>
        <v>0</v>
      </c>
      <c r="H175">
        <f>COUNTIFS('remet-LZ'!Q210,"&gt;100")</f>
        <v>0</v>
      </c>
      <c r="I175" s="68">
        <f>COUNTIF('remet-LZ'!BH210,"&lt;=0.3")</f>
        <v>0</v>
      </c>
      <c r="J175" s="68">
        <f>COUNTIFS('remet-LZ'!BH210,"&gt;0.3",'remet-LZ'!BH210,"&lt;=0.7")</f>
        <v>1</v>
      </c>
      <c r="K175" s="68">
        <f>COUNTIFS('remet-LZ'!BH210,"&gt;0.7",'remet-LZ'!BH210,"&lt;=1.0")</f>
        <v>0</v>
      </c>
      <c r="L175" s="68">
        <f>COUNTIFS('remet-LZ'!BH210,"&gt;1.0",'remet-LZ'!BH210,"&lt;=3.0")</f>
        <v>0</v>
      </c>
      <c r="M175" s="68">
        <f>COUNTIF('remet-LZ'!BH210,"&gt;3.0")</f>
        <v>0</v>
      </c>
      <c r="N175" s="64">
        <f>('remet-LZ'!AM210)</f>
        <v>0.11</v>
      </c>
      <c r="O175">
        <f>COUNTIF('remet-LZ'!Y210,"=1")</f>
        <v>1</v>
      </c>
      <c r="P175">
        <f>COUNTIF('remet-LZ'!Y210,"&gt;1")</f>
        <v>0</v>
      </c>
      <c r="Q175" t="s">
        <v>3589</v>
      </c>
      <c r="R175" t="s">
        <v>3584</v>
      </c>
      <c r="S175">
        <v>0</v>
      </c>
      <c r="T175">
        <v>0</v>
      </c>
    </row>
    <row r="176" spans="1:20" ht="17">
      <c r="C176" s="53" t="s">
        <v>3885</v>
      </c>
    </row>
    <row r="177" spans="1:20" ht="17">
      <c r="A177" t="str">
        <f>('remet-LZ'!E212)</f>
        <v>Euglenozoa</v>
      </c>
      <c r="B177" t="str">
        <f>('remet-LZ'!I212)</f>
        <v>Trachelomonas</v>
      </c>
      <c r="C177" s="53" t="s">
        <v>3886</v>
      </c>
      <c r="E177">
        <f>COUNTIF('remet-LZ'!Q212,"&lt;=10")</f>
        <v>0</v>
      </c>
      <c r="F177">
        <f>COUNTIFS('remet-LZ'!Q212,"&gt;10",'remet-LZ'!Q212,"&lt;=25")</f>
        <v>1</v>
      </c>
      <c r="G177">
        <f>COUNTIFS('remet-LZ'!Q212,"&gt;25",'remet-LZ'!Q212,"&lt;=100")</f>
        <v>0</v>
      </c>
      <c r="H177">
        <f>COUNTIFS('remet-LZ'!Q212,"&gt;100")</f>
        <v>0</v>
      </c>
      <c r="I177" s="68">
        <f>COUNTIF('remet-LZ'!BH212,"&lt;=0.3")</f>
        <v>0</v>
      </c>
      <c r="J177" s="68">
        <f>COUNTIFS('remet-LZ'!BH212,"&gt;0.3",'remet-LZ'!BH212,"&lt;=0.7")</f>
        <v>1</v>
      </c>
      <c r="K177" s="68">
        <f>COUNTIFS('remet-LZ'!BH212,"&gt;0.7",'remet-LZ'!BH212,"&lt;=1.0")</f>
        <v>0</v>
      </c>
      <c r="L177" s="68">
        <f>COUNTIFS('remet-LZ'!BH212,"&gt;1.0",'remet-LZ'!BH212,"&lt;=3.0")</f>
        <v>0</v>
      </c>
      <c r="M177" s="68">
        <f>COUNTIF('remet-LZ'!BH212,"&gt;3.0")</f>
        <v>0</v>
      </c>
      <c r="N177" s="64">
        <f>('remet-LZ'!AM212)</f>
        <v>0.11</v>
      </c>
      <c r="O177">
        <f>COUNTIF('remet-LZ'!Y212,"=1")</f>
        <v>1</v>
      </c>
      <c r="P177">
        <f>COUNTIF('remet-LZ'!Y212,"&gt;1")</f>
        <v>0</v>
      </c>
      <c r="Q177" t="s">
        <v>3587</v>
      </c>
      <c r="R177" t="s">
        <v>3584</v>
      </c>
      <c r="S177">
        <v>0</v>
      </c>
      <c r="T177">
        <v>0</v>
      </c>
    </row>
    <row r="178" spans="1:20" ht="17">
      <c r="C178" s="53" t="s">
        <v>3887</v>
      </c>
    </row>
  </sheetData>
  <mergeCells count="3">
    <mergeCell ref="E1:H1"/>
    <mergeCell ref="O1:P1"/>
    <mergeCell ref="I1:M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A2050-B344-ED44-BB59-448B4CBF66AD}">
  <dimension ref="A1"/>
  <sheetViews>
    <sheetView workbookViewId="0">
      <selection activeCell="F24" sqref="F24"/>
    </sheetView>
  </sheetViews>
  <sheetFormatPr baseColWidth="10" defaultRowHeight="16"/>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CAB07-8251-3245-8FC9-BE81855315A5}">
  <dimension ref="A1:BM1223"/>
  <sheetViews>
    <sheetView topLeftCell="A1133" zoomScale="93" workbookViewId="0">
      <selection activeCell="A1155" sqref="A1155:XFD1155"/>
    </sheetView>
  </sheetViews>
  <sheetFormatPr baseColWidth="10" defaultColWidth="8.6640625" defaultRowHeight="13"/>
  <cols>
    <col min="1" max="1" width="46.6640625" style="22" customWidth="1"/>
    <col min="2" max="2" width="8.6640625" style="22" bestFit="1"/>
    <col min="3" max="3" width="9.6640625" style="22" bestFit="1" customWidth="1"/>
    <col min="4" max="4" width="12.1640625" style="22" bestFit="1" customWidth="1"/>
    <col min="5" max="5" width="11.5" style="22" bestFit="1" customWidth="1"/>
    <col min="6" max="6" width="17.33203125" style="22" bestFit="1" customWidth="1"/>
    <col min="7" max="7" width="14.33203125" style="22" bestFit="1" customWidth="1"/>
    <col min="8" max="9" width="17.5" style="22" bestFit="1" customWidth="1"/>
    <col min="10" max="10" width="28.83203125" style="22" customWidth="1"/>
    <col min="11" max="11" width="16.6640625" style="22" customWidth="1"/>
    <col min="12" max="12" width="18" style="22" bestFit="1" customWidth="1"/>
    <col min="13" max="14" width="17.1640625" style="22" customWidth="1"/>
    <col min="15" max="15" width="14.6640625" style="22" customWidth="1"/>
    <col min="16" max="16" width="6.6640625" style="22" customWidth="1"/>
    <col min="17" max="17" width="14.83203125" style="22" customWidth="1"/>
    <col min="18" max="19" width="8.83203125" style="22" bestFit="1" customWidth="1"/>
    <col min="20" max="20" width="8.6640625" style="22"/>
    <col min="21" max="22" width="8.83203125" style="22" bestFit="1" customWidth="1"/>
    <col min="23" max="23" width="8.83203125" style="25" bestFit="1" customWidth="1"/>
    <col min="24" max="24" width="10" style="25" customWidth="1"/>
    <col min="25" max="25" width="8.83203125" style="22" bestFit="1" customWidth="1"/>
    <col min="26" max="26" width="9.6640625" style="25" bestFit="1" customWidth="1"/>
    <col min="27" max="27" width="9.33203125" style="25" customWidth="1"/>
    <col min="28" max="30" width="8.83203125" style="22" bestFit="1" customWidth="1"/>
    <col min="31" max="31" width="8.6640625" style="22"/>
    <col min="32" max="33" width="8.83203125" style="22" bestFit="1" customWidth="1"/>
    <col min="34" max="35" width="8.83203125" style="25" bestFit="1" customWidth="1"/>
    <col min="36" max="36" width="6.6640625" style="22" customWidth="1"/>
    <col min="37" max="37" width="8.83203125" style="22" bestFit="1" customWidth="1"/>
    <col min="38" max="38" width="19" style="22" customWidth="1"/>
    <col min="39" max="39" width="8.83203125" style="22" bestFit="1" customWidth="1"/>
    <col min="40" max="40" width="8.6640625" style="22"/>
    <col min="41" max="42" width="10.5" style="22" customWidth="1"/>
    <col min="43" max="43" width="17.5" style="22" bestFit="1" customWidth="1"/>
    <col min="44" max="16384" width="8.6640625" style="22"/>
  </cols>
  <sheetData>
    <row r="1" spans="1:57"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row>
    <row r="2" spans="1:57" ht="14">
      <c r="A2" s="21" t="s">
        <v>148</v>
      </c>
      <c r="B2" s="22" t="s">
        <v>149</v>
      </c>
      <c r="C2" s="22" t="s">
        <v>150</v>
      </c>
      <c r="D2" s="23" t="s">
        <v>151</v>
      </c>
      <c r="E2" s="22" t="s">
        <v>61</v>
      </c>
      <c r="F2" s="22" t="s">
        <v>152</v>
      </c>
      <c r="G2" s="20" t="s">
        <v>153</v>
      </c>
      <c r="H2" s="22" t="s">
        <v>154</v>
      </c>
      <c r="I2" s="22" t="s">
        <v>155</v>
      </c>
      <c r="J2" s="22" t="s">
        <v>156</v>
      </c>
      <c r="N2" s="22" t="s">
        <v>157</v>
      </c>
      <c r="O2" s="22" t="s">
        <v>158</v>
      </c>
      <c r="P2" s="21">
        <v>11700</v>
      </c>
      <c r="Q2" s="21">
        <v>3</v>
      </c>
      <c r="R2" s="21">
        <v>3</v>
      </c>
      <c r="S2" s="21">
        <v>3</v>
      </c>
      <c r="T2" s="21" t="s">
        <v>159</v>
      </c>
      <c r="U2" s="21">
        <v>1</v>
      </c>
      <c r="V2" s="21">
        <v>1</v>
      </c>
      <c r="W2" s="24">
        <f t="shared" ref="W2:W27" si="0">(4*3.14*(((Q2^1.6*R2^1.6+Q2^1.6*S2^1.6+R2^1.6+S2^1.6)/3)^(1/1.6)))*(1/V2)</f>
        <v>96.906701245925348</v>
      </c>
      <c r="X2" s="24">
        <f t="shared" ref="X2:X27" si="1">3.14/6*Q2*R2*S2*U2</f>
        <v>14.129999999999997</v>
      </c>
      <c r="Y2" s="21">
        <v>30</v>
      </c>
      <c r="Z2" s="24">
        <f t="shared" ref="Z2:Z65" si="2">Y2*W2</f>
        <v>2907.2010373777603</v>
      </c>
      <c r="AA2" s="24">
        <f t="shared" ref="AA2:AA65" si="3">Y2*X2</f>
        <v>423.89999999999992</v>
      </c>
      <c r="AB2" s="21">
        <v>100</v>
      </c>
      <c r="AC2" s="21">
        <v>3</v>
      </c>
      <c r="AD2" s="21">
        <v>3</v>
      </c>
      <c r="AE2" s="21" t="s">
        <v>160</v>
      </c>
      <c r="AF2" s="21">
        <v>1</v>
      </c>
      <c r="AG2" s="21">
        <v>1</v>
      </c>
      <c r="AH2" s="24">
        <f t="shared" ref="AH2:AH22" si="4">3.14*AC2*AB2+2*3.14*(AD2/2)^2/AG2</f>
        <v>956.13</v>
      </c>
      <c r="AI2" s="25">
        <f t="shared" ref="AI2:AI22" si="5">(3.14/4*AC2^2*AB2)*AF2</f>
        <v>706.5</v>
      </c>
      <c r="AJ2" s="21">
        <v>706.9</v>
      </c>
      <c r="AK2" s="21">
        <v>100</v>
      </c>
      <c r="AL2" s="22" t="s">
        <v>161</v>
      </c>
      <c r="AM2" s="22">
        <v>0.22</v>
      </c>
      <c r="AP2" s="22" t="s">
        <v>162</v>
      </c>
      <c r="AQ2" s="22" t="str">
        <f t="shared" ref="AQ2:AQ65" si="6">IF(AND($AK2&lt;20,AJ2&lt;10000),"Nanophytoplankton","Microphytoplankton")</f>
        <v>Microphytoplankton</v>
      </c>
      <c r="AR2" s="22">
        <v>0</v>
      </c>
      <c r="AS2" s="22">
        <v>0</v>
      </c>
      <c r="AT2" s="22">
        <v>0</v>
      </c>
      <c r="AU2" s="22">
        <v>1</v>
      </c>
      <c r="AV2" s="22">
        <v>1</v>
      </c>
      <c r="AW2" s="22">
        <v>0</v>
      </c>
      <c r="AX2" s="22">
        <v>0</v>
      </c>
      <c r="AY2" s="22">
        <v>1</v>
      </c>
    </row>
    <row r="3" spans="1:57" ht="14">
      <c r="A3" s="21" t="s">
        <v>163</v>
      </c>
      <c r="B3" s="22" t="s">
        <v>149</v>
      </c>
      <c r="C3" s="22" t="s">
        <v>150</v>
      </c>
      <c r="D3" s="23" t="s">
        <v>151</v>
      </c>
      <c r="E3" s="22" t="s">
        <v>61</v>
      </c>
      <c r="F3" s="22" t="s">
        <v>152</v>
      </c>
      <c r="G3" s="20" t="s">
        <v>164</v>
      </c>
      <c r="H3" s="26" t="s">
        <v>165</v>
      </c>
      <c r="I3" s="22" t="s">
        <v>32</v>
      </c>
      <c r="J3" s="22" t="s">
        <v>166</v>
      </c>
      <c r="N3" s="22" t="s">
        <v>167</v>
      </c>
      <c r="O3" s="22" t="s">
        <v>158</v>
      </c>
      <c r="P3" s="21">
        <v>10729</v>
      </c>
      <c r="Q3" s="21">
        <v>7</v>
      </c>
      <c r="R3" s="21">
        <v>7</v>
      </c>
      <c r="S3" s="21">
        <v>7</v>
      </c>
      <c r="T3" s="21" t="s">
        <v>159</v>
      </c>
      <c r="U3" s="21">
        <v>1</v>
      </c>
      <c r="V3" s="21">
        <v>1</v>
      </c>
      <c r="W3" s="24">
        <f t="shared" si="0"/>
        <v>490.83181458055361</v>
      </c>
      <c r="X3" s="24">
        <f t="shared" si="1"/>
        <v>179.50333333333333</v>
      </c>
      <c r="Y3" s="21">
        <v>14</v>
      </c>
      <c r="Z3" s="24">
        <f t="shared" si="2"/>
        <v>6871.6454041277502</v>
      </c>
      <c r="AA3" s="24">
        <f t="shared" si="3"/>
        <v>2513.0466666666666</v>
      </c>
      <c r="AB3" s="21">
        <v>100</v>
      </c>
      <c r="AC3" s="21">
        <v>7</v>
      </c>
      <c r="AD3" s="21">
        <v>7</v>
      </c>
      <c r="AE3" s="21" t="s">
        <v>160</v>
      </c>
      <c r="AF3" s="21">
        <v>0.8</v>
      </c>
      <c r="AG3" s="21">
        <v>0.8</v>
      </c>
      <c r="AH3" s="24">
        <f t="shared" si="4"/>
        <v>2294.1624999999999</v>
      </c>
      <c r="AI3" s="25">
        <f t="shared" si="5"/>
        <v>3077.2000000000007</v>
      </c>
      <c r="AJ3" s="21">
        <v>3077.2000000000007</v>
      </c>
      <c r="AK3" s="21">
        <v>100</v>
      </c>
      <c r="AL3" s="22" t="s">
        <v>161</v>
      </c>
      <c r="AM3" s="22">
        <v>0.22</v>
      </c>
      <c r="AO3" s="22" t="s">
        <v>168</v>
      </c>
      <c r="AP3" s="22" t="s">
        <v>169</v>
      </c>
      <c r="AQ3" s="22" t="str">
        <f t="shared" si="6"/>
        <v>Microphytoplankton</v>
      </c>
      <c r="AR3" s="22">
        <v>0</v>
      </c>
      <c r="AS3" s="22">
        <v>0</v>
      </c>
      <c r="AT3" s="22">
        <v>0</v>
      </c>
      <c r="AU3" s="22">
        <v>1</v>
      </c>
      <c r="AV3" s="22">
        <v>1</v>
      </c>
      <c r="AW3" s="22">
        <v>0</v>
      </c>
      <c r="AX3" s="22">
        <v>0</v>
      </c>
      <c r="AY3" s="22">
        <v>1</v>
      </c>
    </row>
    <row r="4" spans="1:57" ht="14">
      <c r="A4" s="22" t="s">
        <v>170</v>
      </c>
      <c r="B4" s="22" t="s">
        <v>149</v>
      </c>
      <c r="C4" s="22" t="s">
        <v>150</v>
      </c>
      <c r="D4" s="23" t="s">
        <v>151</v>
      </c>
      <c r="E4" s="22" t="s">
        <v>61</v>
      </c>
      <c r="F4" s="22" t="s">
        <v>152</v>
      </c>
      <c r="G4" s="20" t="s">
        <v>164</v>
      </c>
      <c r="H4" s="26" t="s">
        <v>165</v>
      </c>
      <c r="I4" s="22" t="s">
        <v>32</v>
      </c>
      <c r="J4" s="22" t="s">
        <v>171</v>
      </c>
      <c r="N4" s="22" t="s">
        <v>172</v>
      </c>
      <c r="O4" s="22" t="s">
        <v>158</v>
      </c>
      <c r="P4" s="22">
        <v>10732</v>
      </c>
      <c r="Q4" s="22">
        <v>4</v>
      </c>
      <c r="R4" s="22">
        <v>4</v>
      </c>
      <c r="S4" s="22">
        <v>4</v>
      </c>
      <c r="T4" s="21" t="s">
        <v>159</v>
      </c>
      <c r="U4" s="21">
        <v>1</v>
      </c>
      <c r="V4" s="21">
        <v>1</v>
      </c>
      <c r="W4" s="24">
        <f t="shared" si="0"/>
        <v>166.37591354482302</v>
      </c>
      <c r="X4" s="24">
        <f t="shared" si="1"/>
        <v>33.493333333333332</v>
      </c>
      <c r="Y4" s="21">
        <v>25</v>
      </c>
      <c r="Z4" s="24">
        <f t="shared" si="2"/>
        <v>4159.3978386205754</v>
      </c>
      <c r="AA4" s="24">
        <f t="shared" si="3"/>
        <v>837.33333333333326</v>
      </c>
      <c r="AB4" s="22">
        <v>100</v>
      </c>
      <c r="AC4" s="22">
        <v>4</v>
      </c>
      <c r="AD4" s="22">
        <v>4</v>
      </c>
      <c r="AE4" s="21" t="s">
        <v>160</v>
      </c>
      <c r="AF4" s="21">
        <v>1</v>
      </c>
      <c r="AG4" s="21">
        <v>1</v>
      </c>
      <c r="AH4" s="24">
        <f t="shared" si="4"/>
        <v>1281.1199999999999</v>
      </c>
      <c r="AI4" s="25">
        <f t="shared" si="5"/>
        <v>1256</v>
      </c>
      <c r="AJ4" s="21">
        <v>1256</v>
      </c>
      <c r="AK4" s="21">
        <v>100</v>
      </c>
      <c r="AL4" s="22" t="s">
        <v>161</v>
      </c>
      <c r="AM4" s="22">
        <v>0.22</v>
      </c>
      <c r="AO4" s="22" t="s">
        <v>168</v>
      </c>
      <c r="AP4" s="22" t="s">
        <v>169</v>
      </c>
      <c r="AQ4" s="22" t="str">
        <f t="shared" si="6"/>
        <v>Microphytoplankton</v>
      </c>
      <c r="AR4" s="22">
        <v>0</v>
      </c>
      <c r="AS4" s="22">
        <v>0</v>
      </c>
      <c r="AT4" s="22">
        <v>0</v>
      </c>
      <c r="AU4" s="22">
        <v>1</v>
      </c>
      <c r="AV4" s="22">
        <v>1</v>
      </c>
      <c r="AW4" s="22">
        <v>0</v>
      </c>
      <c r="AX4" s="22">
        <v>0</v>
      </c>
      <c r="AY4" s="22">
        <v>1</v>
      </c>
    </row>
    <row r="5" spans="1:57" ht="14">
      <c r="A5" s="21" t="s">
        <v>173</v>
      </c>
      <c r="B5" s="22" t="s">
        <v>149</v>
      </c>
      <c r="C5" s="22" t="s">
        <v>150</v>
      </c>
      <c r="D5" s="23" t="s">
        <v>151</v>
      </c>
      <c r="E5" s="22" t="s">
        <v>61</v>
      </c>
      <c r="F5" s="22" t="s">
        <v>152</v>
      </c>
      <c r="G5" s="20" t="s">
        <v>164</v>
      </c>
      <c r="H5" s="26" t="s">
        <v>165</v>
      </c>
      <c r="I5" s="22" t="s">
        <v>32</v>
      </c>
      <c r="J5" s="21" t="s">
        <v>174</v>
      </c>
      <c r="K5" s="21" t="s">
        <v>175</v>
      </c>
      <c r="L5" s="21" t="s">
        <v>176</v>
      </c>
      <c r="N5" s="22" t="s">
        <v>177</v>
      </c>
      <c r="O5" s="22" t="s">
        <v>158</v>
      </c>
      <c r="P5" s="22">
        <v>10770</v>
      </c>
      <c r="Q5" s="21">
        <v>5.2</v>
      </c>
      <c r="R5" s="21">
        <v>5.2</v>
      </c>
      <c r="S5" s="21">
        <v>5.2</v>
      </c>
      <c r="T5" s="21" t="s">
        <v>159</v>
      </c>
      <c r="U5" s="21">
        <v>1</v>
      </c>
      <c r="V5" s="21">
        <v>1</v>
      </c>
      <c r="W5" s="24">
        <f t="shared" si="0"/>
        <v>275.22513611887194</v>
      </c>
      <c r="X5" s="24">
        <f t="shared" si="1"/>
        <v>73.584853333333342</v>
      </c>
      <c r="Y5" s="21">
        <v>19</v>
      </c>
      <c r="Z5" s="24">
        <f t="shared" si="2"/>
        <v>5229.2775862585668</v>
      </c>
      <c r="AA5" s="24">
        <f t="shared" si="3"/>
        <v>1398.1122133333336</v>
      </c>
      <c r="AB5" s="21">
        <v>100</v>
      </c>
      <c r="AC5" s="21">
        <v>5.2</v>
      </c>
      <c r="AD5" s="21">
        <v>5.2</v>
      </c>
      <c r="AE5" s="21" t="s">
        <v>160</v>
      </c>
      <c r="AF5" s="21">
        <v>1</v>
      </c>
      <c r="AG5" s="21">
        <v>1</v>
      </c>
      <c r="AH5" s="24">
        <f t="shared" si="4"/>
        <v>1675.2528000000002</v>
      </c>
      <c r="AI5" s="25">
        <f t="shared" si="5"/>
        <v>2122.6400000000003</v>
      </c>
      <c r="AJ5" s="21">
        <v>2123.6999999999998</v>
      </c>
      <c r="AK5" s="21">
        <v>100</v>
      </c>
      <c r="AL5" s="22" t="s">
        <v>161</v>
      </c>
      <c r="AM5" s="22">
        <v>0.22</v>
      </c>
      <c r="AO5" s="22" t="s">
        <v>168</v>
      </c>
      <c r="AP5" s="22" t="s">
        <v>169</v>
      </c>
      <c r="AQ5" s="22" t="str">
        <f t="shared" si="6"/>
        <v>Microphytoplankton</v>
      </c>
      <c r="AR5" s="22">
        <v>0</v>
      </c>
      <c r="AS5" s="22">
        <v>0</v>
      </c>
      <c r="AT5" s="22">
        <v>0</v>
      </c>
      <c r="AU5" s="22">
        <v>1</v>
      </c>
      <c r="AV5" s="22">
        <v>1</v>
      </c>
      <c r="AW5" s="22">
        <v>0</v>
      </c>
      <c r="AX5" s="22">
        <v>0</v>
      </c>
      <c r="AY5" s="22">
        <v>1</v>
      </c>
    </row>
    <row r="6" spans="1:57" ht="14">
      <c r="A6" s="21" t="s">
        <v>178</v>
      </c>
      <c r="B6" s="22" t="s">
        <v>149</v>
      </c>
      <c r="C6" s="22" t="s">
        <v>150</v>
      </c>
      <c r="D6" s="23" t="s">
        <v>151</v>
      </c>
      <c r="E6" s="22" t="s">
        <v>61</v>
      </c>
      <c r="F6" s="22" t="s">
        <v>152</v>
      </c>
      <c r="G6" s="20" t="s">
        <v>164</v>
      </c>
      <c r="H6" s="26" t="s">
        <v>165</v>
      </c>
      <c r="I6" s="22" t="s">
        <v>32</v>
      </c>
      <c r="J6" s="21" t="s">
        <v>174</v>
      </c>
      <c r="K6" s="21"/>
      <c r="L6" s="21"/>
      <c r="N6" s="22" t="s">
        <v>179</v>
      </c>
      <c r="O6" s="22" t="s">
        <v>158</v>
      </c>
      <c r="P6" s="22">
        <v>10771</v>
      </c>
      <c r="Q6" s="21">
        <v>5.2</v>
      </c>
      <c r="R6" s="21">
        <v>5.2</v>
      </c>
      <c r="S6" s="21">
        <v>5.2</v>
      </c>
      <c r="T6" s="21" t="s">
        <v>159</v>
      </c>
      <c r="U6" s="21">
        <v>1</v>
      </c>
      <c r="V6" s="21">
        <v>1</v>
      </c>
      <c r="W6" s="24">
        <f t="shared" si="0"/>
        <v>275.22513611887194</v>
      </c>
      <c r="X6" s="24">
        <f t="shared" si="1"/>
        <v>73.584853333333342</v>
      </c>
      <c r="Y6" s="21">
        <v>19</v>
      </c>
      <c r="Z6" s="24">
        <f t="shared" si="2"/>
        <v>5229.2775862585668</v>
      </c>
      <c r="AA6" s="24">
        <f t="shared" si="3"/>
        <v>1398.1122133333336</v>
      </c>
      <c r="AB6" s="21">
        <v>100</v>
      </c>
      <c r="AC6" s="21">
        <v>5.2</v>
      </c>
      <c r="AD6" s="21">
        <v>5.2</v>
      </c>
      <c r="AE6" s="21" t="s">
        <v>160</v>
      </c>
      <c r="AF6" s="21">
        <v>1</v>
      </c>
      <c r="AG6" s="21">
        <v>1</v>
      </c>
      <c r="AH6" s="24">
        <f t="shared" si="4"/>
        <v>1675.2528000000002</v>
      </c>
      <c r="AI6" s="25">
        <f t="shared" si="5"/>
        <v>2122.6400000000003</v>
      </c>
      <c r="AJ6" s="21">
        <v>2123.6999999999998</v>
      </c>
      <c r="AK6" s="21">
        <v>100</v>
      </c>
      <c r="AL6" s="22" t="s">
        <v>161</v>
      </c>
      <c r="AM6" s="22">
        <v>0.22</v>
      </c>
      <c r="AO6" s="22" t="s">
        <v>168</v>
      </c>
      <c r="AP6" s="22" t="s">
        <v>169</v>
      </c>
      <c r="AQ6" s="22" t="str">
        <f t="shared" si="6"/>
        <v>Microphytoplankton</v>
      </c>
      <c r="AR6" s="22">
        <v>0</v>
      </c>
      <c r="AS6" s="22">
        <v>0</v>
      </c>
      <c r="AT6" s="22">
        <v>0</v>
      </c>
      <c r="AU6" s="22">
        <v>1</v>
      </c>
      <c r="AV6" s="22">
        <v>1</v>
      </c>
      <c r="AW6" s="22">
        <v>0</v>
      </c>
      <c r="AX6" s="22">
        <v>0</v>
      </c>
      <c r="AY6" s="22">
        <v>1</v>
      </c>
    </row>
    <row r="7" spans="1:57" ht="14">
      <c r="A7" s="21" t="s">
        <v>180</v>
      </c>
      <c r="B7" s="22" t="s">
        <v>149</v>
      </c>
      <c r="C7" s="22" t="s">
        <v>150</v>
      </c>
      <c r="D7" s="23" t="s">
        <v>151</v>
      </c>
      <c r="E7" s="22" t="s">
        <v>61</v>
      </c>
      <c r="F7" s="22" t="s">
        <v>152</v>
      </c>
      <c r="G7" s="20" t="s">
        <v>164</v>
      </c>
      <c r="H7" s="26" t="s">
        <v>165</v>
      </c>
      <c r="I7" s="22" t="s">
        <v>32</v>
      </c>
      <c r="J7" s="21" t="s">
        <v>181</v>
      </c>
      <c r="K7" s="21"/>
      <c r="L7" s="21"/>
      <c r="N7" s="22" t="s">
        <v>182</v>
      </c>
      <c r="O7" s="22" t="s">
        <v>158</v>
      </c>
      <c r="P7" s="21">
        <v>10730</v>
      </c>
      <c r="Q7" s="21">
        <v>8</v>
      </c>
      <c r="R7" s="21">
        <v>8</v>
      </c>
      <c r="S7" s="21">
        <v>8</v>
      </c>
      <c r="T7" s="21" t="s">
        <v>159</v>
      </c>
      <c r="U7" s="21">
        <v>1</v>
      </c>
      <c r="V7" s="21">
        <v>1</v>
      </c>
      <c r="W7" s="24">
        <f t="shared" si="0"/>
        <v>637.80128491389792</v>
      </c>
      <c r="X7" s="24">
        <f t="shared" si="1"/>
        <v>267.94666666666666</v>
      </c>
      <c r="Y7" s="21">
        <v>10</v>
      </c>
      <c r="Z7" s="24">
        <f t="shared" si="2"/>
        <v>6378.0128491389787</v>
      </c>
      <c r="AA7" s="24">
        <f t="shared" si="3"/>
        <v>2679.4666666666667</v>
      </c>
      <c r="AB7" s="21">
        <v>80</v>
      </c>
      <c r="AC7" s="21">
        <v>8</v>
      </c>
      <c r="AD7" s="21">
        <v>8</v>
      </c>
      <c r="AE7" s="21" t="s">
        <v>160</v>
      </c>
      <c r="AF7" s="21">
        <v>1</v>
      </c>
      <c r="AG7" s="21">
        <v>1</v>
      </c>
      <c r="AH7" s="24">
        <f t="shared" si="4"/>
        <v>2110.08</v>
      </c>
      <c r="AI7" s="25">
        <f t="shared" si="5"/>
        <v>4019.2000000000003</v>
      </c>
      <c r="AJ7" s="21">
        <v>4021.2</v>
      </c>
      <c r="AK7" s="21">
        <v>100</v>
      </c>
      <c r="AL7" s="22" t="s">
        <v>161</v>
      </c>
      <c r="AM7" s="22">
        <v>0.22</v>
      </c>
      <c r="AO7" s="22" t="s">
        <v>168</v>
      </c>
      <c r="AP7" s="22" t="s">
        <v>169</v>
      </c>
      <c r="AQ7" s="22" t="str">
        <f t="shared" si="6"/>
        <v>Microphytoplankton</v>
      </c>
      <c r="AR7" s="22">
        <v>0</v>
      </c>
      <c r="AS7" s="22">
        <v>0</v>
      </c>
      <c r="AT7" s="22">
        <v>0</v>
      </c>
      <c r="AU7" s="22">
        <v>1</v>
      </c>
      <c r="AV7" s="22">
        <v>1</v>
      </c>
      <c r="AW7" s="22">
        <v>0</v>
      </c>
      <c r="AX7" s="22">
        <v>0</v>
      </c>
      <c r="AY7" s="22">
        <v>1</v>
      </c>
    </row>
    <row r="8" spans="1:57" ht="14">
      <c r="A8" s="21" t="s">
        <v>183</v>
      </c>
      <c r="B8" s="22" t="s">
        <v>149</v>
      </c>
      <c r="C8" s="22" t="s">
        <v>150</v>
      </c>
      <c r="D8" s="23" t="s">
        <v>151</v>
      </c>
      <c r="E8" s="22" t="s">
        <v>61</v>
      </c>
      <c r="F8" s="22" t="s">
        <v>152</v>
      </c>
      <c r="G8" s="20" t="s">
        <v>164</v>
      </c>
      <c r="H8" s="26" t="s">
        <v>165</v>
      </c>
      <c r="I8" s="22" t="s">
        <v>32</v>
      </c>
      <c r="J8" s="21" t="s">
        <v>181</v>
      </c>
      <c r="K8" s="21" t="s">
        <v>184</v>
      </c>
      <c r="L8" s="21" t="s">
        <v>185</v>
      </c>
      <c r="N8" s="22" t="s">
        <v>186</v>
      </c>
      <c r="O8" s="22" t="s">
        <v>158</v>
      </c>
      <c r="P8" s="22">
        <v>10731</v>
      </c>
      <c r="Q8" s="21">
        <v>8</v>
      </c>
      <c r="R8" s="21">
        <v>6</v>
      </c>
      <c r="S8" s="21">
        <v>8</v>
      </c>
      <c r="T8" s="21" t="s">
        <v>159</v>
      </c>
      <c r="U8" s="21">
        <v>1</v>
      </c>
      <c r="V8" s="21">
        <v>1</v>
      </c>
      <c r="W8" s="24">
        <f t="shared" si="0"/>
        <v>561.48992953362938</v>
      </c>
      <c r="X8" s="24">
        <f t="shared" si="1"/>
        <v>200.95999999999998</v>
      </c>
      <c r="Y8" s="21">
        <v>10</v>
      </c>
      <c r="Z8" s="24">
        <f t="shared" si="2"/>
        <v>5614.899295336294</v>
      </c>
      <c r="AA8" s="24">
        <f t="shared" si="3"/>
        <v>2009.6</v>
      </c>
      <c r="AB8" s="21">
        <v>80</v>
      </c>
      <c r="AC8" s="21">
        <v>6</v>
      </c>
      <c r="AD8" s="21">
        <v>8</v>
      </c>
      <c r="AE8" s="21" t="s">
        <v>160</v>
      </c>
      <c r="AF8" s="21">
        <v>1</v>
      </c>
      <c r="AG8" s="21">
        <v>1</v>
      </c>
      <c r="AH8" s="24">
        <f t="shared" si="4"/>
        <v>1607.68</v>
      </c>
      <c r="AI8" s="25">
        <f t="shared" si="5"/>
        <v>2260.8000000000002</v>
      </c>
      <c r="AJ8" s="21">
        <v>3072</v>
      </c>
      <c r="AK8" s="21">
        <v>100</v>
      </c>
      <c r="AL8" s="22" t="s">
        <v>161</v>
      </c>
      <c r="AM8" s="22">
        <v>0.22</v>
      </c>
      <c r="AO8" s="22" t="s">
        <v>168</v>
      </c>
      <c r="AP8" s="22" t="s">
        <v>169</v>
      </c>
      <c r="AQ8" s="22" t="str">
        <f t="shared" si="6"/>
        <v>Microphytoplankton</v>
      </c>
      <c r="AR8" s="22">
        <v>0</v>
      </c>
      <c r="AS8" s="22">
        <v>0</v>
      </c>
      <c r="AT8" s="22">
        <v>0</v>
      </c>
      <c r="AU8" s="22">
        <v>1</v>
      </c>
      <c r="AV8" s="22">
        <v>1</v>
      </c>
      <c r="AW8" s="22">
        <v>0</v>
      </c>
      <c r="AX8" s="22">
        <v>0</v>
      </c>
      <c r="AY8" s="22">
        <v>1</v>
      </c>
    </row>
    <row r="9" spans="1:57" ht="14">
      <c r="A9" s="21" t="s">
        <v>187</v>
      </c>
      <c r="B9" s="22" t="s">
        <v>149</v>
      </c>
      <c r="C9" s="22" t="s">
        <v>150</v>
      </c>
      <c r="D9" s="23" t="s">
        <v>151</v>
      </c>
      <c r="E9" s="22" t="s">
        <v>61</v>
      </c>
      <c r="F9" s="22" t="s">
        <v>152</v>
      </c>
      <c r="G9" s="20" t="s">
        <v>164</v>
      </c>
      <c r="H9" s="26" t="s">
        <v>165</v>
      </c>
      <c r="I9" s="22" t="s">
        <v>32</v>
      </c>
      <c r="J9" s="21" t="s">
        <v>188</v>
      </c>
      <c r="K9" s="21"/>
      <c r="L9" s="21"/>
      <c r="N9" s="22" t="s">
        <v>189</v>
      </c>
      <c r="O9" s="22" t="s">
        <v>158</v>
      </c>
      <c r="P9" s="21">
        <v>10720</v>
      </c>
      <c r="Q9" s="22">
        <v>5</v>
      </c>
      <c r="R9" s="22">
        <v>5</v>
      </c>
      <c r="S9" s="22">
        <v>5</v>
      </c>
      <c r="T9" s="21" t="s">
        <v>159</v>
      </c>
      <c r="U9" s="21">
        <v>1</v>
      </c>
      <c r="V9" s="21">
        <v>1</v>
      </c>
      <c r="W9" s="24">
        <f t="shared" si="0"/>
        <v>255.14798814971115</v>
      </c>
      <c r="X9" s="24">
        <f t="shared" si="1"/>
        <v>65.416666666666671</v>
      </c>
      <c r="Y9" s="21">
        <v>20</v>
      </c>
      <c r="Z9" s="24">
        <f t="shared" si="2"/>
        <v>5102.9597629942227</v>
      </c>
      <c r="AA9" s="24">
        <f t="shared" si="3"/>
        <v>1308.3333333333335</v>
      </c>
      <c r="AB9" s="22">
        <v>100</v>
      </c>
      <c r="AC9" s="22">
        <v>5</v>
      </c>
      <c r="AD9" s="22">
        <v>5</v>
      </c>
      <c r="AE9" s="21" t="s">
        <v>160</v>
      </c>
      <c r="AF9" s="21">
        <v>1</v>
      </c>
      <c r="AG9" s="21">
        <v>1</v>
      </c>
      <c r="AH9" s="24">
        <f t="shared" si="4"/>
        <v>1609.25</v>
      </c>
      <c r="AI9" s="25">
        <f t="shared" si="5"/>
        <v>1962.5</v>
      </c>
      <c r="AJ9" s="21">
        <v>1570.8</v>
      </c>
      <c r="AK9" s="21">
        <v>100</v>
      </c>
      <c r="AL9" s="22" t="s">
        <v>161</v>
      </c>
      <c r="AM9" s="22">
        <v>0.22</v>
      </c>
      <c r="AN9" s="22" t="s">
        <v>168</v>
      </c>
      <c r="AO9" s="22" t="s">
        <v>168</v>
      </c>
      <c r="AP9" s="22" t="s">
        <v>169</v>
      </c>
      <c r="AQ9" s="22" t="str">
        <f t="shared" si="6"/>
        <v>Microphytoplankton</v>
      </c>
      <c r="AR9" s="22">
        <v>0</v>
      </c>
      <c r="AS9" s="22">
        <v>0</v>
      </c>
      <c r="AT9" s="22">
        <v>0</v>
      </c>
      <c r="AU9" s="22">
        <v>1</v>
      </c>
      <c r="AV9" s="22">
        <v>1</v>
      </c>
      <c r="AW9" s="22">
        <v>0</v>
      </c>
      <c r="AX9" s="22">
        <v>0</v>
      </c>
      <c r="AY9" s="22">
        <v>1</v>
      </c>
    </row>
    <row r="10" spans="1:57" ht="14">
      <c r="A10" s="22" t="s">
        <v>190</v>
      </c>
      <c r="B10" s="22" t="s">
        <v>149</v>
      </c>
      <c r="C10" s="22" t="s">
        <v>150</v>
      </c>
      <c r="D10" s="23" t="s">
        <v>151</v>
      </c>
      <c r="E10" s="22" t="s">
        <v>61</v>
      </c>
      <c r="F10" s="22" t="s">
        <v>152</v>
      </c>
      <c r="G10" s="20" t="s">
        <v>164</v>
      </c>
      <c r="H10" s="26" t="s">
        <v>165</v>
      </c>
      <c r="I10" s="22" t="s">
        <v>32</v>
      </c>
      <c r="J10" s="21" t="s">
        <v>188</v>
      </c>
      <c r="K10" s="22" t="s">
        <v>184</v>
      </c>
      <c r="L10" s="22" t="s">
        <v>191</v>
      </c>
      <c r="N10" s="22" t="s">
        <v>192</v>
      </c>
      <c r="O10" s="22" t="s">
        <v>158</v>
      </c>
      <c r="P10" s="22">
        <v>10733</v>
      </c>
      <c r="Q10" s="22">
        <v>3.5</v>
      </c>
      <c r="R10" s="22">
        <v>3.5</v>
      </c>
      <c r="S10" s="22">
        <v>3.5</v>
      </c>
      <c r="T10" s="21" t="s">
        <v>159</v>
      </c>
      <c r="U10" s="21">
        <v>1</v>
      </c>
      <c r="V10" s="21">
        <v>1</v>
      </c>
      <c r="W10" s="24">
        <f t="shared" si="0"/>
        <v>129.23451491074422</v>
      </c>
      <c r="X10" s="24">
        <f t="shared" si="1"/>
        <v>22.437916666666666</v>
      </c>
      <c r="Y10" s="21">
        <v>29</v>
      </c>
      <c r="Z10" s="24">
        <f t="shared" si="2"/>
        <v>3747.8009324115824</v>
      </c>
      <c r="AA10" s="24">
        <f t="shared" si="3"/>
        <v>650.69958333333329</v>
      </c>
      <c r="AB10" s="22">
        <v>100</v>
      </c>
      <c r="AC10" s="22">
        <v>3.5</v>
      </c>
      <c r="AD10" s="22">
        <v>3.5</v>
      </c>
      <c r="AE10" s="21" t="s">
        <v>160</v>
      </c>
      <c r="AF10" s="21">
        <v>1</v>
      </c>
      <c r="AG10" s="21">
        <v>1</v>
      </c>
      <c r="AH10" s="24">
        <f t="shared" si="4"/>
        <v>1118.2325000000001</v>
      </c>
      <c r="AI10" s="25">
        <f t="shared" si="5"/>
        <v>961.62500000000011</v>
      </c>
      <c r="AJ10" s="21">
        <v>961.62500000000011</v>
      </c>
      <c r="AK10" s="21">
        <v>100</v>
      </c>
      <c r="AL10" s="22" t="s">
        <v>161</v>
      </c>
      <c r="AM10" s="22">
        <v>0.22</v>
      </c>
      <c r="AN10" s="22" t="s">
        <v>193</v>
      </c>
      <c r="AO10" s="22" t="s">
        <v>193</v>
      </c>
      <c r="AP10" s="22" t="s">
        <v>169</v>
      </c>
      <c r="AQ10" s="22" t="str">
        <f t="shared" si="6"/>
        <v>Microphytoplankton</v>
      </c>
      <c r="AR10" s="22">
        <v>0</v>
      </c>
      <c r="AS10" s="22">
        <v>0</v>
      </c>
      <c r="AT10" s="22">
        <v>0</v>
      </c>
      <c r="AU10" s="22">
        <v>1</v>
      </c>
      <c r="AV10" s="22">
        <v>1</v>
      </c>
      <c r="AW10" s="22">
        <v>0</v>
      </c>
      <c r="AX10" s="22">
        <v>0</v>
      </c>
      <c r="AY10" s="22">
        <v>1</v>
      </c>
    </row>
    <row r="11" spans="1:57" ht="14">
      <c r="A11" s="21" t="s">
        <v>194</v>
      </c>
      <c r="B11" s="44" t="s">
        <v>149</v>
      </c>
      <c r="C11" s="22" t="s">
        <v>150</v>
      </c>
      <c r="D11" s="23" t="s">
        <v>151</v>
      </c>
      <c r="E11" s="22" t="s">
        <v>61</v>
      </c>
      <c r="F11" s="22" t="s">
        <v>152</v>
      </c>
      <c r="G11" s="20" t="s">
        <v>164</v>
      </c>
      <c r="H11" s="26" t="s">
        <v>165</v>
      </c>
      <c r="I11" s="22" t="s">
        <v>32</v>
      </c>
      <c r="J11" s="21" t="s">
        <v>188</v>
      </c>
      <c r="K11" s="21" t="s">
        <v>175</v>
      </c>
      <c r="L11" s="21" t="s">
        <v>195</v>
      </c>
      <c r="N11" s="22" t="s">
        <v>196</v>
      </c>
      <c r="O11" s="22" t="s">
        <v>158</v>
      </c>
      <c r="P11" s="21">
        <v>10750</v>
      </c>
      <c r="Q11" s="21">
        <v>3.5</v>
      </c>
      <c r="R11" s="21">
        <v>3.5</v>
      </c>
      <c r="S11" s="21">
        <v>3.5</v>
      </c>
      <c r="T11" s="21" t="s">
        <v>159</v>
      </c>
      <c r="U11" s="21">
        <v>1</v>
      </c>
      <c r="V11" s="21">
        <v>1</v>
      </c>
      <c r="W11" s="24">
        <f t="shared" si="0"/>
        <v>129.23451491074422</v>
      </c>
      <c r="X11" s="24">
        <f t="shared" si="1"/>
        <v>22.437916666666666</v>
      </c>
      <c r="Y11" s="21">
        <v>29</v>
      </c>
      <c r="Z11" s="24">
        <f t="shared" si="2"/>
        <v>3747.8009324115824</v>
      </c>
      <c r="AA11" s="24">
        <f t="shared" si="3"/>
        <v>650.69958333333329</v>
      </c>
      <c r="AB11" s="21">
        <v>100</v>
      </c>
      <c r="AC11" s="21">
        <v>3.5</v>
      </c>
      <c r="AD11" s="21">
        <v>3.5</v>
      </c>
      <c r="AE11" s="21" t="s">
        <v>160</v>
      </c>
      <c r="AF11" s="21">
        <v>1</v>
      </c>
      <c r="AG11" s="21">
        <v>1</v>
      </c>
      <c r="AH11" s="24">
        <f t="shared" si="4"/>
        <v>1118.2325000000001</v>
      </c>
      <c r="AI11" s="25">
        <f t="shared" si="5"/>
        <v>961.62500000000011</v>
      </c>
      <c r="AJ11" s="21">
        <v>769.7</v>
      </c>
      <c r="AK11" s="21">
        <v>100</v>
      </c>
      <c r="AL11" s="22" t="s">
        <v>161</v>
      </c>
      <c r="AM11" s="22">
        <v>0.22</v>
      </c>
      <c r="AN11" s="22" t="s">
        <v>168</v>
      </c>
      <c r="AO11" s="22" t="s">
        <v>168</v>
      </c>
      <c r="AP11" s="22" t="s">
        <v>169</v>
      </c>
      <c r="AQ11" s="22" t="str">
        <f t="shared" si="6"/>
        <v>Microphytoplankton</v>
      </c>
      <c r="AR11" s="22">
        <v>0</v>
      </c>
      <c r="AS11" s="22">
        <v>0</v>
      </c>
      <c r="AT11" s="22">
        <v>0</v>
      </c>
      <c r="AU11" s="22">
        <v>1</v>
      </c>
      <c r="AV11" s="22">
        <v>1</v>
      </c>
      <c r="AW11" s="22">
        <v>0</v>
      </c>
      <c r="AX11" s="22">
        <v>0</v>
      </c>
      <c r="AY11" s="22">
        <v>1</v>
      </c>
    </row>
    <row r="12" spans="1:57" ht="14">
      <c r="A12" s="21" t="s">
        <v>197</v>
      </c>
      <c r="B12" s="22" t="s">
        <v>149</v>
      </c>
      <c r="C12" s="22" t="s">
        <v>150</v>
      </c>
      <c r="D12" s="23" t="s">
        <v>151</v>
      </c>
      <c r="E12" s="22" t="s">
        <v>61</v>
      </c>
      <c r="F12" s="22" t="s">
        <v>152</v>
      </c>
      <c r="G12" s="20" t="s">
        <v>164</v>
      </c>
      <c r="H12" s="26" t="s">
        <v>165</v>
      </c>
      <c r="I12" s="22" t="s">
        <v>32</v>
      </c>
      <c r="J12" s="21" t="s">
        <v>198</v>
      </c>
      <c r="K12" s="21"/>
      <c r="L12" s="21"/>
      <c r="N12" s="22" t="s">
        <v>199</v>
      </c>
      <c r="O12" s="22" t="s">
        <v>158</v>
      </c>
      <c r="P12" s="21">
        <v>10740</v>
      </c>
      <c r="Q12" s="21">
        <v>9</v>
      </c>
      <c r="R12" s="21">
        <v>9</v>
      </c>
      <c r="S12" s="21">
        <v>9</v>
      </c>
      <c r="T12" s="21" t="s">
        <v>159</v>
      </c>
      <c r="U12" s="21">
        <v>1</v>
      </c>
      <c r="V12" s="21">
        <v>1</v>
      </c>
      <c r="W12" s="24">
        <f t="shared" si="0"/>
        <v>804.21104428016463</v>
      </c>
      <c r="X12" s="24">
        <f t="shared" si="1"/>
        <v>381.51</v>
      </c>
      <c r="Y12" s="21">
        <v>11</v>
      </c>
      <c r="Z12" s="24">
        <f t="shared" si="2"/>
        <v>8846.3214870818101</v>
      </c>
      <c r="AA12" s="24">
        <f t="shared" si="3"/>
        <v>4196.6099999999997</v>
      </c>
      <c r="AB12" s="21">
        <v>100</v>
      </c>
      <c r="AC12" s="21">
        <v>9</v>
      </c>
      <c r="AD12" s="21">
        <v>9</v>
      </c>
      <c r="AE12" s="21" t="s">
        <v>160</v>
      </c>
      <c r="AF12" s="21">
        <v>1</v>
      </c>
      <c r="AG12" s="21">
        <v>1</v>
      </c>
      <c r="AH12" s="24">
        <f t="shared" si="4"/>
        <v>2953.17</v>
      </c>
      <c r="AI12" s="25">
        <f t="shared" si="5"/>
        <v>6358.5</v>
      </c>
      <c r="AJ12" s="21">
        <v>6358.5</v>
      </c>
      <c r="AK12" s="21">
        <v>100</v>
      </c>
      <c r="AL12" s="22" t="s">
        <v>161</v>
      </c>
      <c r="AM12" s="22">
        <v>0.22</v>
      </c>
      <c r="AO12" s="22" t="s">
        <v>168</v>
      </c>
      <c r="AP12" s="22" t="s">
        <v>169</v>
      </c>
      <c r="AQ12" s="22" t="str">
        <f t="shared" si="6"/>
        <v>Microphytoplankton</v>
      </c>
      <c r="AR12" s="22">
        <v>0</v>
      </c>
      <c r="AS12" s="22">
        <v>0</v>
      </c>
      <c r="AT12" s="22">
        <v>0</v>
      </c>
      <c r="AU12" s="22">
        <v>1</v>
      </c>
      <c r="AV12" s="22">
        <v>1</v>
      </c>
      <c r="AW12" s="22">
        <v>0</v>
      </c>
      <c r="AX12" s="22">
        <v>0</v>
      </c>
      <c r="AY12" s="22">
        <v>1</v>
      </c>
    </row>
    <row r="13" spans="1:57" ht="14">
      <c r="A13" s="22" t="s">
        <v>200</v>
      </c>
      <c r="B13" s="22" t="s">
        <v>149</v>
      </c>
      <c r="C13" s="22" t="s">
        <v>150</v>
      </c>
      <c r="D13" s="23" t="s">
        <v>151</v>
      </c>
      <c r="E13" s="22" t="s">
        <v>61</v>
      </c>
      <c r="F13" s="22" t="s">
        <v>152</v>
      </c>
      <c r="G13" s="20" t="s">
        <v>164</v>
      </c>
      <c r="H13" s="26" t="s">
        <v>165</v>
      </c>
      <c r="I13" s="22" t="s">
        <v>32</v>
      </c>
      <c r="J13" s="22" t="s">
        <v>201</v>
      </c>
      <c r="K13" s="22" t="s">
        <v>184</v>
      </c>
      <c r="L13" s="22" t="s">
        <v>202</v>
      </c>
      <c r="N13" s="22" t="s">
        <v>203</v>
      </c>
      <c r="O13" s="22" t="s">
        <v>158</v>
      </c>
      <c r="P13" s="22">
        <v>10734</v>
      </c>
      <c r="Q13" s="22">
        <v>5</v>
      </c>
      <c r="R13" s="22">
        <v>5</v>
      </c>
      <c r="S13" s="22">
        <v>5</v>
      </c>
      <c r="T13" s="21" t="s">
        <v>159</v>
      </c>
      <c r="U13" s="21">
        <v>1</v>
      </c>
      <c r="V13" s="21">
        <v>1</v>
      </c>
      <c r="W13" s="24">
        <f t="shared" si="0"/>
        <v>255.14798814971115</v>
      </c>
      <c r="X13" s="24">
        <f t="shared" si="1"/>
        <v>65.416666666666671</v>
      </c>
      <c r="Y13" s="21">
        <v>20</v>
      </c>
      <c r="Z13" s="24">
        <f t="shared" si="2"/>
        <v>5102.9597629942227</v>
      </c>
      <c r="AA13" s="24">
        <f t="shared" si="3"/>
        <v>1308.3333333333335</v>
      </c>
      <c r="AB13" s="22">
        <v>100</v>
      </c>
      <c r="AC13" s="22">
        <v>5</v>
      </c>
      <c r="AD13" s="22">
        <v>5</v>
      </c>
      <c r="AE13" s="21" t="s">
        <v>160</v>
      </c>
      <c r="AF13" s="21">
        <v>1</v>
      </c>
      <c r="AG13" s="21">
        <v>1</v>
      </c>
      <c r="AH13" s="24">
        <f t="shared" si="4"/>
        <v>1609.25</v>
      </c>
      <c r="AI13" s="25">
        <f t="shared" si="5"/>
        <v>1962.5</v>
      </c>
      <c r="AJ13" s="21">
        <v>1962.5</v>
      </c>
      <c r="AK13" s="21">
        <v>100</v>
      </c>
      <c r="AL13" s="22" t="s">
        <v>161</v>
      </c>
      <c r="AM13" s="22">
        <v>0.22</v>
      </c>
      <c r="AO13" s="22" t="s">
        <v>168</v>
      </c>
      <c r="AP13" s="22" t="s">
        <v>169</v>
      </c>
      <c r="AQ13" s="22" t="str">
        <f t="shared" si="6"/>
        <v>Microphytoplankton</v>
      </c>
      <c r="AR13" s="22">
        <v>0</v>
      </c>
      <c r="AS13" s="22">
        <v>0</v>
      </c>
      <c r="AT13" s="22">
        <v>0</v>
      </c>
      <c r="AU13" s="22">
        <v>1</v>
      </c>
      <c r="AV13" s="22">
        <v>1</v>
      </c>
      <c r="AW13" s="22">
        <v>0</v>
      </c>
      <c r="AX13" s="22">
        <v>0</v>
      </c>
      <c r="AY13" s="22">
        <v>1</v>
      </c>
    </row>
    <row r="14" spans="1:57" ht="14">
      <c r="A14" s="22" t="s">
        <v>204</v>
      </c>
      <c r="B14" s="22" t="s">
        <v>149</v>
      </c>
      <c r="C14" s="22" t="s">
        <v>150</v>
      </c>
      <c r="D14" s="23" t="s">
        <v>151</v>
      </c>
      <c r="E14" s="22" t="s">
        <v>61</v>
      </c>
      <c r="F14" s="22" t="s">
        <v>152</v>
      </c>
      <c r="G14" s="20" t="s">
        <v>164</v>
      </c>
      <c r="H14" s="26" t="s">
        <v>165</v>
      </c>
      <c r="I14" s="22" t="s">
        <v>32</v>
      </c>
      <c r="J14" s="22" t="s">
        <v>201</v>
      </c>
      <c r="N14" s="22" t="s">
        <v>205</v>
      </c>
      <c r="O14" s="22" t="s">
        <v>158</v>
      </c>
      <c r="P14" s="22">
        <v>10739</v>
      </c>
      <c r="Q14" s="22">
        <v>5</v>
      </c>
      <c r="R14" s="22">
        <v>5</v>
      </c>
      <c r="S14" s="22">
        <v>5</v>
      </c>
      <c r="T14" s="21" t="s">
        <v>159</v>
      </c>
      <c r="U14" s="21">
        <v>1</v>
      </c>
      <c r="V14" s="21">
        <v>1</v>
      </c>
      <c r="W14" s="24">
        <f t="shared" si="0"/>
        <v>255.14798814971115</v>
      </c>
      <c r="X14" s="24">
        <f t="shared" si="1"/>
        <v>65.416666666666671</v>
      </c>
      <c r="Y14" s="21">
        <v>20</v>
      </c>
      <c r="Z14" s="24">
        <f t="shared" si="2"/>
        <v>5102.9597629942227</v>
      </c>
      <c r="AA14" s="24">
        <f t="shared" si="3"/>
        <v>1308.3333333333335</v>
      </c>
      <c r="AB14" s="22">
        <v>100</v>
      </c>
      <c r="AC14" s="22">
        <v>5</v>
      </c>
      <c r="AD14" s="22">
        <v>5</v>
      </c>
      <c r="AE14" s="21" t="s">
        <v>160</v>
      </c>
      <c r="AF14" s="21">
        <v>1</v>
      </c>
      <c r="AG14" s="21">
        <v>1</v>
      </c>
      <c r="AH14" s="24">
        <f t="shared" si="4"/>
        <v>1609.25</v>
      </c>
      <c r="AI14" s="25">
        <f t="shared" si="5"/>
        <v>1962.5</v>
      </c>
      <c r="AJ14" s="21">
        <v>1962.5</v>
      </c>
      <c r="AK14" s="21">
        <v>100</v>
      </c>
      <c r="AL14" s="22" t="s">
        <v>161</v>
      </c>
      <c r="AM14" s="22">
        <v>0.22</v>
      </c>
      <c r="AO14" s="22" t="s">
        <v>168</v>
      </c>
      <c r="AP14" s="22" t="s">
        <v>169</v>
      </c>
      <c r="AQ14" s="22" t="str">
        <f t="shared" si="6"/>
        <v>Microphytoplankton</v>
      </c>
      <c r="AR14" s="22">
        <v>0</v>
      </c>
      <c r="AS14" s="22">
        <v>0</v>
      </c>
      <c r="AT14" s="22">
        <v>0</v>
      </c>
      <c r="AU14" s="22">
        <v>1</v>
      </c>
      <c r="AV14" s="22">
        <v>1</v>
      </c>
      <c r="AW14" s="22">
        <v>0</v>
      </c>
      <c r="AX14" s="22">
        <v>0</v>
      </c>
      <c r="AY14" s="22">
        <v>1</v>
      </c>
    </row>
    <row r="15" spans="1:57" ht="14">
      <c r="A15" s="22" t="s">
        <v>206</v>
      </c>
      <c r="B15" s="22" t="s">
        <v>149</v>
      </c>
      <c r="C15" s="22" t="s">
        <v>150</v>
      </c>
      <c r="D15" s="23" t="s">
        <v>151</v>
      </c>
      <c r="E15" s="22" t="s">
        <v>61</v>
      </c>
      <c r="F15" s="22" t="s">
        <v>152</v>
      </c>
      <c r="G15" s="20" t="s">
        <v>164</v>
      </c>
      <c r="H15" s="26" t="s">
        <v>165</v>
      </c>
      <c r="I15" s="22" t="s">
        <v>32</v>
      </c>
      <c r="J15" s="22" t="s">
        <v>207</v>
      </c>
      <c r="N15" s="22" t="s">
        <v>199</v>
      </c>
      <c r="O15" s="22" t="s">
        <v>158</v>
      </c>
      <c r="P15" s="21">
        <v>10735</v>
      </c>
      <c r="Q15" s="22">
        <v>11</v>
      </c>
      <c r="R15" s="22">
        <v>11</v>
      </c>
      <c r="S15" s="22">
        <v>5</v>
      </c>
      <c r="T15" s="21" t="s">
        <v>159</v>
      </c>
      <c r="U15" s="21">
        <v>1</v>
      </c>
      <c r="V15" s="21">
        <v>1</v>
      </c>
      <c r="W15" s="24">
        <f t="shared" si="0"/>
        <v>905.84510820029766</v>
      </c>
      <c r="X15" s="24">
        <f t="shared" si="1"/>
        <v>316.61666666666667</v>
      </c>
      <c r="Y15" s="21">
        <v>9</v>
      </c>
      <c r="Z15" s="24">
        <f t="shared" si="2"/>
        <v>8152.6059738026788</v>
      </c>
      <c r="AA15" s="24">
        <f t="shared" si="3"/>
        <v>2849.55</v>
      </c>
      <c r="AB15" s="22">
        <v>100</v>
      </c>
      <c r="AC15" s="22">
        <v>11</v>
      </c>
      <c r="AD15" s="22">
        <v>5</v>
      </c>
      <c r="AE15" s="21" t="s">
        <v>160</v>
      </c>
      <c r="AF15" s="21">
        <v>1</v>
      </c>
      <c r="AG15" s="21">
        <v>1</v>
      </c>
      <c r="AH15" s="24">
        <f t="shared" si="4"/>
        <v>3493.25</v>
      </c>
      <c r="AI15" s="25">
        <f t="shared" si="5"/>
        <v>9498.5</v>
      </c>
      <c r="AJ15" s="21">
        <v>4317.5</v>
      </c>
      <c r="AK15" s="21">
        <v>100</v>
      </c>
      <c r="AL15" s="22" t="s">
        <v>161</v>
      </c>
      <c r="AM15" s="22">
        <v>0.22</v>
      </c>
      <c r="AN15" s="22" t="s">
        <v>193</v>
      </c>
      <c r="AO15" s="22" t="s">
        <v>168</v>
      </c>
      <c r="AP15" s="22" t="s">
        <v>169</v>
      </c>
      <c r="AQ15" s="22" t="str">
        <f t="shared" si="6"/>
        <v>Microphytoplankton</v>
      </c>
      <c r="AR15" s="22">
        <v>0</v>
      </c>
      <c r="AS15" s="22">
        <v>0</v>
      </c>
      <c r="AT15" s="22">
        <v>0</v>
      </c>
      <c r="AU15" s="22">
        <v>1</v>
      </c>
      <c r="AV15" s="22">
        <v>1</v>
      </c>
      <c r="AW15" s="22">
        <v>0</v>
      </c>
      <c r="AX15" s="22">
        <v>0</v>
      </c>
      <c r="AY15" s="22">
        <v>1</v>
      </c>
    </row>
    <row r="16" spans="1:57" ht="14">
      <c r="A16" s="22" t="s">
        <v>208</v>
      </c>
      <c r="B16" s="22" t="s">
        <v>149</v>
      </c>
      <c r="C16" s="22" t="s">
        <v>150</v>
      </c>
      <c r="D16" s="23" t="s">
        <v>151</v>
      </c>
      <c r="E16" s="22" t="s">
        <v>61</v>
      </c>
      <c r="F16" s="22" t="s">
        <v>152</v>
      </c>
      <c r="G16" s="20" t="s">
        <v>164</v>
      </c>
      <c r="H16" s="26" t="s">
        <v>165</v>
      </c>
      <c r="I16" s="22" t="s">
        <v>32</v>
      </c>
      <c r="J16" s="22" t="s">
        <v>207</v>
      </c>
      <c r="K16" s="22" t="s">
        <v>175</v>
      </c>
      <c r="L16" s="22" t="s">
        <v>209</v>
      </c>
      <c r="N16" s="22" t="s">
        <v>199</v>
      </c>
      <c r="O16" s="22" t="s">
        <v>158</v>
      </c>
      <c r="P16" s="21">
        <v>10736</v>
      </c>
      <c r="Q16" s="22">
        <v>7.5</v>
      </c>
      <c r="R16" s="22">
        <v>7.5</v>
      </c>
      <c r="S16" s="22">
        <v>4</v>
      </c>
      <c r="T16" s="21" t="s">
        <v>159</v>
      </c>
      <c r="U16" s="21">
        <v>1</v>
      </c>
      <c r="V16" s="21">
        <v>1</v>
      </c>
      <c r="W16" s="24">
        <f t="shared" si="0"/>
        <v>442.70533389078025</v>
      </c>
      <c r="X16" s="24">
        <f t="shared" si="1"/>
        <v>117.75</v>
      </c>
      <c r="Y16" s="22">
        <v>13</v>
      </c>
      <c r="Z16" s="24">
        <f t="shared" si="2"/>
        <v>5755.1693405801434</v>
      </c>
      <c r="AA16" s="24">
        <f t="shared" si="3"/>
        <v>1530.75</v>
      </c>
      <c r="AB16" s="22">
        <v>100</v>
      </c>
      <c r="AC16" s="22">
        <v>7.5</v>
      </c>
      <c r="AD16" s="22">
        <v>4</v>
      </c>
      <c r="AE16" s="21" t="s">
        <v>160</v>
      </c>
      <c r="AF16" s="21">
        <v>1</v>
      </c>
      <c r="AG16" s="22">
        <v>1</v>
      </c>
      <c r="AH16" s="24">
        <f t="shared" si="4"/>
        <v>2380.12</v>
      </c>
      <c r="AI16" s="25">
        <f t="shared" si="5"/>
        <v>4415.625</v>
      </c>
      <c r="AJ16" s="21">
        <v>2355</v>
      </c>
      <c r="AK16" s="21">
        <v>100</v>
      </c>
      <c r="AL16" s="22" t="s">
        <v>161</v>
      </c>
      <c r="AM16" s="22">
        <v>0.22</v>
      </c>
      <c r="AN16" s="22" t="s">
        <v>193</v>
      </c>
      <c r="AO16" s="22" t="s">
        <v>193</v>
      </c>
      <c r="AP16" s="22" t="s">
        <v>169</v>
      </c>
      <c r="AQ16" s="22" t="str">
        <f t="shared" si="6"/>
        <v>Microphytoplankton</v>
      </c>
      <c r="AR16" s="22">
        <v>0</v>
      </c>
      <c r="AS16" s="22">
        <v>0</v>
      </c>
      <c r="AT16" s="22">
        <v>0</v>
      </c>
      <c r="AU16" s="22">
        <v>1</v>
      </c>
      <c r="AV16" s="22">
        <v>1</v>
      </c>
      <c r="AW16" s="22">
        <v>0</v>
      </c>
      <c r="AX16" s="22">
        <v>0</v>
      </c>
      <c r="AY16" s="22">
        <v>1</v>
      </c>
    </row>
    <row r="17" spans="1:57" ht="14">
      <c r="A17" s="21" t="s">
        <v>210</v>
      </c>
      <c r="B17" s="22" t="s">
        <v>149</v>
      </c>
      <c r="C17" s="22" t="s">
        <v>150</v>
      </c>
      <c r="D17" s="23" t="s">
        <v>151</v>
      </c>
      <c r="E17" s="22" t="s">
        <v>61</v>
      </c>
      <c r="F17" s="22" t="s">
        <v>152</v>
      </c>
      <c r="G17" s="20" t="s">
        <v>164</v>
      </c>
      <c r="H17" s="26" t="s">
        <v>165</v>
      </c>
      <c r="I17" s="22" t="s">
        <v>32</v>
      </c>
      <c r="J17" s="21" t="s">
        <v>211</v>
      </c>
      <c r="K17" s="21"/>
      <c r="L17" s="21"/>
      <c r="M17" s="22" t="s">
        <v>1</v>
      </c>
      <c r="N17" s="22" t="s">
        <v>212</v>
      </c>
      <c r="O17" s="22" t="s">
        <v>158</v>
      </c>
      <c r="P17" s="21">
        <v>10700</v>
      </c>
      <c r="Q17" s="21">
        <v>4</v>
      </c>
      <c r="R17" s="21">
        <v>4</v>
      </c>
      <c r="S17" s="21">
        <v>4</v>
      </c>
      <c r="T17" s="21" t="s">
        <v>159</v>
      </c>
      <c r="U17" s="21">
        <v>1</v>
      </c>
      <c r="V17" s="21">
        <v>1</v>
      </c>
      <c r="W17" s="24">
        <f t="shared" si="0"/>
        <v>166.37591354482302</v>
      </c>
      <c r="X17" s="24">
        <f t="shared" si="1"/>
        <v>33.493333333333332</v>
      </c>
      <c r="Y17" s="21">
        <f>AB17/Q17</f>
        <v>25</v>
      </c>
      <c r="Z17" s="24">
        <f t="shared" si="2"/>
        <v>4159.3978386205754</v>
      </c>
      <c r="AA17" s="24">
        <f t="shared" si="3"/>
        <v>837.33333333333326</v>
      </c>
      <c r="AB17" s="21">
        <v>100</v>
      </c>
      <c r="AC17" s="21">
        <v>4</v>
      </c>
      <c r="AD17" s="21">
        <v>4</v>
      </c>
      <c r="AE17" s="21" t="s">
        <v>160</v>
      </c>
      <c r="AF17" s="21">
        <v>1</v>
      </c>
      <c r="AG17" s="21">
        <v>1</v>
      </c>
      <c r="AH17" s="24">
        <f t="shared" si="4"/>
        <v>1281.1199999999999</v>
      </c>
      <c r="AI17" s="25">
        <f t="shared" si="5"/>
        <v>1256</v>
      </c>
      <c r="AJ17" s="21">
        <v>1005.3</v>
      </c>
      <c r="AK17" s="21">
        <v>100</v>
      </c>
      <c r="AL17" s="22" t="s">
        <v>161</v>
      </c>
      <c r="AM17" s="22">
        <v>0.22</v>
      </c>
      <c r="AO17" s="22" t="s">
        <v>168</v>
      </c>
      <c r="AP17" s="22" t="s">
        <v>169</v>
      </c>
      <c r="AQ17" s="22" t="str">
        <f t="shared" si="6"/>
        <v>Microphytoplankton</v>
      </c>
      <c r="AR17" s="22">
        <v>0</v>
      </c>
      <c r="AS17" s="22">
        <v>0</v>
      </c>
      <c r="AT17" s="22">
        <v>0</v>
      </c>
      <c r="AU17" s="22">
        <v>1</v>
      </c>
      <c r="AV17" s="22">
        <v>1</v>
      </c>
      <c r="AW17" s="22">
        <v>0</v>
      </c>
      <c r="AX17" s="22">
        <v>0</v>
      </c>
      <c r="AY17" s="22">
        <v>1</v>
      </c>
    </row>
    <row r="18" spans="1:57" ht="14">
      <c r="A18" s="22" t="s">
        <v>213</v>
      </c>
      <c r="B18" s="22" t="s">
        <v>149</v>
      </c>
      <c r="C18" s="22" t="s">
        <v>150</v>
      </c>
      <c r="D18" s="23" t="s">
        <v>151</v>
      </c>
      <c r="E18" s="22" t="s">
        <v>61</v>
      </c>
      <c r="F18" s="22" t="s">
        <v>152</v>
      </c>
      <c r="G18" s="20" t="s">
        <v>164</v>
      </c>
      <c r="H18" s="26" t="s">
        <v>165</v>
      </c>
      <c r="I18" s="22" t="s">
        <v>32</v>
      </c>
      <c r="J18" s="22" t="s">
        <v>214</v>
      </c>
      <c r="N18" s="22" t="s">
        <v>199</v>
      </c>
      <c r="O18" s="22" t="s">
        <v>158</v>
      </c>
      <c r="P18" s="21">
        <v>10737</v>
      </c>
      <c r="Q18" s="22">
        <v>7</v>
      </c>
      <c r="R18" s="22">
        <v>7</v>
      </c>
      <c r="S18" s="22">
        <v>7</v>
      </c>
      <c r="T18" s="21" t="s">
        <v>159</v>
      </c>
      <c r="U18" s="21">
        <v>1</v>
      </c>
      <c r="V18" s="21">
        <v>1</v>
      </c>
      <c r="W18" s="24">
        <f t="shared" si="0"/>
        <v>490.83181458055361</v>
      </c>
      <c r="X18" s="24">
        <f t="shared" si="1"/>
        <v>179.50333333333333</v>
      </c>
      <c r="Y18" s="22">
        <v>14</v>
      </c>
      <c r="Z18" s="24">
        <f t="shared" si="2"/>
        <v>6871.6454041277502</v>
      </c>
      <c r="AA18" s="24">
        <f t="shared" si="3"/>
        <v>2513.0466666666666</v>
      </c>
      <c r="AB18" s="22">
        <v>100</v>
      </c>
      <c r="AC18" s="22">
        <v>7</v>
      </c>
      <c r="AD18" s="22">
        <v>7</v>
      </c>
      <c r="AE18" s="21" t="s">
        <v>160</v>
      </c>
      <c r="AF18" s="21">
        <v>1</v>
      </c>
      <c r="AG18" s="22">
        <v>1</v>
      </c>
      <c r="AH18" s="24">
        <f t="shared" si="4"/>
        <v>2274.9299999999998</v>
      </c>
      <c r="AI18" s="25">
        <f t="shared" si="5"/>
        <v>3846.5000000000005</v>
      </c>
      <c r="AJ18" s="21">
        <v>3846.5000000000005</v>
      </c>
      <c r="AK18" s="21">
        <v>100</v>
      </c>
      <c r="AL18" s="22" t="s">
        <v>161</v>
      </c>
      <c r="AM18" s="22">
        <v>0.22</v>
      </c>
      <c r="AN18" s="22" t="s">
        <v>168</v>
      </c>
      <c r="AO18" s="22" t="s">
        <v>168</v>
      </c>
      <c r="AP18" s="22" t="s">
        <v>169</v>
      </c>
      <c r="AQ18" s="22" t="str">
        <f t="shared" si="6"/>
        <v>Microphytoplankton</v>
      </c>
      <c r="AR18" s="22">
        <v>0</v>
      </c>
      <c r="AS18" s="22">
        <v>0</v>
      </c>
      <c r="AT18" s="22">
        <v>0</v>
      </c>
      <c r="AU18" s="22">
        <v>1</v>
      </c>
      <c r="AV18" s="22">
        <v>1</v>
      </c>
      <c r="AW18" s="22">
        <v>0</v>
      </c>
      <c r="AX18" s="22">
        <v>0</v>
      </c>
      <c r="AY18" s="22">
        <v>1</v>
      </c>
    </row>
    <row r="19" spans="1:57" ht="14">
      <c r="A19" s="22" t="s">
        <v>215</v>
      </c>
      <c r="B19" s="22" t="s">
        <v>149</v>
      </c>
      <c r="C19" s="22" t="s">
        <v>150</v>
      </c>
      <c r="D19" s="23" t="s">
        <v>151</v>
      </c>
      <c r="E19" s="22" t="s">
        <v>61</v>
      </c>
      <c r="F19" s="22" t="s">
        <v>152</v>
      </c>
      <c r="G19" s="20" t="s">
        <v>164</v>
      </c>
      <c r="H19" s="26" t="s">
        <v>165</v>
      </c>
      <c r="I19" s="22" t="s">
        <v>32</v>
      </c>
      <c r="J19" s="22" t="s">
        <v>214</v>
      </c>
      <c r="K19" s="22" t="s">
        <v>184</v>
      </c>
      <c r="L19" s="22" t="s">
        <v>216</v>
      </c>
      <c r="N19" s="22" t="s">
        <v>217</v>
      </c>
      <c r="O19" s="22" t="s">
        <v>158</v>
      </c>
      <c r="P19" s="21">
        <v>10738</v>
      </c>
      <c r="Q19" s="22">
        <v>7</v>
      </c>
      <c r="R19" s="22">
        <v>7</v>
      </c>
      <c r="S19" s="22">
        <v>7</v>
      </c>
      <c r="T19" s="21" t="s">
        <v>159</v>
      </c>
      <c r="U19" s="21">
        <v>1</v>
      </c>
      <c r="V19" s="21">
        <v>1</v>
      </c>
      <c r="W19" s="24">
        <f t="shared" si="0"/>
        <v>490.83181458055361</v>
      </c>
      <c r="X19" s="24">
        <f t="shared" si="1"/>
        <v>179.50333333333333</v>
      </c>
      <c r="Y19" s="22">
        <v>14</v>
      </c>
      <c r="Z19" s="24">
        <f t="shared" si="2"/>
        <v>6871.6454041277502</v>
      </c>
      <c r="AA19" s="24">
        <f t="shared" si="3"/>
        <v>2513.0466666666666</v>
      </c>
      <c r="AB19" s="22">
        <v>100</v>
      </c>
      <c r="AC19" s="22">
        <v>7</v>
      </c>
      <c r="AD19" s="22">
        <v>7</v>
      </c>
      <c r="AE19" s="21" t="s">
        <v>160</v>
      </c>
      <c r="AF19" s="21">
        <v>1</v>
      </c>
      <c r="AG19" s="22">
        <v>1</v>
      </c>
      <c r="AH19" s="24">
        <f t="shared" si="4"/>
        <v>2274.9299999999998</v>
      </c>
      <c r="AI19" s="25">
        <f t="shared" si="5"/>
        <v>3846.5000000000005</v>
      </c>
      <c r="AJ19" s="21">
        <v>3846.5000000000005</v>
      </c>
      <c r="AK19" s="21">
        <v>100</v>
      </c>
      <c r="AL19" s="22" t="s">
        <v>161</v>
      </c>
      <c r="AM19" s="22">
        <v>0.22</v>
      </c>
      <c r="AN19" s="22" t="s">
        <v>168</v>
      </c>
      <c r="AO19" s="22" t="s">
        <v>168</v>
      </c>
      <c r="AP19" s="22" t="s">
        <v>169</v>
      </c>
      <c r="AQ19" s="22" t="str">
        <f t="shared" si="6"/>
        <v>Microphytoplankton</v>
      </c>
      <c r="AR19" s="22">
        <v>0</v>
      </c>
      <c r="AS19" s="22">
        <v>0</v>
      </c>
      <c r="AT19" s="22">
        <v>0</v>
      </c>
      <c r="AU19" s="22">
        <v>1</v>
      </c>
      <c r="AV19" s="22">
        <v>1</v>
      </c>
      <c r="AW19" s="22">
        <v>0</v>
      </c>
      <c r="AX19" s="22">
        <v>0</v>
      </c>
      <c r="AY19" s="22">
        <v>1</v>
      </c>
    </row>
    <row r="20" spans="1:57" ht="14">
      <c r="A20" s="21" t="s">
        <v>218</v>
      </c>
      <c r="B20" s="22" t="s">
        <v>149</v>
      </c>
      <c r="C20" s="22" t="s">
        <v>150</v>
      </c>
      <c r="D20" s="23" t="s">
        <v>151</v>
      </c>
      <c r="E20" s="22" t="s">
        <v>61</v>
      </c>
      <c r="F20" s="22" t="s">
        <v>152</v>
      </c>
      <c r="G20" s="20" t="s">
        <v>164</v>
      </c>
      <c r="H20" s="26" t="s">
        <v>165</v>
      </c>
      <c r="I20" s="22" t="s">
        <v>33</v>
      </c>
      <c r="J20" s="22" t="s">
        <v>219</v>
      </c>
      <c r="N20" s="22" t="s">
        <v>220</v>
      </c>
      <c r="O20" s="22" t="s">
        <v>158</v>
      </c>
      <c r="P20" s="21">
        <v>10810</v>
      </c>
      <c r="Q20" s="21">
        <v>5</v>
      </c>
      <c r="R20" s="21">
        <v>5</v>
      </c>
      <c r="S20" s="21">
        <v>5</v>
      </c>
      <c r="T20" s="21" t="s">
        <v>159</v>
      </c>
      <c r="U20" s="21">
        <v>1</v>
      </c>
      <c r="V20" s="21">
        <v>1</v>
      </c>
      <c r="W20" s="24">
        <f t="shared" si="0"/>
        <v>255.14798814971115</v>
      </c>
      <c r="X20" s="24">
        <f t="shared" si="1"/>
        <v>65.416666666666671</v>
      </c>
      <c r="Y20" s="21">
        <f>AB20/5</f>
        <v>20</v>
      </c>
      <c r="Z20" s="24">
        <f t="shared" si="2"/>
        <v>5102.9597629942227</v>
      </c>
      <c r="AA20" s="24">
        <f t="shared" si="3"/>
        <v>1308.3333333333335</v>
      </c>
      <c r="AB20" s="21">
        <v>100</v>
      </c>
      <c r="AC20" s="21">
        <v>5</v>
      </c>
      <c r="AD20" s="21">
        <v>5</v>
      </c>
      <c r="AE20" s="21" t="s">
        <v>160</v>
      </c>
      <c r="AF20" s="21">
        <v>1</v>
      </c>
      <c r="AG20" s="21">
        <v>1</v>
      </c>
      <c r="AH20" s="24">
        <f t="shared" si="4"/>
        <v>1609.25</v>
      </c>
      <c r="AI20" s="25">
        <f t="shared" si="5"/>
        <v>1962.5</v>
      </c>
      <c r="AJ20" s="21">
        <v>1963</v>
      </c>
      <c r="AK20" s="21">
        <v>100</v>
      </c>
      <c r="AL20" s="22" t="s">
        <v>161</v>
      </c>
      <c r="AM20" s="22">
        <v>0.22</v>
      </c>
      <c r="AN20" s="22" t="s">
        <v>168</v>
      </c>
      <c r="AO20" s="22" t="s">
        <v>168</v>
      </c>
      <c r="AP20" s="22" t="s">
        <v>169</v>
      </c>
      <c r="AQ20" s="22" t="str">
        <f t="shared" si="6"/>
        <v>Microphytoplankton</v>
      </c>
      <c r="AR20" s="22">
        <v>0</v>
      </c>
      <c r="AS20" s="22">
        <v>0</v>
      </c>
      <c r="AT20" s="22">
        <v>0</v>
      </c>
      <c r="AU20" s="22">
        <v>1</v>
      </c>
      <c r="AV20" s="22">
        <v>1</v>
      </c>
      <c r="AW20" s="22">
        <v>0</v>
      </c>
      <c r="AX20" s="22">
        <v>0</v>
      </c>
      <c r="AY20" s="22">
        <v>1</v>
      </c>
      <c r="AZ20" s="22">
        <v>0</v>
      </c>
      <c r="BA20" s="22">
        <v>0</v>
      </c>
      <c r="BB20" s="22">
        <v>0</v>
      </c>
      <c r="BC20" s="22">
        <v>1</v>
      </c>
      <c r="BD20" s="22">
        <v>4</v>
      </c>
      <c r="BE20" s="22">
        <v>5</v>
      </c>
    </row>
    <row r="21" spans="1:57" ht="14">
      <c r="A21" s="22" t="s">
        <v>221</v>
      </c>
      <c r="B21" s="22" t="s">
        <v>149</v>
      </c>
      <c r="C21" s="22" t="s">
        <v>150</v>
      </c>
      <c r="D21" s="23" t="s">
        <v>151</v>
      </c>
      <c r="E21" s="22" t="s">
        <v>61</v>
      </c>
      <c r="F21" s="22" t="s">
        <v>152</v>
      </c>
      <c r="G21" s="20" t="s">
        <v>164</v>
      </c>
      <c r="H21" s="26" t="s">
        <v>165</v>
      </c>
      <c r="I21" s="22" t="s">
        <v>33</v>
      </c>
      <c r="J21" s="22" t="s">
        <v>219</v>
      </c>
      <c r="K21" s="22" t="s">
        <v>175</v>
      </c>
      <c r="L21" s="22" t="s">
        <v>222</v>
      </c>
      <c r="N21" s="22" t="s">
        <v>167</v>
      </c>
      <c r="O21" s="22" t="s">
        <v>158</v>
      </c>
      <c r="P21" s="21">
        <v>10811</v>
      </c>
      <c r="Q21" s="22">
        <v>5</v>
      </c>
      <c r="R21" s="22">
        <v>3.5</v>
      </c>
      <c r="S21" s="22">
        <v>3.5</v>
      </c>
      <c r="T21" s="21" t="s">
        <v>159</v>
      </c>
      <c r="U21" s="21">
        <v>1</v>
      </c>
      <c r="V21" s="21">
        <v>1</v>
      </c>
      <c r="W21" s="24">
        <f t="shared" si="0"/>
        <v>178.60359170479779</v>
      </c>
      <c r="X21" s="24">
        <f t="shared" si="1"/>
        <v>32.054166666666667</v>
      </c>
      <c r="Y21" s="21">
        <f>AB21/5</f>
        <v>20</v>
      </c>
      <c r="Z21" s="24">
        <f t="shared" si="2"/>
        <v>3572.0718340959556</v>
      </c>
      <c r="AA21" s="24">
        <f t="shared" si="3"/>
        <v>641.08333333333337</v>
      </c>
      <c r="AB21" s="22">
        <v>100</v>
      </c>
      <c r="AC21" s="22">
        <v>3.5</v>
      </c>
      <c r="AD21" s="22">
        <v>3.5</v>
      </c>
      <c r="AE21" s="21" t="s">
        <v>160</v>
      </c>
      <c r="AF21" s="21">
        <v>1</v>
      </c>
      <c r="AG21" s="21">
        <v>1</v>
      </c>
      <c r="AH21" s="24">
        <f t="shared" si="4"/>
        <v>1118.2325000000001</v>
      </c>
      <c r="AI21" s="25">
        <f t="shared" si="5"/>
        <v>961.62500000000011</v>
      </c>
      <c r="AJ21" s="21">
        <v>961.62500000000011</v>
      </c>
      <c r="AK21" s="21">
        <v>100</v>
      </c>
      <c r="AL21" s="22" t="s">
        <v>161</v>
      </c>
      <c r="AM21" s="22">
        <v>0.22</v>
      </c>
      <c r="AN21" s="22" t="s">
        <v>168</v>
      </c>
      <c r="AO21" s="22" t="s">
        <v>168</v>
      </c>
      <c r="AP21" s="22" t="s">
        <v>169</v>
      </c>
      <c r="AQ21" s="22" t="str">
        <f t="shared" si="6"/>
        <v>Microphytoplankton</v>
      </c>
      <c r="AR21" s="22">
        <v>0</v>
      </c>
      <c r="AS21" s="22">
        <v>0</v>
      </c>
      <c r="AT21" s="22">
        <v>0</v>
      </c>
      <c r="AU21" s="22">
        <v>1</v>
      </c>
      <c r="AV21" s="22">
        <v>1</v>
      </c>
      <c r="AW21" s="22">
        <v>0</v>
      </c>
      <c r="AX21" s="22">
        <v>0</v>
      </c>
      <c r="AY21" s="22">
        <v>1</v>
      </c>
    </row>
    <row r="22" spans="1:57" ht="14">
      <c r="A22" s="22" t="s">
        <v>223</v>
      </c>
      <c r="B22" s="22" t="s">
        <v>149</v>
      </c>
      <c r="C22" s="22" t="s">
        <v>150</v>
      </c>
      <c r="D22" s="23" t="s">
        <v>151</v>
      </c>
      <c r="E22" s="22" t="s">
        <v>61</v>
      </c>
      <c r="F22" s="22" t="s">
        <v>152</v>
      </c>
      <c r="G22" s="20" t="s">
        <v>164</v>
      </c>
      <c r="H22" s="26" t="s">
        <v>165</v>
      </c>
      <c r="I22" s="22" t="s">
        <v>33</v>
      </c>
      <c r="J22" s="22" t="s">
        <v>224</v>
      </c>
      <c r="N22" s="22" t="s">
        <v>225</v>
      </c>
      <c r="O22" s="22" t="s">
        <v>158</v>
      </c>
      <c r="P22" s="21">
        <v>10812</v>
      </c>
      <c r="Q22" s="22">
        <v>10</v>
      </c>
      <c r="R22" s="22">
        <v>3.5</v>
      </c>
      <c r="S22" s="22">
        <v>3.5</v>
      </c>
      <c r="T22" s="21" t="s">
        <v>159</v>
      </c>
      <c r="U22" s="21">
        <v>1</v>
      </c>
      <c r="V22" s="21">
        <v>1</v>
      </c>
      <c r="W22" s="24">
        <f t="shared" si="0"/>
        <v>346.52497254489134</v>
      </c>
      <c r="X22" s="24">
        <f t="shared" si="1"/>
        <v>64.108333333333334</v>
      </c>
      <c r="Y22" s="22">
        <f>AB22/10</f>
        <v>10</v>
      </c>
      <c r="Z22" s="24">
        <f t="shared" si="2"/>
        <v>3465.2497254489135</v>
      </c>
      <c r="AA22" s="24">
        <f t="shared" si="3"/>
        <v>641.08333333333337</v>
      </c>
      <c r="AB22" s="22">
        <v>100</v>
      </c>
      <c r="AC22" s="22">
        <v>10</v>
      </c>
      <c r="AD22" s="22">
        <v>3.5</v>
      </c>
      <c r="AE22" s="21" t="s">
        <v>160</v>
      </c>
      <c r="AF22" s="21">
        <v>1</v>
      </c>
      <c r="AG22" s="22">
        <v>1</v>
      </c>
      <c r="AH22" s="24">
        <f t="shared" si="4"/>
        <v>3159.2325000000001</v>
      </c>
      <c r="AI22" s="25">
        <f t="shared" si="5"/>
        <v>7850</v>
      </c>
      <c r="AJ22" s="21">
        <v>7850</v>
      </c>
      <c r="AK22" s="21">
        <v>100</v>
      </c>
      <c r="AL22" s="22" t="s">
        <v>161</v>
      </c>
      <c r="AM22" s="22">
        <v>0.22</v>
      </c>
      <c r="AN22" s="22" t="s">
        <v>168</v>
      </c>
      <c r="AO22" s="22" t="s">
        <v>168</v>
      </c>
      <c r="AP22" s="22" t="s">
        <v>169</v>
      </c>
      <c r="AQ22" s="22" t="str">
        <f t="shared" si="6"/>
        <v>Microphytoplankton</v>
      </c>
      <c r="AR22" s="22">
        <v>0</v>
      </c>
      <c r="AS22" s="22">
        <v>0</v>
      </c>
      <c r="AT22" s="22">
        <v>0</v>
      </c>
      <c r="AU22" s="22">
        <v>1</v>
      </c>
      <c r="AV22" s="22">
        <v>1</v>
      </c>
      <c r="AW22" s="22">
        <v>0</v>
      </c>
      <c r="AX22" s="22">
        <v>0</v>
      </c>
      <c r="AY22" s="22">
        <v>1</v>
      </c>
    </row>
    <row r="23" spans="1:57">
      <c r="A23" s="22" t="s">
        <v>34</v>
      </c>
      <c r="B23" s="22" t="s">
        <v>149</v>
      </c>
      <c r="C23" s="22" t="s">
        <v>150</v>
      </c>
      <c r="D23" s="23" t="s">
        <v>151</v>
      </c>
      <c r="E23" s="22" t="s">
        <v>61</v>
      </c>
      <c r="F23" s="22" t="s">
        <v>152</v>
      </c>
      <c r="G23" s="22" t="s">
        <v>60</v>
      </c>
      <c r="H23" s="22" t="s">
        <v>226</v>
      </c>
      <c r="I23" s="22" t="s">
        <v>34</v>
      </c>
      <c r="J23" s="22" t="s">
        <v>227</v>
      </c>
      <c r="N23" s="22" t="s">
        <v>228</v>
      </c>
      <c r="O23" s="22" t="s">
        <v>158</v>
      </c>
      <c r="P23" s="21">
        <v>10263</v>
      </c>
      <c r="Q23" s="22">
        <v>2</v>
      </c>
      <c r="R23" s="22">
        <v>2</v>
      </c>
      <c r="S23" s="22">
        <v>2</v>
      </c>
      <c r="T23" s="21" t="s">
        <v>159</v>
      </c>
      <c r="U23" s="21">
        <v>1</v>
      </c>
      <c r="V23" s="21">
        <v>1</v>
      </c>
      <c r="W23" s="24">
        <f t="shared" si="0"/>
        <v>46.59880302207403</v>
      </c>
      <c r="X23" s="24">
        <f t="shared" si="1"/>
        <v>4.1866666666666665</v>
      </c>
      <c r="Y23" s="22">
        <v>50</v>
      </c>
      <c r="Z23" s="24">
        <f t="shared" si="2"/>
        <v>2329.9401511037013</v>
      </c>
      <c r="AA23" s="24">
        <f t="shared" si="3"/>
        <v>209.33333333333331</v>
      </c>
      <c r="AB23" s="22">
        <v>50</v>
      </c>
      <c r="AC23" s="22">
        <v>50</v>
      </c>
      <c r="AD23" s="22">
        <v>50</v>
      </c>
      <c r="AE23" s="21" t="s">
        <v>159</v>
      </c>
      <c r="AF23" s="21">
        <v>0.1</v>
      </c>
      <c r="AG23" s="22">
        <v>1</v>
      </c>
      <c r="AH23" s="24">
        <f>(4*3.14*(((AB23^1.6*AC23^1.6+AB23^1.6*AD23^1.6+AC23^1.6+AD23^1.6)/3)^(1/1.6)))*(1/AG23)</f>
        <v>24400.082151651244</v>
      </c>
      <c r="AI23" s="24">
        <f>3.14/6*AB23*AC23*AD23*AF23</f>
        <v>6541.666666666667</v>
      </c>
      <c r="AJ23" s="21">
        <v>209.33333333333331</v>
      </c>
      <c r="AK23" s="21">
        <v>100</v>
      </c>
      <c r="AL23" s="22" t="s">
        <v>161</v>
      </c>
      <c r="AM23" s="22">
        <v>0.22</v>
      </c>
      <c r="AN23" s="22" t="s">
        <v>229</v>
      </c>
      <c r="AO23" s="22" t="s">
        <v>229</v>
      </c>
      <c r="AP23" s="22" t="s">
        <v>230</v>
      </c>
      <c r="AQ23" s="22" t="str">
        <f t="shared" si="6"/>
        <v>Microphytoplankton</v>
      </c>
      <c r="AR23" s="22">
        <v>0</v>
      </c>
      <c r="AS23" s="22">
        <v>0</v>
      </c>
      <c r="AT23" s="22">
        <v>0</v>
      </c>
      <c r="AU23" s="22">
        <v>1</v>
      </c>
      <c r="AV23" s="22">
        <v>0</v>
      </c>
      <c r="AW23" s="22">
        <v>0</v>
      </c>
      <c r="AX23" s="22">
        <v>0</v>
      </c>
      <c r="AY23" s="22">
        <v>1</v>
      </c>
    </row>
    <row r="24" spans="1:57">
      <c r="A24" s="21" t="s">
        <v>231</v>
      </c>
      <c r="B24" s="22" t="s">
        <v>149</v>
      </c>
      <c r="C24" s="22" t="s">
        <v>150</v>
      </c>
      <c r="D24" s="23" t="s">
        <v>151</v>
      </c>
      <c r="E24" s="22" t="s">
        <v>61</v>
      </c>
      <c r="F24" s="22" t="s">
        <v>152</v>
      </c>
      <c r="G24" s="22" t="s">
        <v>60</v>
      </c>
      <c r="H24" s="22" t="s">
        <v>226</v>
      </c>
      <c r="I24" s="22" t="s">
        <v>34</v>
      </c>
      <c r="J24" s="22" t="s">
        <v>232</v>
      </c>
      <c r="N24" s="22" t="s">
        <v>233</v>
      </c>
      <c r="O24" s="22" t="s">
        <v>158</v>
      </c>
      <c r="P24" s="21">
        <v>11712</v>
      </c>
      <c r="Q24" s="21">
        <v>3.1</v>
      </c>
      <c r="R24" s="21">
        <v>3.1</v>
      </c>
      <c r="S24" s="21">
        <v>3.1</v>
      </c>
      <c r="T24" s="21" t="s">
        <v>159</v>
      </c>
      <c r="U24" s="21">
        <v>1</v>
      </c>
      <c r="V24" s="21">
        <v>1</v>
      </c>
      <c r="W24" s="24">
        <f t="shared" si="0"/>
        <v>102.98800585172316</v>
      </c>
      <c r="X24" s="24">
        <f t="shared" si="1"/>
        <v>15.590623333333335</v>
      </c>
      <c r="Y24" s="21">
        <v>96</v>
      </c>
      <c r="Z24" s="24">
        <f t="shared" si="2"/>
        <v>9886.8485617654223</v>
      </c>
      <c r="AA24" s="24">
        <f t="shared" si="3"/>
        <v>1496.6998400000002</v>
      </c>
      <c r="AB24" s="21">
        <v>70</v>
      </c>
      <c r="AC24" s="21">
        <v>70</v>
      </c>
      <c r="AD24" s="21">
        <v>70</v>
      </c>
      <c r="AE24" s="21" t="s">
        <v>159</v>
      </c>
      <c r="AF24" s="21">
        <v>0.1</v>
      </c>
      <c r="AG24" s="22">
        <v>1</v>
      </c>
      <c r="AH24" s="24">
        <f>(4*3.14*(((AB24^1.6*AC24^1.6+AB24^1.6*AD24^1.6+AC24^1.6+AD24^1.6)/3)^(1/1.6)))*(1/AG24)</f>
        <v>47800.40306583116</v>
      </c>
      <c r="AI24" s="24">
        <f>3.14/6*AB24*AC24*AD24*AF24</f>
        <v>17950.333333333336</v>
      </c>
      <c r="AJ24" s="21">
        <v>1497.5</v>
      </c>
      <c r="AK24" s="21">
        <v>80</v>
      </c>
      <c r="AL24" s="22" t="s">
        <v>161</v>
      </c>
      <c r="AM24" s="22">
        <v>0.22</v>
      </c>
      <c r="AN24" s="22" t="s">
        <v>229</v>
      </c>
      <c r="AO24" s="22" t="s">
        <v>229</v>
      </c>
      <c r="AP24" s="22" t="s">
        <v>230</v>
      </c>
      <c r="AQ24" s="22" t="str">
        <f t="shared" si="6"/>
        <v>Microphytoplankton</v>
      </c>
      <c r="AR24" s="22">
        <v>0</v>
      </c>
      <c r="AS24" s="22">
        <v>0</v>
      </c>
      <c r="AT24" s="22">
        <v>0</v>
      </c>
      <c r="AU24" s="22">
        <v>1</v>
      </c>
      <c r="AV24" s="22">
        <v>0</v>
      </c>
      <c r="AW24" s="22">
        <v>0</v>
      </c>
      <c r="AX24" s="22">
        <v>0</v>
      </c>
      <c r="AY24" s="22">
        <v>1</v>
      </c>
      <c r="AZ24" s="22">
        <v>0</v>
      </c>
      <c r="BA24" s="22">
        <v>1</v>
      </c>
      <c r="BB24" s="22">
        <v>2</v>
      </c>
      <c r="BC24" s="22">
        <v>5</v>
      </c>
      <c r="BD24" s="22">
        <v>2</v>
      </c>
      <c r="BE24" s="22">
        <v>0</v>
      </c>
    </row>
    <row r="25" spans="1:57">
      <c r="A25" s="21" t="s">
        <v>234</v>
      </c>
      <c r="B25" s="22" t="s">
        <v>149</v>
      </c>
      <c r="C25" s="22" t="s">
        <v>150</v>
      </c>
      <c r="D25" s="23" t="s">
        <v>151</v>
      </c>
      <c r="E25" s="22" t="s">
        <v>61</v>
      </c>
      <c r="F25" s="22" t="s">
        <v>152</v>
      </c>
      <c r="G25" s="22" t="s">
        <v>60</v>
      </c>
      <c r="H25" s="22" t="s">
        <v>226</v>
      </c>
      <c r="I25" s="22" t="s">
        <v>34</v>
      </c>
      <c r="J25" s="22" t="s">
        <v>235</v>
      </c>
      <c r="N25" s="22" t="s">
        <v>236</v>
      </c>
      <c r="O25" s="22" t="s">
        <v>158</v>
      </c>
      <c r="P25" s="21">
        <v>11709</v>
      </c>
      <c r="Q25" s="21">
        <v>1.7</v>
      </c>
      <c r="R25" s="21">
        <v>1.7</v>
      </c>
      <c r="S25" s="21">
        <v>1.7</v>
      </c>
      <c r="T25" s="21" t="s">
        <v>159</v>
      </c>
      <c r="U25" s="21">
        <v>1</v>
      </c>
      <c r="V25" s="21">
        <v>1</v>
      </c>
      <c r="W25" s="24">
        <f t="shared" si="0"/>
        <v>35.196965634279515</v>
      </c>
      <c r="X25" s="24">
        <f t="shared" si="1"/>
        <v>2.5711366666666664</v>
      </c>
      <c r="Y25" s="21">
        <v>70</v>
      </c>
      <c r="Z25" s="24">
        <f t="shared" si="2"/>
        <v>2463.7875943995659</v>
      </c>
      <c r="AA25" s="24">
        <f t="shared" si="3"/>
        <v>179.97956666666664</v>
      </c>
      <c r="AB25" s="21">
        <v>50</v>
      </c>
      <c r="AC25" s="21">
        <v>50</v>
      </c>
      <c r="AD25" s="21">
        <v>50</v>
      </c>
      <c r="AE25" s="21" t="s">
        <v>159</v>
      </c>
      <c r="AF25" s="21">
        <v>0.1</v>
      </c>
      <c r="AG25" s="22">
        <v>1</v>
      </c>
      <c r="AH25" s="24">
        <f>(4*3.14*(((AB25^1.6*AC25^1.6+AB25^1.6*AD25^1.6+AC25^1.6+AD25^1.6)/3)^(1/1.6)))*(1/AG25)</f>
        <v>24400.082151651244</v>
      </c>
      <c r="AI25" s="24">
        <f>3.14/6*AB25*AC25*AD25*AF25</f>
        <v>6541.666666666667</v>
      </c>
      <c r="AJ25" s="21">
        <v>179.97956666666664</v>
      </c>
      <c r="AK25" s="21">
        <v>50</v>
      </c>
      <c r="AL25" s="22" t="s">
        <v>161</v>
      </c>
      <c r="AM25" s="22">
        <v>0.22</v>
      </c>
      <c r="AN25" s="22" t="s">
        <v>229</v>
      </c>
      <c r="AO25" s="22" t="s">
        <v>229</v>
      </c>
      <c r="AP25" s="22" t="s">
        <v>230</v>
      </c>
      <c r="AQ25" s="22" t="str">
        <f t="shared" si="6"/>
        <v>Microphytoplankton</v>
      </c>
      <c r="AR25" s="22">
        <v>0</v>
      </c>
      <c r="AS25" s="22">
        <v>0</v>
      </c>
      <c r="AT25" s="22">
        <v>0</v>
      </c>
      <c r="AU25" s="22">
        <v>1</v>
      </c>
      <c r="AV25" s="22">
        <v>0</v>
      </c>
      <c r="AW25" s="22">
        <v>0</v>
      </c>
      <c r="AX25" s="22">
        <v>0</v>
      </c>
      <c r="AY25" s="22">
        <v>1</v>
      </c>
    </row>
    <row r="26" spans="1:57">
      <c r="A26" s="22" t="s">
        <v>237</v>
      </c>
      <c r="B26" s="22" t="s">
        <v>149</v>
      </c>
      <c r="C26" s="22" t="s">
        <v>150</v>
      </c>
      <c r="D26" s="23" t="s">
        <v>151</v>
      </c>
      <c r="E26" s="22" t="s">
        <v>61</v>
      </c>
      <c r="F26" s="22" t="s">
        <v>152</v>
      </c>
      <c r="G26" s="22" t="s">
        <v>60</v>
      </c>
      <c r="H26" s="22" t="s">
        <v>226</v>
      </c>
      <c r="I26" s="22" t="s">
        <v>34</v>
      </c>
      <c r="J26" s="22" t="s">
        <v>238</v>
      </c>
      <c r="N26" s="22" t="s">
        <v>239</v>
      </c>
      <c r="O26" s="22" t="s">
        <v>158</v>
      </c>
      <c r="P26" s="22">
        <v>10670</v>
      </c>
      <c r="Q26" s="21">
        <v>0.75</v>
      </c>
      <c r="R26" s="21">
        <v>0.75</v>
      </c>
      <c r="S26" s="21">
        <v>0.75</v>
      </c>
      <c r="T26" s="21" t="s">
        <v>159</v>
      </c>
      <c r="U26" s="21">
        <v>1</v>
      </c>
      <c r="V26" s="21">
        <v>1</v>
      </c>
      <c r="W26" s="24">
        <f t="shared" si="0"/>
        <v>9.9264553816794727</v>
      </c>
      <c r="X26" s="24">
        <f t="shared" si="1"/>
        <v>0.22078124999999996</v>
      </c>
      <c r="Y26" s="21">
        <v>4000</v>
      </c>
      <c r="Z26" s="24">
        <f t="shared" si="2"/>
        <v>39705.821526717889</v>
      </c>
      <c r="AA26" s="24">
        <f t="shared" si="3"/>
        <v>883.12499999999977</v>
      </c>
      <c r="AB26" s="21">
        <v>70</v>
      </c>
      <c r="AC26" s="21">
        <v>70</v>
      </c>
      <c r="AD26" s="21">
        <v>70</v>
      </c>
      <c r="AE26" s="21" t="s">
        <v>159</v>
      </c>
      <c r="AF26" s="21">
        <v>0.1</v>
      </c>
      <c r="AG26" s="22">
        <v>1</v>
      </c>
      <c r="AH26" s="24">
        <f>(4*3.14*(((AB26^1.6*AC26^1.6+AB26^1.6*AD26^1.6+AC26^1.6+AD26^1.6)/3)^(1/1.6)))*(1/AG26)</f>
        <v>47800.40306583116</v>
      </c>
      <c r="AI26" s="24">
        <f>3.14/6*AB26*AC26*AD26*AF26</f>
        <v>17950.333333333336</v>
      </c>
      <c r="AJ26" s="21">
        <v>17950.333333333332</v>
      </c>
      <c r="AK26" s="21">
        <v>70</v>
      </c>
      <c r="AL26" s="22" t="s">
        <v>161</v>
      </c>
      <c r="AM26" s="22">
        <v>0.22</v>
      </c>
      <c r="AN26" s="22" t="s">
        <v>229</v>
      </c>
      <c r="AO26" s="22" t="s">
        <v>229</v>
      </c>
      <c r="AP26" s="22" t="s">
        <v>230</v>
      </c>
      <c r="AQ26" s="22" t="str">
        <f t="shared" si="6"/>
        <v>Microphytoplankton</v>
      </c>
      <c r="AR26" s="22">
        <v>0</v>
      </c>
      <c r="AS26" s="22">
        <v>0</v>
      </c>
      <c r="AT26" s="22">
        <v>0</v>
      </c>
      <c r="AU26" s="22">
        <v>1</v>
      </c>
      <c r="AV26" s="22">
        <v>0</v>
      </c>
      <c r="AW26" s="22">
        <v>0</v>
      </c>
      <c r="AX26" s="22">
        <v>0</v>
      </c>
      <c r="AY26" s="22">
        <v>1</v>
      </c>
    </row>
    <row r="27" spans="1:57">
      <c r="A27" s="22" t="s">
        <v>240</v>
      </c>
      <c r="B27" s="22" t="s">
        <v>149</v>
      </c>
      <c r="C27" s="22" t="s">
        <v>150</v>
      </c>
      <c r="D27" s="23" t="s">
        <v>151</v>
      </c>
      <c r="E27" s="22" t="s">
        <v>61</v>
      </c>
      <c r="F27" s="22" t="s">
        <v>152</v>
      </c>
      <c r="G27" s="22" t="s">
        <v>60</v>
      </c>
      <c r="H27" s="22" t="s">
        <v>226</v>
      </c>
      <c r="I27" s="22" t="s">
        <v>34</v>
      </c>
      <c r="J27" s="22" t="s">
        <v>238</v>
      </c>
      <c r="K27" s="22" t="s">
        <v>241</v>
      </c>
      <c r="L27" s="22" t="s">
        <v>242</v>
      </c>
      <c r="N27" s="22" t="s">
        <v>243</v>
      </c>
      <c r="O27" s="22" t="s">
        <v>158</v>
      </c>
      <c r="P27" s="22">
        <v>10673</v>
      </c>
      <c r="Q27" s="21">
        <v>0.75</v>
      </c>
      <c r="R27" s="21">
        <v>0.75</v>
      </c>
      <c r="S27" s="21">
        <v>0.75</v>
      </c>
      <c r="T27" s="21" t="s">
        <v>159</v>
      </c>
      <c r="U27" s="21">
        <v>1</v>
      </c>
      <c r="V27" s="21">
        <v>1</v>
      </c>
      <c r="W27" s="24">
        <f t="shared" si="0"/>
        <v>9.9264553816794727</v>
      </c>
      <c r="X27" s="24">
        <f t="shared" si="1"/>
        <v>0.22078124999999996</v>
      </c>
      <c r="Y27" s="21">
        <v>20</v>
      </c>
      <c r="Z27" s="24">
        <f t="shared" si="2"/>
        <v>198.52910763358946</v>
      </c>
      <c r="AA27" s="24">
        <f t="shared" si="3"/>
        <v>4.4156249999999995</v>
      </c>
      <c r="AB27" s="21">
        <v>10</v>
      </c>
      <c r="AC27" s="21">
        <v>10</v>
      </c>
      <c r="AD27" s="21">
        <v>10</v>
      </c>
      <c r="AE27" s="21" t="s">
        <v>159</v>
      </c>
      <c r="AF27" s="21">
        <v>0.1</v>
      </c>
      <c r="AG27" s="22">
        <v>1</v>
      </c>
      <c r="AH27" s="24">
        <f>(4*3.14*(((AB27^1.6*AC27^1.6+AB27^1.6*AD27^1.6+AC27^1.6+AD27^1.6)/3)^(1/1.6)))*(1/AG27)</f>
        <v>990.0713501282612</v>
      </c>
      <c r="AI27" s="24">
        <f>3.14/6*AB27*AC27*AD27*AF27</f>
        <v>52.333333333333343</v>
      </c>
      <c r="AJ27" s="21">
        <v>52.333333333333343</v>
      </c>
      <c r="AK27" s="21">
        <v>10</v>
      </c>
      <c r="AL27" s="22" t="s">
        <v>161</v>
      </c>
      <c r="AM27" s="22">
        <v>0.22</v>
      </c>
      <c r="AN27" s="22" t="s">
        <v>229</v>
      </c>
      <c r="AO27" s="22" t="s">
        <v>229</v>
      </c>
      <c r="AP27" s="22" t="s">
        <v>230</v>
      </c>
      <c r="AQ27" s="22" t="str">
        <f t="shared" si="6"/>
        <v>Nanophytoplankton</v>
      </c>
      <c r="AR27" s="22">
        <v>0</v>
      </c>
      <c r="AS27" s="22">
        <v>0</v>
      </c>
      <c r="AT27" s="22">
        <v>0</v>
      </c>
      <c r="AU27" s="22">
        <v>1</v>
      </c>
      <c r="AV27" s="22">
        <v>0</v>
      </c>
      <c r="AW27" s="22">
        <v>0</v>
      </c>
      <c r="AX27" s="22">
        <v>0</v>
      </c>
      <c r="AY27" s="22">
        <v>1</v>
      </c>
    </row>
    <row r="28" spans="1:57">
      <c r="A28" s="22" t="s">
        <v>244</v>
      </c>
      <c r="B28" s="22" t="s">
        <v>149</v>
      </c>
      <c r="C28" s="22" t="s">
        <v>150</v>
      </c>
      <c r="D28" s="23" t="s">
        <v>151</v>
      </c>
      <c r="E28" s="22" t="s">
        <v>61</v>
      </c>
      <c r="F28" s="22" t="s">
        <v>152</v>
      </c>
      <c r="G28" s="22" t="s">
        <v>60</v>
      </c>
      <c r="H28" s="22" t="s">
        <v>226</v>
      </c>
      <c r="I28" s="22" t="s">
        <v>34</v>
      </c>
      <c r="J28" s="22" t="s">
        <v>238</v>
      </c>
      <c r="K28" s="22" t="s">
        <v>184</v>
      </c>
      <c r="L28" s="22" t="s">
        <v>245</v>
      </c>
      <c r="N28" s="22" t="s">
        <v>243</v>
      </c>
      <c r="O28" s="22" t="s">
        <v>158</v>
      </c>
      <c r="P28" s="21">
        <v>10671</v>
      </c>
      <c r="Q28" s="21">
        <v>0.75</v>
      </c>
      <c r="R28" s="21">
        <v>0.75</v>
      </c>
      <c r="S28" s="21">
        <v>0.75</v>
      </c>
      <c r="T28" s="21" t="s">
        <v>246</v>
      </c>
      <c r="U28" s="21">
        <v>1</v>
      </c>
      <c r="V28" s="21">
        <v>1</v>
      </c>
      <c r="W28" s="25">
        <f>4*3.14*(R28/2)*(Q28/2)/V28</f>
        <v>1.7662499999999999</v>
      </c>
      <c r="X28" s="25">
        <f>(3.14/6*(Q28*S28*R28))*U28</f>
        <v>0.22078124999999998</v>
      </c>
      <c r="Y28" s="22">
        <v>1</v>
      </c>
      <c r="Z28" s="24">
        <f t="shared" si="2"/>
        <v>1.7662499999999999</v>
      </c>
      <c r="AA28" s="24">
        <f t="shared" si="3"/>
        <v>0.22078124999999998</v>
      </c>
      <c r="AF28" s="21" t="s">
        <v>247</v>
      </c>
      <c r="AJ28" s="21">
        <v>0.22078124999999998</v>
      </c>
      <c r="AK28" s="21">
        <v>0.75</v>
      </c>
      <c r="AL28" s="22" t="s">
        <v>161</v>
      </c>
      <c r="AM28" s="22">
        <v>0.22</v>
      </c>
      <c r="AN28" s="22" t="s">
        <v>229</v>
      </c>
      <c r="AO28" s="22" t="s">
        <v>229</v>
      </c>
      <c r="AP28" s="22" t="s">
        <v>230</v>
      </c>
      <c r="AQ28" s="22" t="str">
        <f t="shared" si="6"/>
        <v>Nanophytoplankton</v>
      </c>
      <c r="AR28" s="22">
        <v>0</v>
      </c>
      <c r="AS28" s="22">
        <v>0</v>
      </c>
      <c r="AT28" s="22">
        <v>0</v>
      </c>
      <c r="AU28" s="22">
        <v>1</v>
      </c>
      <c r="AV28" s="22">
        <v>0</v>
      </c>
      <c r="AW28" s="22">
        <v>0</v>
      </c>
      <c r="AX28" s="22">
        <v>0</v>
      </c>
      <c r="AY28" s="22">
        <v>1</v>
      </c>
    </row>
    <row r="29" spans="1:57">
      <c r="A29" s="22" t="s">
        <v>248</v>
      </c>
      <c r="B29" s="22" t="s">
        <v>149</v>
      </c>
      <c r="C29" s="22" t="s">
        <v>150</v>
      </c>
      <c r="D29" s="23" t="s">
        <v>151</v>
      </c>
      <c r="E29" s="22" t="s">
        <v>61</v>
      </c>
      <c r="F29" s="22" t="s">
        <v>152</v>
      </c>
      <c r="G29" s="22" t="s">
        <v>60</v>
      </c>
      <c r="H29" s="22" t="s">
        <v>226</v>
      </c>
      <c r="I29" s="22" t="s">
        <v>34</v>
      </c>
      <c r="J29" s="22" t="s">
        <v>249</v>
      </c>
      <c r="N29" s="22" t="s">
        <v>239</v>
      </c>
      <c r="O29" s="22" t="s">
        <v>158</v>
      </c>
      <c r="P29" s="22">
        <v>11711</v>
      </c>
      <c r="Q29" s="21">
        <v>2</v>
      </c>
      <c r="R29" s="21">
        <v>2</v>
      </c>
      <c r="S29" s="21">
        <v>2</v>
      </c>
      <c r="T29" s="21" t="s">
        <v>159</v>
      </c>
      <c r="U29" s="21">
        <v>1</v>
      </c>
      <c r="V29" s="21">
        <v>1</v>
      </c>
      <c r="W29" s="24">
        <f>(4*3.14*(((Q29^1.6*R29^1.6+Q29^1.6*S29^1.6+R29^1.6+S29^1.6)/3)^(1/1.6)))*(1/V29)</f>
        <v>46.59880302207403</v>
      </c>
      <c r="X29" s="24">
        <f>3.14/6*Q29*R29*S29*U29</f>
        <v>4.1866666666666665</v>
      </c>
      <c r="Y29" s="21">
        <v>75</v>
      </c>
      <c r="Z29" s="24">
        <f t="shared" si="2"/>
        <v>3494.9102266555524</v>
      </c>
      <c r="AA29" s="24">
        <f t="shared" si="3"/>
        <v>314</v>
      </c>
      <c r="AB29" s="21">
        <v>15</v>
      </c>
      <c r="AC29" s="21">
        <v>15</v>
      </c>
      <c r="AD29" s="21">
        <v>15</v>
      </c>
      <c r="AE29" s="21" t="s">
        <v>159</v>
      </c>
      <c r="AF29" s="21">
        <v>0.1</v>
      </c>
      <c r="AG29" s="22">
        <v>1</v>
      </c>
      <c r="AH29" s="24">
        <f>(4*3.14*(((AB29^1.6*AC29^1.6+AB29^1.6*AD29^1.6+AC29^1.6+AD29^1.6)/3)^(1/1.6)))*(1/AG29)</f>
        <v>2211.3412553863004</v>
      </c>
      <c r="AI29" s="24">
        <f>3.14/6*AB29*AC29*AD29*AF29</f>
        <v>176.625</v>
      </c>
      <c r="AJ29" s="21">
        <v>314.2</v>
      </c>
      <c r="AK29" s="21">
        <v>15</v>
      </c>
      <c r="AL29" s="22" t="s">
        <v>161</v>
      </c>
      <c r="AM29" s="22">
        <v>0.22</v>
      </c>
      <c r="AN29" s="22" t="s">
        <v>229</v>
      </c>
      <c r="AO29" s="22" t="s">
        <v>229</v>
      </c>
      <c r="AP29" s="22" t="s">
        <v>230</v>
      </c>
      <c r="AQ29" s="22" t="str">
        <f t="shared" si="6"/>
        <v>Nanophytoplankton</v>
      </c>
      <c r="AR29" s="22">
        <v>0</v>
      </c>
      <c r="AS29" s="22">
        <v>0</v>
      </c>
      <c r="AT29" s="22">
        <v>0</v>
      </c>
      <c r="AU29" s="22">
        <v>1</v>
      </c>
      <c r="AV29" s="22">
        <v>0</v>
      </c>
      <c r="AW29" s="22">
        <v>0</v>
      </c>
      <c r="AX29" s="22">
        <v>0</v>
      </c>
      <c r="AY29" s="22">
        <v>1</v>
      </c>
    </row>
    <row r="30" spans="1:57">
      <c r="A30" s="22" t="s">
        <v>250</v>
      </c>
      <c r="B30" s="22" t="s">
        <v>149</v>
      </c>
      <c r="C30" s="22" t="s">
        <v>150</v>
      </c>
      <c r="D30" s="23" t="s">
        <v>151</v>
      </c>
      <c r="E30" s="22" t="s">
        <v>61</v>
      </c>
      <c r="F30" s="22" t="s">
        <v>152</v>
      </c>
      <c r="G30" s="22" t="s">
        <v>60</v>
      </c>
      <c r="H30" s="22" t="s">
        <v>226</v>
      </c>
      <c r="I30" s="22" t="s">
        <v>34</v>
      </c>
      <c r="J30" s="22" t="s">
        <v>249</v>
      </c>
      <c r="K30" s="22" t="s">
        <v>241</v>
      </c>
      <c r="L30" s="22" t="s">
        <v>242</v>
      </c>
      <c r="N30" s="22" t="s">
        <v>251</v>
      </c>
      <c r="O30" s="22" t="s">
        <v>158</v>
      </c>
      <c r="P30" s="22">
        <v>11713</v>
      </c>
      <c r="Q30" s="21">
        <v>2</v>
      </c>
      <c r="R30" s="21">
        <v>2</v>
      </c>
      <c r="S30" s="21">
        <v>2</v>
      </c>
      <c r="T30" s="21" t="s">
        <v>159</v>
      </c>
      <c r="U30" s="21">
        <v>1</v>
      </c>
      <c r="V30" s="21">
        <v>1</v>
      </c>
      <c r="W30" s="24">
        <f>(4*3.14*(((Q30^1.6*R30^1.6+Q30^1.6*S30^1.6+R30^1.6+S30^1.6)/3)^(1/1.6)))*(1/V30)</f>
        <v>46.59880302207403</v>
      </c>
      <c r="X30" s="24">
        <f>3.14/6*Q30*R30*S30*U30</f>
        <v>4.1866666666666665</v>
      </c>
      <c r="Y30" s="21">
        <v>35</v>
      </c>
      <c r="Z30" s="24">
        <f t="shared" si="2"/>
        <v>1630.9581057725911</v>
      </c>
      <c r="AA30" s="24">
        <f t="shared" si="3"/>
        <v>146.53333333333333</v>
      </c>
      <c r="AB30" s="21">
        <v>10</v>
      </c>
      <c r="AC30" s="21">
        <v>10</v>
      </c>
      <c r="AD30" s="21">
        <v>10</v>
      </c>
      <c r="AE30" s="21" t="s">
        <v>159</v>
      </c>
      <c r="AF30" s="21">
        <v>0.1</v>
      </c>
      <c r="AG30" s="22">
        <v>1</v>
      </c>
      <c r="AH30" s="24">
        <f>(4*3.14*(((AB30^1.6*AC30^1.6+AB30^1.6*AD30^1.6+AC30^1.6+AD30^1.6)/3)^(1/1.6)))*(1/AG30)</f>
        <v>990.0713501282612</v>
      </c>
      <c r="AI30" s="24">
        <f>3.14/6*AB30*AC30*AD30*AF30</f>
        <v>52.333333333333343</v>
      </c>
      <c r="AJ30" s="21">
        <v>157</v>
      </c>
      <c r="AK30" s="21">
        <v>10</v>
      </c>
      <c r="AL30" s="22" t="s">
        <v>252</v>
      </c>
      <c r="AM30" s="22">
        <v>0.22</v>
      </c>
      <c r="AN30" s="22" t="s">
        <v>229</v>
      </c>
      <c r="AO30" s="22" t="s">
        <v>229</v>
      </c>
      <c r="AP30" s="22" t="s">
        <v>230</v>
      </c>
      <c r="AQ30" s="22" t="str">
        <f t="shared" si="6"/>
        <v>Nanophytoplankton</v>
      </c>
      <c r="AR30" s="22">
        <v>0</v>
      </c>
      <c r="AS30" s="22">
        <v>0</v>
      </c>
      <c r="AT30" s="22">
        <v>0</v>
      </c>
      <c r="AU30" s="22">
        <v>1</v>
      </c>
      <c r="AV30" s="22">
        <v>0</v>
      </c>
      <c r="AW30" s="22">
        <v>0</v>
      </c>
      <c r="AX30" s="22">
        <v>0</v>
      </c>
      <c r="AY30" s="22">
        <v>1</v>
      </c>
    </row>
    <row r="31" spans="1:57">
      <c r="A31" s="21" t="s">
        <v>253</v>
      </c>
      <c r="B31" s="22" t="s">
        <v>149</v>
      </c>
      <c r="C31" s="22" t="s">
        <v>150</v>
      </c>
      <c r="D31" s="23" t="s">
        <v>151</v>
      </c>
      <c r="E31" s="22" t="s">
        <v>61</v>
      </c>
      <c r="F31" s="22" t="s">
        <v>152</v>
      </c>
      <c r="G31" s="22" t="s">
        <v>60</v>
      </c>
      <c r="H31" s="22" t="s">
        <v>226</v>
      </c>
      <c r="I31" s="22" t="s">
        <v>34</v>
      </c>
      <c r="J31" s="22" t="s">
        <v>249</v>
      </c>
      <c r="K31" s="22" t="s">
        <v>175</v>
      </c>
      <c r="L31" s="22" t="s">
        <v>235</v>
      </c>
      <c r="N31" s="22" t="s">
        <v>254</v>
      </c>
      <c r="O31" s="22" t="s">
        <v>158</v>
      </c>
      <c r="P31" s="21">
        <v>10220</v>
      </c>
      <c r="Q31" s="21">
        <v>2</v>
      </c>
      <c r="R31" s="21">
        <v>2</v>
      </c>
      <c r="S31" s="21">
        <v>2</v>
      </c>
      <c r="T31" s="21" t="s">
        <v>159</v>
      </c>
      <c r="U31" s="21">
        <v>1</v>
      </c>
      <c r="V31" s="21">
        <v>1</v>
      </c>
      <c r="W31" s="24">
        <f>(4*3.14*(((Q31^1.6*R31^1.6+Q31^1.6*S31^1.6+R31^1.6+S31^1.6)/3)^(1/1.6)))*(1/V31)</f>
        <v>46.59880302207403</v>
      </c>
      <c r="X31" s="24">
        <f>3.14/6*Q31*R31*S31*U31</f>
        <v>4.1866666666666665</v>
      </c>
      <c r="Y31" s="21">
        <v>1250</v>
      </c>
      <c r="Z31" s="24">
        <f t="shared" si="2"/>
        <v>58248.503777592538</v>
      </c>
      <c r="AA31" s="24">
        <f t="shared" si="3"/>
        <v>5233.333333333333</v>
      </c>
      <c r="AB31" s="21">
        <v>50</v>
      </c>
      <c r="AC31" s="21">
        <v>50</v>
      </c>
      <c r="AD31" s="21">
        <v>50</v>
      </c>
      <c r="AE31" s="21" t="s">
        <v>159</v>
      </c>
      <c r="AF31" s="21">
        <v>0.1</v>
      </c>
      <c r="AG31" s="22">
        <v>1</v>
      </c>
      <c r="AH31" s="24">
        <f>(4*3.14*(((AB31^1.6*AC31^1.6+AB31^1.6*AD31^1.6+AC31^1.6+AD31^1.6)/3)^(1/1.6)))*(1/AG31)</f>
        <v>24400.082151651244</v>
      </c>
      <c r="AI31" s="24">
        <f>3.14/6*AB31*AC31*AD31*AF31</f>
        <v>6541.666666666667</v>
      </c>
      <c r="AJ31" s="21">
        <v>5240</v>
      </c>
      <c r="AK31" s="21">
        <v>100</v>
      </c>
      <c r="AL31" s="22" t="s">
        <v>161</v>
      </c>
      <c r="AM31" s="22">
        <v>0.22</v>
      </c>
      <c r="AN31" s="22" t="s">
        <v>229</v>
      </c>
      <c r="AO31" s="22" t="s">
        <v>229</v>
      </c>
      <c r="AP31" s="22" t="s">
        <v>230</v>
      </c>
      <c r="AQ31" s="22" t="str">
        <f t="shared" si="6"/>
        <v>Microphytoplankton</v>
      </c>
      <c r="AR31" s="22">
        <v>0</v>
      </c>
      <c r="AS31" s="22">
        <v>0</v>
      </c>
      <c r="AT31" s="22">
        <v>0</v>
      </c>
      <c r="AU31" s="22">
        <v>1</v>
      </c>
      <c r="AV31" s="22">
        <v>0</v>
      </c>
      <c r="AW31" s="22">
        <v>0</v>
      </c>
      <c r="AX31" s="22">
        <v>0</v>
      </c>
      <c r="AY31" s="22">
        <v>1</v>
      </c>
    </row>
    <row r="32" spans="1:57">
      <c r="A32" s="21" t="s">
        <v>255</v>
      </c>
      <c r="B32" s="22" t="s">
        <v>149</v>
      </c>
      <c r="C32" s="22" t="s">
        <v>150</v>
      </c>
      <c r="D32" s="23" t="s">
        <v>151</v>
      </c>
      <c r="E32" s="22" t="s">
        <v>61</v>
      </c>
      <c r="F32" s="22" t="s">
        <v>152</v>
      </c>
      <c r="G32" s="22" t="s">
        <v>60</v>
      </c>
      <c r="H32" s="22" t="s">
        <v>226</v>
      </c>
      <c r="I32" s="22" t="s">
        <v>34</v>
      </c>
      <c r="J32" s="22" t="s">
        <v>256</v>
      </c>
      <c r="N32" s="22" t="s">
        <v>257</v>
      </c>
      <c r="O32" s="22" t="s">
        <v>158</v>
      </c>
      <c r="P32" s="21">
        <v>10240</v>
      </c>
      <c r="Q32" s="21">
        <v>4.5</v>
      </c>
      <c r="R32" s="21">
        <v>4.5</v>
      </c>
      <c r="S32" s="21">
        <v>4.5</v>
      </c>
      <c r="T32" s="21" t="s">
        <v>159</v>
      </c>
      <c r="U32" s="21">
        <v>1</v>
      </c>
      <c r="V32" s="21">
        <v>1</v>
      </c>
      <c r="W32" s="24">
        <f>(4*3.14*(((Q32^1.6*R32^1.6+Q32^1.6*S32^1.6+R32^1.6+S32^1.6)/3)^(1/1.6)))*(1/V32)</f>
        <v>208.34403784441878</v>
      </c>
      <c r="X32" s="24">
        <f>3.14/6*Q32*R32*S32*U32</f>
        <v>47.688749999999999</v>
      </c>
      <c r="Y32" s="21">
        <v>110</v>
      </c>
      <c r="Z32" s="24">
        <f t="shared" si="2"/>
        <v>22917.844162886067</v>
      </c>
      <c r="AA32" s="24">
        <f t="shared" si="3"/>
        <v>5245.7624999999998</v>
      </c>
      <c r="AB32" s="22">
        <v>100</v>
      </c>
      <c r="AC32" s="21">
        <v>100</v>
      </c>
      <c r="AD32" s="21">
        <v>100</v>
      </c>
      <c r="AE32" s="21" t="s">
        <v>159</v>
      </c>
      <c r="AF32" s="21">
        <v>0.01</v>
      </c>
      <c r="AG32" s="22">
        <v>1</v>
      </c>
      <c r="AH32" s="24">
        <f>(4*3.14*(((AB32^1.6*AC32^1.6+AB32^1.6*AD32^1.6+AC32^1.6+AD32^1.6)/3)^(1/1.6)))*(1/AG32)</f>
        <v>97522.272269543319</v>
      </c>
      <c r="AI32" s="24">
        <f>3.14/6*AB32*AC32*AD32*AF32</f>
        <v>5233.333333333333</v>
      </c>
      <c r="AJ32" s="21">
        <v>5236</v>
      </c>
      <c r="AK32" s="21">
        <v>100</v>
      </c>
      <c r="AL32" s="22" t="s">
        <v>161</v>
      </c>
      <c r="AM32" s="22">
        <v>0.22</v>
      </c>
      <c r="AN32" s="22" t="s">
        <v>229</v>
      </c>
      <c r="AO32" s="22" t="s">
        <v>229</v>
      </c>
      <c r="AP32" s="22" t="s">
        <v>230</v>
      </c>
      <c r="AQ32" s="22" t="str">
        <f t="shared" si="6"/>
        <v>Microphytoplankton</v>
      </c>
      <c r="AR32" s="22">
        <v>0</v>
      </c>
      <c r="AS32" s="22">
        <v>0</v>
      </c>
      <c r="AT32" s="22">
        <v>0</v>
      </c>
      <c r="AU32" s="22">
        <v>1</v>
      </c>
      <c r="AV32" s="22">
        <v>0</v>
      </c>
      <c r="AW32" s="22">
        <v>0</v>
      </c>
      <c r="AX32" s="22">
        <v>0</v>
      </c>
      <c r="AY32" s="22">
        <v>1</v>
      </c>
    </row>
    <row r="33" spans="1:57">
      <c r="A33" s="22" t="s">
        <v>258</v>
      </c>
      <c r="B33" s="22" t="s">
        <v>149</v>
      </c>
      <c r="C33" s="22" t="s">
        <v>150</v>
      </c>
      <c r="D33" s="23" t="s">
        <v>151</v>
      </c>
      <c r="E33" s="22" t="s">
        <v>61</v>
      </c>
      <c r="F33" s="22" t="s">
        <v>152</v>
      </c>
      <c r="G33" s="22" t="s">
        <v>60</v>
      </c>
      <c r="H33" s="22" t="s">
        <v>226</v>
      </c>
      <c r="I33" s="22" t="s">
        <v>34</v>
      </c>
      <c r="J33" s="22" t="s">
        <v>256</v>
      </c>
      <c r="K33" s="22" t="s">
        <v>184</v>
      </c>
      <c r="L33" s="22" t="s">
        <v>245</v>
      </c>
      <c r="N33" s="22" t="s">
        <v>257</v>
      </c>
      <c r="O33" s="22" t="s">
        <v>158</v>
      </c>
      <c r="P33" s="21">
        <v>10241</v>
      </c>
      <c r="Q33" s="21">
        <v>4.5</v>
      </c>
      <c r="R33" s="21">
        <v>4.5</v>
      </c>
      <c r="S33" s="21">
        <v>4.5</v>
      </c>
      <c r="T33" s="21" t="s">
        <v>246</v>
      </c>
      <c r="U33" s="21">
        <v>1</v>
      </c>
      <c r="V33" s="21">
        <v>1</v>
      </c>
      <c r="W33" s="25">
        <f>4*3.14*(R33/2)*(Q33/2)/V33</f>
        <v>63.585000000000001</v>
      </c>
      <c r="X33" s="25">
        <f>(3.14/6*(Q33*S33*R33))*U33</f>
        <v>47.688749999999999</v>
      </c>
      <c r="Y33" s="22">
        <v>1</v>
      </c>
      <c r="Z33" s="24">
        <f t="shared" si="2"/>
        <v>63.585000000000001</v>
      </c>
      <c r="AA33" s="24">
        <f t="shared" si="3"/>
        <v>47.688749999999999</v>
      </c>
      <c r="AF33" s="21" t="s">
        <v>247</v>
      </c>
      <c r="AJ33" s="21">
        <v>47.688749999999999</v>
      </c>
      <c r="AK33" s="21">
        <v>4.5</v>
      </c>
      <c r="AL33" s="22" t="s">
        <v>161</v>
      </c>
      <c r="AM33" s="22">
        <v>0.22</v>
      </c>
      <c r="AN33" s="22" t="s">
        <v>229</v>
      </c>
      <c r="AO33" s="22" t="s">
        <v>229</v>
      </c>
      <c r="AP33" s="22" t="s">
        <v>230</v>
      </c>
      <c r="AQ33" s="22" t="str">
        <f t="shared" si="6"/>
        <v>Nanophytoplankton</v>
      </c>
      <c r="AR33" s="22">
        <v>0</v>
      </c>
      <c r="AS33" s="22">
        <v>0</v>
      </c>
      <c r="AT33" s="22">
        <v>0</v>
      </c>
      <c r="AU33" s="22">
        <v>1</v>
      </c>
      <c r="AV33" s="22">
        <v>0</v>
      </c>
      <c r="AW33" s="22">
        <v>0</v>
      </c>
      <c r="AX33" s="22">
        <v>0</v>
      </c>
      <c r="AY33" s="22">
        <v>1</v>
      </c>
    </row>
    <row r="34" spans="1:57">
      <c r="A34" s="21" t="s">
        <v>259</v>
      </c>
      <c r="B34" s="22" t="s">
        <v>149</v>
      </c>
      <c r="C34" s="22" t="s">
        <v>150</v>
      </c>
      <c r="D34" s="23" t="s">
        <v>151</v>
      </c>
      <c r="E34" s="22" t="s">
        <v>61</v>
      </c>
      <c r="F34" s="22" t="s">
        <v>152</v>
      </c>
      <c r="G34" s="22" t="s">
        <v>60</v>
      </c>
      <c r="H34" s="22" t="s">
        <v>226</v>
      </c>
      <c r="I34" s="22" t="s">
        <v>34</v>
      </c>
      <c r="J34" s="22" t="s">
        <v>260</v>
      </c>
      <c r="N34" s="22" t="s">
        <v>261</v>
      </c>
      <c r="O34" s="22" t="s">
        <v>158</v>
      </c>
      <c r="P34" s="21">
        <v>10675</v>
      </c>
      <c r="Q34" s="22">
        <v>1.5</v>
      </c>
      <c r="R34" s="22">
        <v>1.5</v>
      </c>
      <c r="S34" s="22">
        <v>1.5</v>
      </c>
      <c r="T34" s="21" t="s">
        <v>159</v>
      </c>
      <c r="U34" s="21">
        <v>1</v>
      </c>
      <c r="V34" s="21">
        <v>1</v>
      </c>
      <c r="W34" s="24">
        <f>(4*3.14*(((Q34^1.6*R34^1.6+Q34^1.6*S34^1.6+R34^1.6+S34^1.6)/3)^(1/1.6)))*(1/V34)</f>
        <v>28.52656020435148</v>
      </c>
      <c r="X34" s="24">
        <f>3.14/6*Q34*R34*S34*U34</f>
        <v>1.7662499999999997</v>
      </c>
      <c r="Y34" s="21">
        <v>370</v>
      </c>
      <c r="Z34" s="24">
        <f t="shared" si="2"/>
        <v>10554.827275610047</v>
      </c>
      <c r="AA34" s="24">
        <f t="shared" si="3"/>
        <v>653.51249999999982</v>
      </c>
      <c r="AB34" s="22">
        <v>50</v>
      </c>
      <c r="AC34" s="21">
        <v>50</v>
      </c>
      <c r="AD34" s="21">
        <v>50</v>
      </c>
      <c r="AE34" s="21" t="s">
        <v>159</v>
      </c>
      <c r="AF34" s="21">
        <v>0.01</v>
      </c>
      <c r="AG34" s="22">
        <v>1</v>
      </c>
      <c r="AH34" s="24">
        <f>(4*3.14*(((AB34^1.6*AC34^1.6+AB34^1.6*AD34^1.6+AC34^1.6+AD34^1.6)/3)^(1/1.6)))*(1/AG34)</f>
        <v>24400.082151651244</v>
      </c>
      <c r="AI34" s="24">
        <f>3.14/6*AB34*AC34*AD34*AF34</f>
        <v>654.16666666666663</v>
      </c>
      <c r="AJ34" s="21">
        <v>654.5</v>
      </c>
      <c r="AK34" s="21">
        <v>50</v>
      </c>
      <c r="AL34" s="22" t="s">
        <v>161</v>
      </c>
      <c r="AM34" s="22">
        <v>0.22</v>
      </c>
      <c r="AN34" s="22" t="s">
        <v>229</v>
      </c>
      <c r="AO34" s="22" t="s">
        <v>229</v>
      </c>
      <c r="AP34" s="22" t="s">
        <v>230</v>
      </c>
      <c r="AQ34" s="22" t="str">
        <f t="shared" si="6"/>
        <v>Microphytoplankton</v>
      </c>
      <c r="AR34" s="22">
        <v>0</v>
      </c>
      <c r="AS34" s="22">
        <v>0</v>
      </c>
      <c r="AT34" s="22">
        <v>0</v>
      </c>
      <c r="AU34" s="22">
        <v>1</v>
      </c>
      <c r="AV34" s="22">
        <v>0</v>
      </c>
      <c r="AW34" s="22">
        <v>0</v>
      </c>
      <c r="AX34" s="22">
        <v>0</v>
      </c>
      <c r="AY34" s="22">
        <v>1</v>
      </c>
    </row>
    <row r="35" spans="1:57">
      <c r="A35" s="21" t="s">
        <v>262</v>
      </c>
      <c r="B35" s="22" t="s">
        <v>149</v>
      </c>
      <c r="C35" s="22" t="s">
        <v>150</v>
      </c>
      <c r="D35" s="23" t="s">
        <v>151</v>
      </c>
      <c r="E35" s="22" t="s">
        <v>61</v>
      </c>
      <c r="F35" s="22" t="s">
        <v>152</v>
      </c>
      <c r="G35" s="22" t="s">
        <v>60</v>
      </c>
      <c r="H35" s="22" t="s">
        <v>226</v>
      </c>
      <c r="I35" s="22" t="s">
        <v>34</v>
      </c>
      <c r="J35" s="22" t="s">
        <v>260</v>
      </c>
      <c r="K35" s="22" t="s">
        <v>184</v>
      </c>
      <c r="L35" s="22" t="s">
        <v>263</v>
      </c>
      <c r="N35" s="22" t="s">
        <v>264</v>
      </c>
      <c r="O35" s="22" t="s">
        <v>158</v>
      </c>
      <c r="P35" s="21">
        <v>10677</v>
      </c>
      <c r="Q35" s="22">
        <v>1.5</v>
      </c>
      <c r="R35" s="22">
        <v>1.5</v>
      </c>
      <c r="S35" s="22">
        <v>1.5</v>
      </c>
      <c r="T35" s="21" t="s">
        <v>159</v>
      </c>
      <c r="U35" s="21">
        <v>1</v>
      </c>
      <c r="V35" s="21">
        <v>1</v>
      </c>
      <c r="W35" s="24">
        <f>(4*3.14*(((Q35^1.6*R35^1.6+Q35^1.6*S35^1.6+R35^1.6+S35^1.6)/3)^(1/1.6)))*(1/V35)</f>
        <v>28.52656020435148</v>
      </c>
      <c r="X35" s="24">
        <f>3.14/6*Q35*R35*S35*U35</f>
        <v>1.7662499999999997</v>
      </c>
      <c r="Y35" s="21">
        <v>6</v>
      </c>
      <c r="Z35" s="24">
        <f t="shared" si="2"/>
        <v>171.15936122610887</v>
      </c>
      <c r="AA35" s="24">
        <f t="shared" si="3"/>
        <v>10.597499999999998</v>
      </c>
      <c r="AB35" s="21">
        <v>10</v>
      </c>
      <c r="AC35" s="21">
        <v>10</v>
      </c>
      <c r="AD35" s="21">
        <v>10</v>
      </c>
      <c r="AE35" s="21" t="s">
        <v>159</v>
      </c>
      <c r="AF35" s="21">
        <v>0.02</v>
      </c>
      <c r="AG35" s="22">
        <v>1</v>
      </c>
      <c r="AH35" s="24">
        <f>(4*3.14*(((AB35^1.6*AC35^1.6+AB35^1.6*AD35^1.6+AC35^1.6+AD35^1.6)/3)^(1/1.6)))*(1/AG35)</f>
        <v>990.0713501282612</v>
      </c>
      <c r="AI35" s="24">
        <f>3.14/6*AB35*AC35*AD35*AF35</f>
        <v>10.466666666666667</v>
      </c>
      <c r="AJ35" s="21">
        <v>10.466666666666667</v>
      </c>
      <c r="AK35" s="21">
        <v>10</v>
      </c>
      <c r="AL35" s="22" t="s">
        <v>265</v>
      </c>
      <c r="AM35" s="22">
        <v>0.22</v>
      </c>
      <c r="AN35" s="22" t="s">
        <v>229</v>
      </c>
      <c r="AO35" s="22" t="s">
        <v>229</v>
      </c>
      <c r="AP35" s="22" t="s">
        <v>230</v>
      </c>
      <c r="AQ35" s="22" t="str">
        <f t="shared" si="6"/>
        <v>Nanophytoplankton</v>
      </c>
      <c r="AR35" s="22">
        <v>0</v>
      </c>
      <c r="AS35" s="22">
        <v>0</v>
      </c>
      <c r="AT35" s="22">
        <v>0</v>
      </c>
      <c r="AU35" s="22">
        <v>1</v>
      </c>
      <c r="AV35" s="22">
        <v>0</v>
      </c>
      <c r="AW35" s="22">
        <v>0</v>
      </c>
      <c r="AX35" s="22">
        <v>0</v>
      </c>
      <c r="AY35" s="22">
        <v>1</v>
      </c>
    </row>
    <row r="36" spans="1:57">
      <c r="A36" s="22" t="s">
        <v>266</v>
      </c>
      <c r="B36" s="22" t="s">
        <v>149</v>
      </c>
      <c r="C36" s="22" t="s">
        <v>150</v>
      </c>
      <c r="D36" s="23" t="s">
        <v>151</v>
      </c>
      <c r="E36" s="22" t="s">
        <v>61</v>
      </c>
      <c r="F36" s="22" t="s">
        <v>152</v>
      </c>
      <c r="G36" s="22" t="s">
        <v>60</v>
      </c>
      <c r="H36" s="22" t="s">
        <v>226</v>
      </c>
      <c r="I36" s="22" t="s">
        <v>34</v>
      </c>
      <c r="J36" s="22" t="s">
        <v>260</v>
      </c>
      <c r="K36" s="22" t="s">
        <v>184</v>
      </c>
      <c r="L36" s="22" t="s">
        <v>245</v>
      </c>
      <c r="N36" s="22" t="s">
        <v>264</v>
      </c>
      <c r="O36" s="22" t="s">
        <v>158</v>
      </c>
      <c r="P36" s="21">
        <v>10676</v>
      </c>
      <c r="Q36" s="22">
        <v>1.5</v>
      </c>
      <c r="R36" s="22">
        <v>1.5</v>
      </c>
      <c r="S36" s="22">
        <v>1.5</v>
      </c>
      <c r="T36" s="21" t="s">
        <v>246</v>
      </c>
      <c r="U36" s="21">
        <v>1</v>
      </c>
      <c r="V36" s="21">
        <v>1</v>
      </c>
      <c r="W36" s="25">
        <f>4*3.14*(R36/2)*(Q36/2)/V36</f>
        <v>7.0649999999999995</v>
      </c>
      <c r="X36" s="25">
        <f>(3.14/6*(Q36*S36*R36))*U36</f>
        <v>1.7662499999999999</v>
      </c>
      <c r="Y36" s="22">
        <v>1</v>
      </c>
      <c r="Z36" s="24">
        <f t="shared" si="2"/>
        <v>7.0649999999999995</v>
      </c>
      <c r="AA36" s="24">
        <f t="shared" si="3"/>
        <v>1.7662499999999999</v>
      </c>
      <c r="AF36" s="21" t="s">
        <v>247</v>
      </c>
      <c r="AJ36" s="21">
        <v>1.7662499999999999</v>
      </c>
      <c r="AK36" s="21">
        <v>1.5</v>
      </c>
      <c r="AL36" s="22" t="s">
        <v>161</v>
      </c>
      <c r="AM36" s="22">
        <v>0.22</v>
      </c>
      <c r="AN36" s="22" t="s">
        <v>229</v>
      </c>
      <c r="AO36" s="22" t="s">
        <v>229</v>
      </c>
      <c r="AP36" s="22" t="s">
        <v>230</v>
      </c>
      <c r="AQ36" s="22" t="str">
        <f t="shared" si="6"/>
        <v>Nanophytoplankton</v>
      </c>
      <c r="AR36" s="22">
        <v>0</v>
      </c>
      <c r="AS36" s="22">
        <v>0</v>
      </c>
      <c r="AT36" s="22">
        <v>0</v>
      </c>
      <c r="AU36" s="22">
        <v>1</v>
      </c>
      <c r="AV36" s="22">
        <v>0</v>
      </c>
      <c r="AW36" s="22">
        <v>0</v>
      </c>
      <c r="AX36" s="22">
        <v>0</v>
      </c>
      <c r="AY36" s="22">
        <v>1</v>
      </c>
    </row>
    <row r="37" spans="1:57">
      <c r="A37" s="21" t="s">
        <v>267</v>
      </c>
      <c r="B37" s="22" t="s">
        <v>149</v>
      </c>
      <c r="C37" s="22" t="s">
        <v>150</v>
      </c>
      <c r="D37" s="23" t="s">
        <v>151</v>
      </c>
      <c r="E37" s="22" t="s">
        <v>61</v>
      </c>
      <c r="F37" s="22" t="s">
        <v>152</v>
      </c>
      <c r="G37" s="22" t="s">
        <v>60</v>
      </c>
      <c r="H37" s="22" t="s">
        <v>226</v>
      </c>
      <c r="I37" s="22" t="s">
        <v>34</v>
      </c>
      <c r="J37" s="22" t="s">
        <v>268</v>
      </c>
      <c r="N37" s="22" t="s">
        <v>261</v>
      </c>
      <c r="O37" s="22" t="s">
        <v>158</v>
      </c>
      <c r="P37" s="21">
        <v>10260</v>
      </c>
      <c r="Q37" s="22">
        <v>1</v>
      </c>
      <c r="R37" s="22">
        <v>1</v>
      </c>
      <c r="S37" s="22">
        <v>1</v>
      </c>
      <c r="T37" s="21" t="s">
        <v>159</v>
      </c>
      <c r="U37" s="21">
        <v>1</v>
      </c>
      <c r="V37" s="21">
        <v>1</v>
      </c>
      <c r="W37" s="24">
        <f>(4*3.14*(((Q37^1.6*R37^1.6+Q37^1.6*S37^1.6+R37^1.6+S37^1.6)/3)^(1/1.6)))*(1/V37)</f>
        <v>15.034062444858044</v>
      </c>
      <c r="X37" s="24">
        <f>3.14/6*Q37*R37*S37*U37</f>
        <v>0.52333333333333332</v>
      </c>
      <c r="Y37" s="22">
        <v>130</v>
      </c>
      <c r="Z37" s="24">
        <f t="shared" si="2"/>
        <v>1954.4281178315457</v>
      </c>
      <c r="AA37" s="24">
        <f t="shared" si="3"/>
        <v>68.033333333333331</v>
      </c>
      <c r="AB37" s="22">
        <v>35</v>
      </c>
      <c r="AC37" s="22">
        <v>35</v>
      </c>
      <c r="AD37" s="22">
        <v>35</v>
      </c>
      <c r="AE37" s="21" t="s">
        <v>159</v>
      </c>
      <c r="AF37" s="21">
        <v>0.7</v>
      </c>
      <c r="AG37" s="22">
        <v>1</v>
      </c>
      <c r="AH37" s="24">
        <f>(4*3.14*(((AB37^1.6*AC37^1.6+AB37^1.6*AD37^1.6+AC37^1.6+AD37^1.6)/3)^(1/1.6)))*(1/AG37)</f>
        <v>11967.014065345904</v>
      </c>
      <c r="AI37" s="24">
        <f>3.14/6*AB37*AC37*AD37*AF37</f>
        <v>15706.541666666666</v>
      </c>
      <c r="AJ37" s="21">
        <v>15714.5</v>
      </c>
      <c r="AK37" s="21">
        <v>35</v>
      </c>
      <c r="AL37" s="22" t="s">
        <v>161</v>
      </c>
      <c r="AM37" s="22">
        <v>0.22</v>
      </c>
      <c r="AN37" s="22" t="s">
        <v>229</v>
      </c>
      <c r="AO37" s="22" t="s">
        <v>229</v>
      </c>
      <c r="AP37" s="22" t="s">
        <v>230</v>
      </c>
      <c r="AQ37" s="22" t="str">
        <f t="shared" si="6"/>
        <v>Microphytoplankton</v>
      </c>
      <c r="AR37" s="22">
        <v>0</v>
      </c>
      <c r="AS37" s="22">
        <v>0</v>
      </c>
      <c r="AT37" s="22">
        <v>0</v>
      </c>
      <c r="AU37" s="22">
        <v>1</v>
      </c>
      <c r="AV37" s="22">
        <v>0</v>
      </c>
      <c r="AW37" s="22">
        <v>0</v>
      </c>
      <c r="AX37" s="22">
        <v>0</v>
      </c>
      <c r="AY37" s="22">
        <v>1</v>
      </c>
    </row>
    <row r="38" spans="1:57">
      <c r="A38" s="22" t="s">
        <v>269</v>
      </c>
      <c r="B38" s="22" t="s">
        <v>149</v>
      </c>
      <c r="C38" s="22" t="s">
        <v>150</v>
      </c>
      <c r="D38" s="23" t="s">
        <v>151</v>
      </c>
      <c r="E38" s="22" t="s">
        <v>61</v>
      </c>
      <c r="F38" s="22" t="s">
        <v>152</v>
      </c>
      <c r="G38" s="22" t="s">
        <v>60</v>
      </c>
      <c r="H38" s="22" t="s">
        <v>226</v>
      </c>
      <c r="I38" s="22" t="s">
        <v>34</v>
      </c>
      <c r="J38" s="22" t="s">
        <v>268</v>
      </c>
      <c r="K38" s="22" t="s">
        <v>184</v>
      </c>
      <c r="L38" s="22" t="s">
        <v>270</v>
      </c>
      <c r="N38" s="22" t="s">
        <v>264</v>
      </c>
      <c r="O38" s="22" t="s">
        <v>158</v>
      </c>
      <c r="P38" s="21">
        <v>10261</v>
      </c>
      <c r="Q38" s="22">
        <v>1</v>
      </c>
      <c r="R38" s="22">
        <v>1</v>
      </c>
      <c r="S38" s="22">
        <v>1</v>
      </c>
      <c r="T38" s="21" t="s">
        <v>159</v>
      </c>
      <c r="U38" s="21">
        <v>1</v>
      </c>
      <c r="V38" s="21">
        <v>1</v>
      </c>
      <c r="W38" s="24">
        <f>(4*3.14*(((Q38^1.6*R38^1.6+Q38^1.6*S38^1.6+R38^1.6+S38^1.6)/3)^(1/1.6)))*(1/V38)</f>
        <v>15.034062444858044</v>
      </c>
      <c r="X38" s="24">
        <f>3.14/6*Q38*R38*S38*U38</f>
        <v>0.52333333333333332</v>
      </c>
      <c r="Y38" s="22">
        <v>50</v>
      </c>
      <c r="Z38" s="24">
        <f t="shared" si="2"/>
        <v>751.70312224290217</v>
      </c>
      <c r="AA38" s="24">
        <f t="shared" si="3"/>
        <v>26.166666666666664</v>
      </c>
      <c r="AB38" s="22">
        <v>50</v>
      </c>
      <c r="AC38" s="22">
        <v>50</v>
      </c>
      <c r="AD38" s="22">
        <v>50</v>
      </c>
      <c r="AE38" s="21" t="s">
        <v>159</v>
      </c>
      <c r="AF38" s="21">
        <v>0.1</v>
      </c>
      <c r="AG38" s="22">
        <v>1</v>
      </c>
      <c r="AH38" s="24">
        <f>(4*3.14*(((AB38^1.6*AC38^1.6+AB38^1.6*AD38^1.6+AC38^1.6+AD38^1.6)/3)^(1/1.6)))*(1/AG38)</f>
        <v>24400.082151651244</v>
      </c>
      <c r="AI38" s="24">
        <f>3.14/6*AB38*AC38*AD38*AF38</f>
        <v>6541.666666666667</v>
      </c>
      <c r="AJ38" s="21">
        <v>26.166666666666664</v>
      </c>
      <c r="AK38" s="21">
        <v>50</v>
      </c>
      <c r="AL38" s="22" t="s">
        <v>161</v>
      </c>
      <c r="AM38" s="22">
        <v>0.22</v>
      </c>
      <c r="AN38" s="22" t="s">
        <v>229</v>
      </c>
      <c r="AO38" s="22" t="s">
        <v>229</v>
      </c>
      <c r="AP38" s="22" t="s">
        <v>230</v>
      </c>
      <c r="AQ38" s="22" t="str">
        <f t="shared" si="6"/>
        <v>Microphytoplankton</v>
      </c>
      <c r="AR38" s="22">
        <v>0</v>
      </c>
      <c r="AS38" s="22">
        <v>0</v>
      </c>
      <c r="AT38" s="22">
        <v>0</v>
      </c>
      <c r="AU38" s="22">
        <v>1</v>
      </c>
      <c r="AV38" s="22">
        <v>0</v>
      </c>
      <c r="AW38" s="22">
        <v>0</v>
      </c>
      <c r="AX38" s="22">
        <v>0</v>
      </c>
      <c r="AY38" s="22">
        <v>1</v>
      </c>
    </row>
    <row r="39" spans="1:57">
      <c r="A39" s="22" t="s">
        <v>271</v>
      </c>
      <c r="B39" s="22" t="s">
        <v>149</v>
      </c>
      <c r="C39" s="22" t="s">
        <v>150</v>
      </c>
      <c r="D39" s="23" t="s">
        <v>151</v>
      </c>
      <c r="E39" s="22" t="s">
        <v>61</v>
      </c>
      <c r="F39" s="22" t="s">
        <v>152</v>
      </c>
      <c r="G39" s="22" t="s">
        <v>60</v>
      </c>
      <c r="H39" s="22" t="s">
        <v>226</v>
      </c>
      <c r="I39" s="22" t="s">
        <v>34</v>
      </c>
      <c r="J39" s="22" t="s">
        <v>272</v>
      </c>
      <c r="K39" s="22" t="s">
        <v>184</v>
      </c>
      <c r="L39" s="22" t="s">
        <v>273</v>
      </c>
      <c r="N39" s="22" t="s">
        <v>274</v>
      </c>
      <c r="O39" s="22" t="s">
        <v>158</v>
      </c>
      <c r="P39" s="21">
        <v>10267</v>
      </c>
      <c r="Q39" s="22">
        <v>1.6</v>
      </c>
      <c r="R39" s="22">
        <v>1.6</v>
      </c>
      <c r="S39" s="22">
        <v>1.6</v>
      </c>
      <c r="T39" s="21" t="s">
        <v>246</v>
      </c>
      <c r="U39" s="21">
        <v>1</v>
      </c>
      <c r="V39" s="21">
        <v>1</v>
      </c>
      <c r="W39" s="25">
        <f>4*3.14*(R39/2)*(Q39/2)/V39</f>
        <v>8.0384000000000011</v>
      </c>
      <c r="X39" s="25">
        <f>(3.14/6*(Q39*S39*R39))*U39</f>
        <v>2.1435733333333338</v>
      </c>
      <c r="Y39" s="22">
        <v>30</v>
      </c>
      <c r="Z39" s="24">
        <f t="shared" si="2"/>
        <v>241.15200000000004</v>
      </c>
      <c r="AA39" s="24">
        <f t="shared" si="3"/>
        <v>64.307200000000009</v>
      </c>
      <c r="AB39" s="22">
        <v>20</v>
      </c>
      <c r="AC39" s="22">
        <v>20</v>
      </c>
      <c r="AD39" s="22">
        <v>20</v>
      </c>
      <c r="AE39" s="21" t="s">
        <v>159</v>
      </c>
      <c r="AF39" s="21">
        <v>0.3</v>
      </c>
      <c r="AG39" s="22">
        <v>1</v>
      </c>
      <c r="AH39" s="24">
        <f>(4*3.14*(((AB39^1.6*AC39^1.6+AB39^1.6*AD39^1.6+AC39^1.6+AD39^1.6)/3)^(1/1.6)))*(1/AG39)</f>
        <v>3919.5162184844248</v>
      </c>
      <c r="AI39" s="24">
        <f>3.14/6*AB39*AC39*AD39*AF39</f>
        <v>1256</v>
      </c>
      <c r="AJ39" s="21">
        <v>64.307200000000009</v>
      </c>
      <c r="AK39" s="21">
        <v>20</v>
      </c>
      <c r="AL39" s="22" t="s">
        <v>161</v>
      </c>
      <c r="AM39" s="22">
        <v>0.22</v>
      </c>
      <c r="AN39" s="22" t="s">
        <v>229</v>
      </c>
      <c r="AO39" s="22" t="s">
        <v>229</v>
      </c>
      <c r="AP39" s="22" t="s">
        <v>230</v>
      </c>
      <c r="AQ39" s="22" t="str">
        <f t="shared" si="6"/>
        <v>Microphytoplankton</v>
      </c>
      <c r="AR39" s="22">
        <v>0</v>
      </c>
      <c r="AS39" s="22">
        <v>0</v>
      </c>
      <c r="AT39" s="22">
        <v>0</v>
      </c>
      <c r="AU39" s="22">
        <v>1</v>
      </c>
      <c r="AV39" s="22">
        <v>0</v>
      </c>
      <c r="AW39" s="22">
        <v>0</v>
      </c>
      <c r="AX39" s="22">
        <v>0</v>
      </c>
      <c r="AY39" s="22">
        <v>1</v>
      </c>
    </row>
    <row r="40" spans="1:57">
      <c r="A40" s="21" t="s">
        <v>275</v>
      </c>
      <c r="B40" s="22" t="s">
        <v>149</v>
      </c>
      <c r="C40" s="22" t="s">
        <v>150</v>
      </c>
      <c r="D40" s="23" t="s">
        <v>151</v>
      </c>
      <c r="E40" s="22" t="s">
        <v>61</v>
      </c>
      <c r="F40" s="22" t="s">
        <v>152</v>
      </c>
      <c r="G40" s="22" t="s">
        <v>60</v>
      </c>
      <c r="H40" s="22" t="s">
        <v>226</v>
      </c>
      <c r="I40" s="22" t="s">
        <v>34</v>
      </c>
      <c r="J40" s="22" t="s">
        <v>276</v>
      </c>
      <c r="K40" s="22" t="s">
        <v>184</v>
      </c>
      <c r="L40" s="22" t="s">
        <v>277</v>
      </c>
      <c r="N40" s="22" t="s">
        <v>278</v>
      </c>
      <c r="O40" s="22" t="s">
        <v>158</v>
      </c>
      <c r="P40" s="21">
        <v>11720</v>
      </c>
      <c r="Q40" s="21">
        <v>1.9</v>
      </c>
      <c r="R40" s="21">
        <v>1.9</v>
      </c>
      <c r="S40" s="21">
        <v>1.9</v>
      </c>
      <c r="T40" s="21" t="s">
        <v>159</v>
      </c>
      <c r="U40" s="21">
        <v>1</v>
      </c>
      <c r="V40" s="21">
        <v>1</v>
      </c>
      <c r="W40" s="24">
        <f t="shared" ref="W40:W51" si="7">(4*3.14*(((Q40^1.6*R40^1.6+Q40^1.6*S40^1.6+R40^1.6+S40^1.6)/3)^(1/1.6)))*(1/V40)</f>
        <v>42.610878306770658</v>
      </c>
      <c r="X40" s="24">
        <f t="shared" ref="X40:X51" si="8">3.14/6*Q40*R40*S40*U40</f>
        <v>3.5895433333333329</v>
      </c>
      <c r="Y40" s="21">
        <v>100</v>
      </c>
      <c r="Z40" s="24">
        <f t="shared" si="2"/>
        <v>4261.0878306770655</v>
      </c>
      <c r="AA40" s="24">
        <f t="shared" si="3"/>
        <v>358.9543333333333</v>
      </c>
      <c r="AB40" s="22">
        <v>20</v>
      </c>
      <c r="AC40" s="21">
        <v>9</v>
      </c>
      <c r="AD40" s="21">
        <v>9</v>
      </c>
      <c r="AE40" s="21" t="s">
        <v>159</v>
      </c>
      <c r="AF40" s="21">
        <v>0.1</v>
      </c>
      <c r="AG40" s="22">
        <v>1</v>
      </c>
      <c r="AH40" s="24">
        <f>(4*3.14*(((AB40^1.6*AC40^1.6+AB40^1.6*AD40^1.6+AC40^1.6+AD40^1.6)/3)^(1/1.6)))*(1/AG40)</f>
        <v>1763.7822983179931</v>
      </c>
      <c r="AI40" s="24">
        <f>3.14/6*AB40*AC40*AD40*AF40</f>
        <v>84.780000000000015</v>
      </c>
      <c r="AJ40" s="21">
        <v>210.2</v>
      </c>
      <c r="AK40" s="21">
        <v>50</v>
      </c>
      <c r="AL40" s="22" t="s">
        <v>161</v>
      </c>
      <c r="AM40" s="22">
        <v>0.22</v>
      </c>
      <c r="AN40" s="22" t="s">
        <v>229</v>
      </c>
      <c r="AO40" s="22" t="s">
        <v>229</v>
      </c>
      <c r="AP40" s="22" t="s">
        <v>230</v>
      </c>
      <c r="AQ40" s="22" t="str">
        <f t="shared" si="6"/>
        <v>Microphytoplankton</v>
      </c>
      <c r="AR40" s="22">
        <v>0</v>
      </c>
      <c r="AS40" s="22">
        <v>0</v>
      </c>
      <c r="AT40" s="22">
        <v>0</v>
      </c>
      <c r="AU40" s="22">
        <v>1</v>
      </c>
      <c r="AV40" s="22">
        <v>0</v>
      </c>
      <c r="AW40" s="22">
        <v>0</v>
      </c>
      <c r="AX40" s="22">
        <v>0</v>
      </c>
      <c r="AY40" s="22">
        <v>1</v>
      </c>
      <c r="AZ40" s="22">
        <v>0</v>
      </c>
      <c r="BA40" s="22">
        <v>1</v>
      </c>
      <c r="BB40" s="22">
        <v>2</v>
      </c>
      <c r="BC40" s="22">
        <v>5</v>
      </c>
      <c r="BD40" s="22">
        <v>2</v>
      </c>
      <c r="BE40" s="22">
        <v>0</v>
      </c>
    </row>
    <row r="41" spans="1:57">
      <c r="A41" s="21" t="s">
        <v>279</v>
      </c>
      <c r="B41" s="22" t="s">
        <v>149</v>
      </c>
      <c r="C41" s="22" t="s">
        <v>150</v>
      </c>
      <c r="D41" s="23" t="s">
        <v>151</v>
      </c>
      <c r="E41" s="22" t="s">
        <v>61</v>
      </c>
      <c r="F41" s="22" t="s">
        <v>152</v>
      </c>
      <c r="G41" s="22" t="s">
        <v>60</v>
      </c>
      <c r="H41" s="22" t="s">
        <v>226</v>
      </c>
      <c r="I41" s="22" t="s">
        <v>34</v>
      </c>
      <c r="J41" s="22" t="s">
        <v>276</v>
      </c>
      <c r="K41" s="22" t="s">
        <v>184</v>
      </c>
      <c r="L41" s="22" t="s">
        <v>280</v>
      </c>
      <c r="N41" s="22" t="s">
        <v>278</v>
      </c>
      <c r="O41" s="22" t="s">
        <v>158</v>
      </c>
      <c r="P41" s="21">
        <v>11721</v>
      </c>
      <c r="Q41" s="21">
        <v>1.9</v>
      </c>
      <c r="R41" s="21">
        <v>1.9</v>
      </c>
      <c r="S41" s="21">
        <v>1.9</v>
      </c>
      <c r="T41" s="21" t="s">
        <v>281</v>
      </c>
      <c r="U41" s="21">
        <v>1</v>
      </c>
      <c r="V41" s="21">
        <v>1</v>
      </c>
      <c r="W41" s="24">
        <f t="shared" si="7"/>
        <v>42.610878306770658</v>
      </c>
      <c r="X41" s="24">
        <f t="shared" si="8"/>
        <v>3.5895433333333329</v>
      </c>
      <c r="Y41" s="21">
        <v>1</v>
      </c>
      <c r="Z41" s="24">
        <f t="shared" si="2"/>
        <v>42.610878306770658</v>
      </c>
      <c r="AA41" s="24">
        <f t="shared" si="3"/>
        <v>3.5895433333333329</v>
      </c>
      <c r="AC41" s="21"/>
      <c r="AD41" s="21"/>
      <c r="AE41" s="21"/>
      <c r="AF41" s="21" t="s">
        <v>247</v>
      </c>
      <c r="AG41" s="21"/>
      <c r="AH41" s="24"/>
      <c r="AI41" s="24"/>
      <c r="AJ41" s="21">
        <v>3.5895433333333329</v>
      </c>
      <c r="AK41" s="21">
        <v>1.9</v>
      </c>
      <c r="AL41" s="22" t="s">
        <v>161</v>
      </c>
      <c r="AM41" s="22">
        <v>0.22</v>
      </c>
      <c r="AN41" s="22" t="s">
        <v>229</v>
      </c>
      <c r="AO41" s="22" t="s">
        <v>229</v>
      </c>
      <c r="AP41" s="22" t="s">
        <v>230</v>
      </c>
      <c r="AQ41" s="22" t="str">
        <f t="shared" si="6"/>
        <v>Nanophytoplankton</v>
      </c>
      <c r="AR41" s="22">
        <v>0</v>
      </c>
      <c r="AS41" s="22">
        <v>0</v>
      </c>
      <c r="AT41" s="22">
        <v>0</v>
      </c>
      <c r="AU41" s="22">
        <v>1</v>
      </c>
      <c r="AV41" s="22">
        <v>0</v>
      </c>
      <c r="AW41" s="22">
        <v>0</v>
      </c>
      <c r="AX41" s="22">
        <v>0</v>
      </c>
      <c r="AY41" s="22">
        <v>1</v>
      </c>
      <c r="AZ41" s="22">
        <v>0</v>
      </c>
      <c r="BA41" s="22">
        <v>1</v>
      </c>
      <c r="BB41" s="22">
        <v>2</v>
      </c>
      <c r="BC41" s="22">
        <v>5</v>
      </c>
      <c r="BD41" s="22">
        <v>2</v>
      </c>
      <c r="BE41" s="22">
        <v>0</v>
      </c>
    </row>
    <row r="42" spans="1:57">
      <c r="A42" s="22" t="s">
        <v>282</v>
      </c>
      <c r="B42" s="22" t="s">
        <v>149</v>
      </c>
      <c r="C42" s="22" t="s">
        <v>150</v>
      </c>
      <c r="D42" s="23" t="s">
        <v>151</v>
      </c>
      <c r="E42" s="22" t="s">
        <v>61</v>
      </c>
      <c r="F42" s="22" t="s">
        <v>152</v>
      </c>
      <c r="G42" s="22" t="s">
        <v>60</v>
      </c>
      <c r="H42" s="22" t="s">
        <v>226</v>
      </c>
      <c r="I42" s="22" t="s">
        <v>34</v>
      </c>
      <c r="J42" s="22" t="s">
        <v>209</v>
      </c>
      <c r="N42" s="22" t="s">
        <v>283</v>
      </c>
      <c r="O42" s="22" t="s">
        <v>158</v>
      </c>
      <c r="P42" s="21">
        <v>10261</v>
      </c>
      <c r="Q42" s="22">
        <v>2.5</v>
      </c>
      <c r="R42" s="22">
        <v>2.5</v>
      </c>
      <c r="S42" s="22">
        <v>2.5</v>
      </c>
      <c r="T42" s="21" t="s">
        <v>159</v>
      </c>
      <c r="U42" s="21">
        <v>1</v>
      </c>
      <c r="V42" s="21">
        <v>1</v>
      </c>
      <c r="W42" s="24">
        <f t="shared" si="7"/>
        <v>69.372421357191953</v>
      </c>
      <c r="X42" s="24">
        <f t="shared" si="8"/>
        <v>8.1770833333333339</v>
      </c>
      <c r="Y42" s="22">
        <v>2900</v>
      </c>
      <c r="Z42" s="24">
        <f t="shared" si="2"/>
        <v>201180.02193585667</v>
      </c>
      <c r="AA42" s="24">
        <f t="shared" si="3"/>
        <v>23713.541666666668</v>
      </c>
      <c r="AB42" s="22">
        <v>40</v>
      </c>
      <c r="AC42" s="22">
        <v>40</v>
      </c>
      <c r="AD42" s="22">
        <v>40</v>
      </c>
      <c r="AE42" s="21" t="s">
        <v>159</v>
      </c>
      <c r="AF42" s="21">
        <v>0.7</v>
      </c>
      <c r="AG42" s="22">
        <v>1</v>
      </c>
      <c r="AH42" s="24">
        <f t="shared" ref="AH42:AH51" si="9">(4*3.14*(((AB42^1.6*AC42^1.6+AB42^1.6*AD42^1.6+AC42^1.6+AD42^1.6)/3)^(1/1.6)))*(1/AG42)</f>
        <v>15624.046118762988</v>
      </c>
      <c r="AI42" s="24">
        <f t="shared" ref="AI42:AI51" si="10">3.14/6*AB42*AC42*AD42*AF42</f>
        <v>23445.333333333332</v>
      </c>
      <c r="AJ42" s="21">
        <v>26.166666666666664</v>
      </c>
      <c r="AK42" s="21">
        <v>50</v>
      </c>
      <c r="AL42" s="22" t="s">
        <v>284</v>
      </c>
      <c r="AM42" s="22">
        <v>0.22</v>
      </c>
      <c r="AN42" s="22" t="s">
        <v>229</v>
      </c>
      <c r="AO42" s="22" t="s">
        <v>229</v>
      </c>
      <c r="AP42" s="22" t="s">
        <v>230</v>
      </c>
      <c r="AQ42" s="22" t="str">
        <f t="shared" si="6"/>
        <v>Microphytoplankton</v>
      </c>
      <c r="AR42" s="22">
        <v>0</v>
      </c>
      <c r="AS42" s="22">
        <v>0</v>
      </c>
      <c r="AT42" s="22">
        <v>0</v>
      </c>
      <c r="AU42" s="22">
        <v>1</v>
      </c>
      <c r="AV42" s="22">
        <v>0</v>
      </c>
      <c r="AW42" s="22">
        <v>0</v>
      </c>
      <c r="AX42" s="22">
        <v>0</v>
      </c>
      <c r="AY42" s="22">
        <v>1</v>
      </c>
    </row>
    <row r="43" spans="1:57">
      <c r="A43" s="22" t="s">
        <v>285</v>
      </c>
      <c r="B43" s="22" t="s">
        <v>149</v>
      </c>
      <c r="C43" s="22" t="s">
        <v>150</v>
      </c>
      <c r="D43" s="23" t="s">
        <v>151</v>
      </c>
      <c r="E43" s="22" t="s">
        <v>61</v>
      </c>
      <c r="F43" s="22" t="s">
        <v>152</v>
      </c>
      <c r="G43" s="22" t="s">
        <v>60</v>
      </c>
      <c r="H43" s="22" t="s">
        <v>226</v>
      </c>
      <c r="I43" s="22" t="s">
        <v>34</v>
      </c>
      <c r="J43" s="22" t="s">
        <v>209</v>
      </c>
      <c r="K43" s="22" t="s">
        <v>241</v>
      </c>
      <c r="L43" s="22" t="s">
        <v>263</v>
      </c>
      <c r="N43" s="22" t="s">
        <v>286</v>
      </c>
      <c r="O43" s="22" t="s">
        <v>158</v>
      </c>
      <c r="P43" s="21">
        <v>10264</v>
      </c>
      <c r="Q43" s="22">
        <v>2.5</v>
      </c>
      <c r="R43" s="22">
        <v>2.5</v>
      </c>
      <c r="S43" s="22">
        <v>2.5</v>
      </c>
      <c r="T43" s="21" t="s">
        <v>159</v>
      </c>
      <c r="U43" s="21">
        <v>1</v>
      </c>
      <c r="V43" s="21">
        <v>1</v>
      </c>
      <c r="W43" s="24">
        <f t="shared" si="7"/>
        <v>69.372421357191953</v>
      </c>
      <c r="X43" s="24">
        <f t="shared" si="8"/>
        <v>8.1770833333333339</v>
      </c>
      <c r="Y43" s="22">
        <v>47</v>
      </c>
      <c r="Z43" s="24">
        <f t="shared" si="2"/>
        <v>3260.5038037880217</v>
      </c>
      <c r="AA43" s="24">
        <f t="shared" si="3"/>
        <v>384.32291666666669</v>
      </c>
      <c r="AB43" s="22">
        <v>10</v>
      </c>
      <c r="AC43" s="22">
        <v>10</v>
      </c>
      <c r="AD43" s="22">
        <v>10</v>
      </c>
      <c r="AE43" s="21" t="s">
        <v>159</v>
      </c>
      <c r="AF43" s="21">
        <v>0.7</v>
      </c>
      <c r="AG43" s="22">
        <v>1</v>
      </c>
      <c r="AH43" s="24">
        <f t="shared" si="9"/>
        <v>990.0713501282612</v>
      </c>
      <c r="AI43" s="24">
        <f t="shared" si="10"/>
        <v>366.33333333333331</v>
      </c>
      <c r="AJ43" s="21">
        <v>366.33333333333331</v>
      </c>
      <c r="AK43" s="21">
        <v>10</v>
      </c>
      <c r="AL43" s="22" t="s">
        <v>287</v>
      </c>
      <c r="AM43" s="22">
        <v>0.22</v>
      </c>
      <c r="AN43" s="22" t="s">
        <v>229</v>
      </c>
      <c r="AO43" s="22" t="s">
        <v>229</v>
      </c>
      <c r="AP43" s="22" t="s">
        <v>230</v>
      </c>
      <c r="AQ43" s="22" t="str">
        <f t="shared" si="6"/>
        <v>Nanophytoplankton</v>
      </c>
      <c r="AR43" s="22">
        <v>0</v>
      </c>
      <c r="AS43" s="22">
        <v>0</v>
      </c>
      <c r="AT43" s="22">
        <v>0</v>
      </c>
      <c r="AU43" s="22">
        <v>1</v>
      </c>
      <c r="AV43" s="22">
        <v>0</v>
      </c>
      <c r="AW43" s="22">
        <v>0</v>
      </c>
      <c r="AX43" s="22">
        <v>0</v>
      </c>
      <c r="AY43" s="22">
        <v>1</v>
      </c>
    </row>
    <row r="44" spans="1:57">
      <c r="A44" s="22" t="s">
        <v>288</v>
      </c>
      <c r="B44" s="22" t="s">
        <v>149</v>
      </c>
      <c r="C44" s="22" t="s">
        <v>150</v>
      </c>
      <c r="D44" s="23" t="s">
        <v>151</v>
      </c>
      <c r="E44" s="22" t="s">
        <v>61</v>
      </c>
      <c r="F44" s="22" t="s">
        <v>152</v>
      </c>
      <c r="G44" s="22" t="s">
        <v>60</v>
      </c>
      <c r="H44" s="22" t="s">
        <v>226</v>
      </c>
      <c r="I44" s="22" t="s">
        <v>34</v>
      </c>
      <c r="J44" s="22" t="s">
        <v>209</v>
      </c>
      <c r="K44" s="22" t="s">
        <v>241</v>
      </c>
      <c r="L44" s="22" t="s">
        <v>289</v>
      </c>
      <c r="N44" s="22" t="s">
        <v>286</v>
      </c>
      <c r="O44" s="22" t="s">
        <v>158</v>
      </c>
      <c r="P44" s="21">
        <v>10268</v>
      </c>
      <c r="Q44" s="22">
        <v>2.5</v>
      </c>
      <c r="R44" s="22">
        <v>2.5</v>
      </c>
      <c r="S44" s="22">
        <v>2.5</v>
      </c>
      <c r="T44" s="21" t="s">
        <v>159</v>
      </c>
      <c r="U44" s="21">
        <v>1</v>
      </c>
      <c r="V44" s="21">
        <v>1</v>
      </c>
      <c r="W44" s="24">
        <f t="shared" si="7"/>
        <v>69.372421357191953</v>
      </c>
      <c r="X44" s="24">
        <f t="shared" si="8"/>
        <v>8.1770833333333339</v>
      </c>
      <c r="Y44" s="22">
        <v>8500</v>
      </c>
      <c r="Z44" s="24">
        <f t="shared" si="2"/>
        <v>589665.58153613156</v>
      </c>
      <c r="AA44" s="24">
        <f t="shared" si="3"/>
        <v>69505.208333333343</v>
      </c>
      <c r="AB44" s="22">
        <v>50</v>
      </c>
      <c r="AC44" s="22">
        <v>50</v>
      </c>
      <c r="AD44" s="22">
        <v>50</v>
      </c>
      <c r="AE44" s="21" t="s">
        <v>159</v>
      </c>
      <c r="AF44" s="21">
        <v>0.7</v>
      </c>
      <c r="AG44" s="22">
        <v>1</v>
      </c>
      <c r="AH44" s="24">
        <f t="shared" si="9"/>
        <v>24400.082151651244</v>
      </c>
      <c r="AI44" s="24">
        <f t="shared" si="10"/>
        <v>45791.666666666664</v>
      </c>
      <c r="AJ44" s="21">
        <v>45791.666666666664</v>
      </c>
      <c r="AK44" s="21">
        <v>50</v>
      </c>
      <c r="AL44" s="22" t="s">
        <v>290</v>
      </c>
      <c r="AM44" s="22">
        <v>0.22</v>
      </c>
      <c r="AN44" s="22" t="s">
        <v>229</v>
      </c>
      <c r="AO44" s="22" t="s">
        <v>229</v>
      </c>
      <c r="AP44" s="22" t="s">
        <v>230</v>
      </c>
      <c r="AQ44" s="22" t="str">
        <f t="shared" si="6"/>
        <v>Microphytoplankton</v>
      </c>
      <c r="AR44" s="22">
        <v>0</v>
      </c>
      <c r="AS44" s="22">
        <v>0</v>
      </c>
      <c r="AT44" s="22">
        <v>0</v>
      </c>
      <c r="AU44" s="22">
        <v>1</v>
      </c>
      <c r="AV44" s="22">
        <v>0</v>
      </c>
      <c r="AW44" s="22">
        <v>0</v>
      </c>
      <c r="AX44" s="22">
        <v>0</v>
      </c>
      <c r="AY44" s="22">
        <v>1</v>
      </c>
    </row>
    <row r="45" spans="1:57">
      <c r="A45" s="22" t="s">
        <v>291</v>
      </c>
      <c r="B45" s="22" t="s">
        <v>149</v>
      </c>
      <c r="C45" s="22" t="s">
        <v>150</v>
      </c>
      <c r="D45" s="23" t="s">
        <v>151</v>
      </c>
      <c r="E45" s="22" t="s">
        <v>61</v>
      </c>
      <c r="F45" s="22" t="s">
        <v>152</v>
      </c>
      <c r="G45" s="22" t="s">
        <v>60</v>
      </c>
      <c r="H45" s="22" t="s">
        <v>226</v>
      </c>
      <c r="I45" s="22" t="s">
        <v>34</v>
      </c>
      <c r="J45" s="22" t="s">
        <v>211</v>
      </c>
      <c r="M45" s="22" t="s">
        <v>1</v>
      </c>
      <c r="N45" s="22" t="s">
        <v>228</v>
      </c>
      <c r="O45" s="22" t="s">
        <v>158</v>
      </c>
      <c r="P45" s="21">
        <v>10262</v>
      </c>
      <c r="Q45" s="22">
        <v>2</v>
      </c>
      <c r="R45" s="22">
        <v>2</v>
      </c>
      <c r="S45" s="22">
        <v>2</v>
      </c>
      <c r="T45" s="21" t="s">
        <v>159</v>
      </c>
      <c r="U45" s="21">
        <v>1</v>
      </c>
      <c r="V45" s="21">
        <v>1</v>
      </c>
      <c r="W45" s="24">
        <f t="shared" si="7"/>
        <v>46.59880302207403</v>
      </c>
      <c r="X45" s="24">
        <f t="shared" si="8"/>
        <v>4.1866666666666665</v>
      </c>
      <c r="Y45" s="22">
        <v>50</v>
      </c>
      <c r="Z45" s="24">
        <f t="shared" si="2"/>
        <v>2329.9401511037013</v>
      </c>
      <c r="AA45" s="24">
        <f t="shared" si="3"/>
        <v>209.33333333333331</v>
      </c>
      <c r="AB45" s="22">
        <v>15</v>
      </c>
      <c r="AC45" s="22">
        <v>15</v>
      </c>
      <c r="AD45" s="22">
        <v>15</v>
      </c>
      <c r="AE45" s="21" t="s">
        <v>159</v>
      </c>
      <c r="AF45" s="21">
        <v>0.1</v>
      </c>
      <c r="AG45" s="22">
        <v>1</v>
      </c>
      <c r="AH45" s="24">
        <f t="shared" si="9"/>
        <v>2211.3412553863004</v>
      </c>
      <c r="AI45" s="24">
        <f t="shared" si="10"/>
        <v>176.625</v>
      </c>
      <c r="AJ45" s="21">
        <v>209.33333333333331</v>
      </c>
      <c r="AK45" s="21">
        <v>50</v>
      </c>
      <c r="AL45" s="22" t="s">
        <v>161</v>
      </c>
      <c r="AM45" s="22">
        <v>0.22</v>
      </c>
      <c r="AN45" s="22" t="s">
        <v>229</v>
      </c>
      <c r="AO45" s="22" t="s">
        <v>229</v>
      </c>
      <c r="AP45" s="22" t="s">
        <v>230</v>
      </c>
      <c r="AQ45" s="22" t="str">
        <f t="shared" si="6"/>
        <v>Microphytoplankton</v>
      </c>
      <c r="AR45" s="22">
        <v>0</v>
      </c>
      <c r="AS45" s="22">
        <v>0</v>
      </c>
      <c r="AT45" s="22">
        <v>0</v>
      </c>
      <c r="AU45" s="22">
        <v>1</v>
      </c>
      <c r="AV45" s="22">
        <v>0</v>
      </c>
      <c r="AW45" s="22">
        <v>0</v>
      </c>
      <c r="AX45" s="22">
        <v>0</v>
      </c>
      <c r="AY45" s="22">
        <v>1</v>
      </c>
    </row>
    <row r="46" spans="1:57">
      <c r="A46" s="21" t="s">
        <v>292</v>
      </c>
      <c r="B46" s="22" t="s">
        <v>149</v>
      </c>
      <c r="C46" s="22" t="s">
        <v>150</v>
      </c>
      <c r="D46" s="23" t="s">
        <v>151</v>
      </c>
      <c r="E46" s="22" t="s">
        <v>61</v>
      </c>
      <c r="F46" s="22" t="s">
        <v>152</v>
      </c>
      <c r="G46" s="22" t="s">
        <v>60</v>
      </c>
      <c r="H46" s="22" t="s">
        <v>293</v>
      </c>
      <c r="I46" s="22" t="s">
        <v>294</v>
      </c>
      <c r="J46" s="22" t="s">
        <v>295</v>
      </c>
      <c r="N46" s="22" t="s">
        <v>239</v>
      </c>
      <c r="O46" s="22" t="s">
        <v>158</v>
      </c>
      <c r="P46" s="21">
        <v>10310</v>
      </c>
      <c r="Q46" s="21">
        <v>2.5</v>
      </c>
      <c r="R46" s="21">
        <v>1</v>
      </c>
      <c r="S46" s="21">
        <v>1</v>
      </c>
      <c r="T46" s="21" t="s">
        <v>159</v>
      </c>
      <c r="U46" s="21">
        <v>1</v>
      </c>
      <c r="V46" s="21">
        <v>1</v>
      </c>
      <c r="W46" s="24">
        <f t="shared" si="7"/>
        <v>27.748968542876781</v>
      </c>
      <c r="X46" s="24">
        <f t="shared" si="8"/>
        <v>1.3083333333333333</v>
      </c>
      <c r="Y46" s="21">
        <v>4000</v>
      </c>
      <c r="Z46" s="24">
        <f t="shared" si="2"/>
        <v>110995.87417150712</v>
      </c>
      <c r="AA46" s="24">
        <f t="shared" si="3"/>
        <v>5233.333333333333</v>
      </c>
      <c r="AB46" s="21">
        <v>100</v>
      </c>
      <c r="AC46" s="21">
        <v>100</v>
      </c>
      <c r="AD46" s="21">
        <v>100</v>
      </c>
      <c r="AE46" s="21" t="s">
        <v>159</v>
      </c>
      <c r="AF46" s="21">
        <v>0.01</v>
      </c>
      <c r="AG46" s="22">
        <v>1</v>
      </c>
      <c r="AH46" s="24">
        <f t="shared" si="9"/>
        <v>97522.272269543319</v>
      </c>
      <c r="AI46" s="24">
        <f t="shared" si="10"/>
        <v>5233.333333333333</v>
      </c>
      <c r="AJ46" s="21">
        <v>5236</v>
      </c>
      <c r="AK46" s="21">
        <v>100</v>
      </c>
      <c r="AL46" s="22" t="s">
        <v>161</v>
      </c>
      <c r="AM46" s="22">
        <v>0.22</v>
      </c>
      <c r="AN46" s="22" t="s">
        <v>229</v>
      </c>
      <c r="AO46" s="22" t="s">
        <v>229</v>
      </c>
      <c r="AP46" s="22" t="s">
        <v>230</v>
      </c>
      <c r="AQ46" s="22" t="str">
        <f t="shared" si="6"/>
        <v>Microphytoplankton</v>
      </c>
      <c r="AR46" s="22">
        <v>0</v>
      </c>
      <c r="AS46" s="22">
        <v>0</v>
      </c>
      <c r="AT46" s="22">
        <v>0</v>
      </c>
      <c r="AU46" s="22">
        <v>1</v>
      </c>
      <c r="AV46" s="22">
        <v>0</v>
      </c>
      <c r="AW46" s="22">
        <v>0</v>
      </c>
      <c r="AX46" s="22">
        <v>0</v>
      </c>
      <c r="AY46" s="22">
        <v>1</v>
      </c>
      <c r="AZ46" s="22">
        <v>1</v>
      </c>
      <c r="BA46" s="22">
        <v>1</v>
      </c>
      <c r="BB46" s="22">
        <v>3</v>
      </c>
      <c r="BC46" s="22">
        <v>2</v>
      </c>
      <c r="BD46" s="22">
        <v>2</v>
      </c>
      <c r="BE46" s="22">
        <v>1</v>
      </c>
    </row>
    <row r="47" spans="1:57">
      <c r="A47" s="21" t="s">
        <v>296</v>
      </c>
      <c r="B47" s="22" t="s">
        <v>149</v>
      </c>
      <c r="C47" s="22" t="s">
        <v>150</v>
      </c>
      <c r="D47" s="23" t="s">
        <v>151</v>
      </c>
      <c r="E47" s="22" t="s">
        <v>61</v>
      </c>
      <c r="F47" s="22" t="s">
        <v>152</v>
      </c>
      <c r="G47" s="22" t="s">
        <v>60</v>
      </c>
      <c r="H47" s="22" t="s">
        <v>293</v>
      </c>
      <c r="I47" s="22" t="s">
        <v>294</v>
      </c>
      <c r="J47" s="22" t="s">
        <v>297</v>
      </c>
      <c r="K47" s="22" t="s">
        <v>175</v>
      </c>
      <c r="L47" s="22" t="s">
        <v>298</v>
      </c>
      <c r="N47" s="22" t="s">
        <v>157</v>
      </c>
      <c r="O47" s="22" t="s">
        <v>158</v>
      </c>
      <c r="P47" s="21">
        <v>10320</v>
      </c>
      <c r="Q47" s="21">
        <v>2.5</v>
      </c>
      <c r="R47" s="21">
        <v>1</v>
      </c>
      <c r="S47" s="21">
        <v>1</v>
      </c>
      <c r="T47" s="21" t="s">
        <v>159</v>
      </c>
      <c r="U47" s="21">
        <v>1</v>
      </c>
      <c r="V47" s="21">
        <v>1</v>
      </c>
      <c r="W47" s="24">
        <f t="shared" si="7"/>
        <v>27.748968542876781</v>
      </c>
      <c r="X47" s="24">
        <f t="shared" si="8"/>
        <v>1.3083333333333333</v>
      </c>
      <c r="Y47" s="21">
        <v>4000</v>
      </c>
      <c r="Z47" s="24">
        <f t="shared" si="2"/>
        <v>110995.87417150712</v>
      </c>
      <c r="AA47" s="24">
        <f t="shared" si="3"/>
        <v>5233.333333333333</v>
      </c>
      <c r="AB47" s="21">
        <v>100</v>
      </c>
      <c r="AC47" s="21">
        <v>100</v>
      </c>
      <c r="AD47" s="21">
        <v>100</v>
      </c>
      <c r="AE47" s="21" t="s">
        <v>159</v>
      </c>
      <c r="AF47" s="21">
        <v>0.01</v>
      </c>
      <c r="AG47" s="22">
        <v>1</v>
      </c>
      <c r="AH47" s="24">
        <f t="shared" si="9"/>
        <v>97522.272269543319</v>
      </c>
      <c r="AI47" s="24">
        <f t="shared" si="10"/>
        <v>5233.333333333333</v>
      </c>
      <c r="AJ47" s="21">
        <v>5236</v>
      </c>
      <c r="AK47" s="21">
        <v>100</v>
      </c>
      <c r="AL47" s="22" t="s">
        <v>161</v>
      </c>
      <c r="AM47" s="22">
        <v>0.22</v>
      </c>
      <c r="AN47" s="22" t="s">
        <v>229</v>
      </c>
      <c r="AO47" s="22" t="s">
        <v>229</v>
      </c>
      <c r="AP47" s="22" t="s">
        <v>230</v>
      </c>
      <c r="AQ47" s="22" t="str">
        <f t="shared" si="6"/>
        <v>Microphytoplankton</v>
      </c>
      <c r="AR47" s="22">
        <v>0</v>
      </c>
      <c r="AS47" s="22">
        <v>0</v>
      </c>
      <c r="AT47" s="22">
        <v>0</v>
      </c>
      <c r="AU47" s="22">
        <v>1</v>
      </c>
      <c r="AV47" s="22">
        <v>0</v>
      </c>
      <c r="AW47" s="22">
        <v>0</v>
      </c>
      <c r="AX47" s="22">
        <v>0</v>
      </c>
      <c r="AY47" s="22">
        <v>1</v>
      </c>
      <c r="AZ47" s="22">
        <v>1</v>
      </c>
      <c r="BA47" s="22">
        <v>1</v>
      </c>
      <c r="BB47" s="22">
        <v>3</v>
      </c>
      <c r="BC47" s="22">
        <v>2</v>
      </c>
      <c r="BD47" s="22">
        <v>2</v>
      </c>
      <c r="BE47" s="22">
        <v>1</v>
      </c>
    </row>
    <row r="48" spans="1:57">
      <c r="A48" s="21" t="s">
        <v>299</v>
      </c>
      <c r="B48" s="22" t="s">
        <v>149</v>
      </c>
      <c r="C48" s="22" t="s">
        <v>150</v>
      </c>
      <c r="D48" s="23" t="s">
        <v>151</v>
      </c>
      <c r="E48" s="22" t="s">
        <v>61</v>
      </c>
      <c r="F48" s="22" t="s">
        <v>152</v>
      </c>
      <c r="G48" s="22" t="s">
        <v>60</v>
      </c>
      <c r="H48" s="22" t="s">
        <v>293</v>
      </c>
      <c r="I48" s="22" t="s">
        <v>294</v>
      </c>
      <c r="J48" s="22" t="s">
        <v>297</v>
      </c>
      <c r="K48" s="22" t="s">
        <v>175</v>
      </c>
      <c r="L48" s="22" t="s">
        <v>300</v>
      </c>
      <c r="N48" s="22" t="s">
        <v>157</v>
      </c>
      <c r="O48" s="22" t="s">
        <v>158</v>
      </c>
      <c r="P48" s="21">
        <v>10322</v>
      </c>
      <c r="Q48" s="21">
        <v>2.5</v>
      </c>
      <c r="R48" s="21">
        <v>1</v>
      </c>
      <c r="S48" s="21">
        <v>1</v>
      </c>
      <c r="T48" s="21" t="s">
        <v>159</v>
      </c>
      <c r="U48" s="21">
        <v>1</v>
      </c>
      <c r="V48" s="21">
        <v>1</v>
      </c>
      <c r="W48" s="24">
        <f t="shared" si="7"/>
        <v>27.748968542876781</v>
      </c>
      <c r="X48" s="24">
        <f t="shared" si="8"/>
        <v>1.3083333333333333</v>
      </c>
      <c r="Y48" s="21">
        <v>7</v>
      </c>
      <c r="Z48" s="24">
        <f t="shared" si="2"/>
        <v>194.24277980013747</v>
      </c>
      <c r="AA48" s="24">
        <f t="shared" si="3"/>
        <v>9.1583333333333332</v>
      </c>
      <c r="AB48" s="21">
        <v>10</v>
      </c>
      <c r="AC48" s="21">
        <v>10</v>
      </c>
      <c r="AD48" s="21">
        <v>10</v>
      </c>
      <c r="AE48" s="21" t="s">
        <v>159</v>
      </c>
      <c r="AF48" s="21">
        <v>0.01</v>
      </c>
      <c r="AG48" s="22">
        <v>1</v>
      </c>
      <c r="AH48" s="24">
        <f t="shared" si="9"/>
        <v>990.0713501282612</v>
      </c>
      <c r="AI48" s="24">
        <f t="shared" si="10"/>
        <v>5.2333333333333334</v>
      </c>
      <c r="AJ48" s="21">
        <v>5.2333333333333334</v>
      </c>
      <c r="AK48" s="21">
        <v>10</v>
      </c>
      <c r="AL48" s="22" t="s">
        <v>161</v>
      </c>
      <c r="AM48" s="22">
        <v>0.22</v>
      </c>
      <c r="AN48" s="22" t="s">
        <v>229</v>
      </c>
      <c r="AO48" s="22" t="s">
        <v>229</v>
      </c>
      <c r="AP48" s="22" t="s">
        <v>230</v>
      </c>
      <c r="AQ48" s="22" t="str">
        <f t="shared" si="6"/>
        <v>Nanophytoplankton</v>
      </c>
      <c r="AR48" s="22">
        <v>0</v>
      </c>
      <c r="AS48" s="22">
        <v>0</v>
      </c>
      <c r="AT48" s="22">
        <v>0</v>
      </c>
      <c r="AU48" s="22">
        <v>1</v>
      </c>
      <c r="AV48" s="22">
        <v>0</v>
      </c>
      <c r="AW48" s="22">
        <v>0</v>
      </c>
      <c r="AX48" s="22">
        <v>0</v>
      </c>
      <c r="AY48" s="22">
        <v>1</v>
      </c>
      <c r="AZ48" s="22">
        <v>1</v>
      </c>
      <c r="BA48" s="22">
        <v>1</v>
      </c>
      <c r="BB48" s="22">
        <v>3</v>
      </c>
      <c r="BC48" s="22">
        <v>2</v>
      </c>
      <c r="BD48" s="22">
        <v>2</v>
      </c>
      <c r="BE48" s="22">
        <v>1</v>
      </c>
    </row>
    <row r="49" spans="1:57">
      <c r="A49" s="21" t="s">
        <v>301</v>
      </c>
      <c r="B49" s="22" t="s">
        <v>149</v>
      </c>
      <c r="C49" s="22" t="s">
        <v>150</v>
      </c>
      <c r="D49" s="23" t="s">
        <v>151</v>
      </c>
      <c r="E49" s="22" t="s">
        <v>61</v>
      </c>
      <c r="F49" s="22" t="s">
        <v>152</v>
      </c>
      <c r="G49" s="22" t="s">
        <v>60</v>
      </c>
      <c r="H49" s="22" t="s">
        <v>293</v>
      </c>
      <c r="I49" s="22" t="s">
        <v>294</v>
      </c>
      <c r="J49" s="22" t="s">
        <v>302</v>
      </c>
      <c r="N49" s="22" t="s">
        <v>303</v>
      </c>
      <c r="O49" s="22" t="s">
        <v>158</v>
      </c>
      <c r="P49" s="21">
        <v>10321</v>
      </c>
      <c r="Q49" s="21">
        <v>5</v>
      </c>
      <c r="R49" s="21">
        <v>2</v>
      </c>
      <c r="S49" s="21">
        <v>2</v>
      </c>
      <c r="T49" s="21" t="s">
        <v>159</v>
      </c>
      <c r="U49" s="21">
        <v>1</v>
      </c>
      <c r="V49" s="21">
        <v>1</v>
      </c>
      <c r="W49" s="24">
        <f t="shared" si="7"/>
        <v>102.05919525988442</v>
      </c>
      <c r="X49" s="24">
        <f t="shared" si="8"/>
        <v>10.466666666666667</v>
      </c>
      <c r="Y49" s="21">
        <v>13</v>
      </c>
      <c r="Z49" s="24">
        <f t="shared" si="2"/>
        <v>1326.7695383784974</v>
      </c>
      <c r="AA49" s="24">
        <f t="shared" si="3"/>
        <v>136.06666666666666</v>
      </c>
      <c r="AB49" s="21">
        <v>30</v>
      </c>
      <c r="AC49" s="21">
        <v>30</v>
      </c>
      <c r="AD49" s="21">
        <v>30</v>
      </c>
      <c r="AE49" s="21" t="s">
        <v>159</v>
      </c>
      <c r="AF49" s="21">
        <v>0.01</v>
      </c>
      <c r="AG49" s="22">
        <v>1</v>
      </c>
      <c r="AH49" s="24">
        <f t="shared" si="9"/>
        <v>8797.275695246879</v>
      </c>
      <c r="AI49" s="24">
        <f t="shared" si="10"/>
        <v>141.30000000000001</v>
      </c>
      <c r="AJ49" s="21">
        <v>141.30000000000001</v>
      </c>
      <c r="AK49" s="21">
        <v>30</v>
      </c>
      <c r="AL49" s="22" t="s">
        <v>304</v>
      </c>
      <c r="AM49" s="22">
        <v>0.22</v>
      </c>
      <c r="AN49" s="22" t="s">
        <v>229</v>
      </c>
      <c r="AO49" s="22" t="s">
        <v>229</v>
      </c>
      <c r="AP49" s="22" t="s">
        <v>230</v>
      </c>
      <c r="AQ49" s="22" t="str">
        <f t="shared" si="6"/>
        <v>Microphytoplankton</v>
      </c>
      <c r="AR49" s="22">
        <v>0</v>
      </c>
      <c r="AS49" s="22">
        <v>0</v>
      </c>
      <c r="AT49" s="22">
        <v>0</v>
      </c>
      <c r="AU49" s="22">
        <v>1</v>
      </c>
      <c r="AV49" s="22">
        <v>0</v>
      </c>
      <c r="AW49" s="22">
        <v>0</v>
      </c>
      <c r="AX49" s="22">
        <v>0</v>
      </c>
      <c r="AY49" s="22">
        <v>1</v>
      </c>
    </row>
    <row r="50" spans="1:57">
      <c r="A50" s="21" t="s">
        <v>305</v>
      </c>
      <c r="B50" s="22" t="s">
        <v>149</v>
      </c>
      <c r="C50" s="22" t="s">
        <v>150</v>
      </c>
      <c r="D50" s="23" t="s">
        <v>151</v>
      </c>
      <c r="E50" s="22" t="s">
        <v>61</v>
      </c>
      <c r="F50" s="22" t="s">
        <v>152</v>
      </c>
      <c r="G50" s="22" t="s">
        <v>60</v>
      </c>
      <c r="H50" s="22" t="s">
        <v>293</v>
      </c>
      <c r="I50" s="22" t="s">
        <v>294</v>
      </c>
      <c r="J50" s="22" t="s">
        <v>306</v>
      </c>
      <c r="K50" s="22" t="s">
        <v>241</v>
      </c>
      <c r="L50" s="22" t="s">
        <v>242</v>
      </c>
      <c r="N50" s="22" t="s">
        <v>307</v>
      </c>
      <c r="O50" s="22" t="s">
        <v>158</v>
      </c>
      <c r="P50" s="21">
        <v>13023</v>
      </c>
      <c r="Q50" s="21">
        <v>3</v>
      </c>
      <c r="R50" s="21">
        <v>1.5</v>
      </c>
      <c r="S50" s="21">
        <v>1.5</v>
      </c>
      <c r="T50" s="21" t="s">
        <v>159</v>
      </c>
      <c r="U50" s="27">
        <v>1</v>
      </c>
      <c r="V50" s="21">
        <v>1</v>
      </c>
      <c r="W50" s="24">
        <f t="shared" si="7"/>
        <v>48.453350622962667</v>
      </c>
      <c r="X50" s="24">
        <f t="shared" si="8"/>
        <v>3.5324999999999993</v>
      </c>
      <c r="Y50" s="21">
        <v>10</v>
      </c>
      <c r="Z50" s="24">
        <f t="shared" si="2"/>
        <v>484.53350622962665</v>
      </c>
      <c r="AA50" s="24">
        <f t="shared" si="3"/>
        <v>35.324999999999996</v>
      </c>
      <c r="AB50" s="21">
        <v>10</v>
      </c>
      <c r="AC50" s="21">
        <v>10</v>
      </c>
      <c r="AD50" s="21">
        <v>10</v>
      </c>
      <c r="AE50" s="21" t="s">
        <v>159</v>
      </c>
      <c r="AF50" s="21">
        <v>0.1</v>
      </c>
      <c r="AG50" s="22">
        <v>1</v>
      </c>
      <c r="AH50" s="24">
        <f t="shared" si="9"/>
        <v>990.0713501282612</v>
      </c>
      <c r="AI50" s="24">
        <f t="shared" si="10"/>
        <v>52.333333333333343</v>
      </c>
      <c r="AJ50" s="21">
        <v>52.333333333333343</v>
      </c>
      <c r="AK50" s="21">
        <v>10</v>
      </c>
      <c r="AL50" s="22" t="s">
        <v>161</v>
      </c>
      <c r="AM50" s="22">
        <v>0.22</v>
      </c>
      <c r="AN50" s="22" t="s">
        <v>229</v>
      </c>
      <c r="AO50" s="22" t="s">
        <v>229</v>
      </c>
      <c r="AP50" s="22" t="s">
        <v>230</v>
      </c>
      <c r="AQ50" s="22" t="str">
        <f t="shared" si="6"/>
        <v>Nanophytoplankton</v>
      </c>
      <c r="AR50" s="22">
        <v>0</v>
      </c>
      <c r="AS50" s="22">
        <v>0</v>
      </c>
      <c r="AT50" s="22">
        <v>0</v>
      </c>
      <c r="AU50" s="22">
        <v>1</v>
      </c>
      <c r="AV50" s="22">
        <v>0</v>
      </c>
      <c r="AW50" s="22">
        <v>0</v>
      </c>
      <c r="AX50" s="22">
        <v>0</v>
      </c>
      <c r="AY50" s="22">
        <v>1</v>
      </c>
    </row>
    <row r="51" spans="1:57">
      <c r="A51" s="21" t="s">
        <v>308</v>
      </c>
      <c r="B51" s="22" t="s">
        <v>149</v>
      </c>
      <c r="C51" s="22" t="s">
        <v>150</v>
      </c>
      <c r="D51" s="23" t="s">
        <v>151</v>
      </c>
      <c r="E51" s="22" t="s">
        <v>61</v>
      </c>
      <c r="F51" s="22" t="s">
        <v>152</v>
      </c>
      <c r="G51" s="22" t="s">
        <v>60</v>
      </c>
      <c r="H51" s="22" t="s">
        <v>293</v>
      </c>
      <c r="I51" s="22" t="s">
        <v>294</v>
      </c>
      <c r="J51" s="22" t="s">
        <v>309</v>
      </c>
      <c r="N51" s="22" t="s">
        <v>228</v>
      </c>
      <c r="O51" s="22" t="s">
        <v>158</v>
      </c>
      <c r="P51" s="22">
        <v>10330</v>
      </c>
      <c r="Q51" s="21">
        <v>2</v>
      </c>
      <c r="R51" s="21">
        <v>1</v>
      </c>
      <c r="S51" s="21">
        <v>1</v>
      </c>
      <c r="T51" s="21" t="s">
        <v>159</v>
      </c>
      <c r="U51" s="21">
        <v>1</v>
      </c>
      <c r="V51" s="21">
        <v>1</v>
      </c>
      <c r="W51" s="24">
        <f t="shared" si="7"/>
        <v>23.299401511037011</v>
      </c>
      <c r="X51" s="24">
        <f t="shared" si="8"/>
        <v>1.0466666666666666</v>
      </c>
      <c r="Y51" s="21">
        <v>300</v>
      </c>
      <c r="Z51" s="24">
        <f t="shared" si="2"/>
        <v>6989.8204533111038</v>
      </c>
      <c r="AA51" s="24">
        <f t="shared" si="3"/>
        <v>314</v>
      </c>
      <c r="AB51" s="21">
        <v>20</v>
      </c>
      <c r="AC51" s="21">
        <v>20</v>
      </c>
      <c r="AD51" s="21">
        <v>20</v>
      </c>
      <c r="AE51" s="21" t="s">
        <v>159</v>
      </c>
      <c r="AF51" s="21">
        <v>0.1</v>
      </c>
      <c r="AG51" s="22">
        <v>1</v>
      </c>
      <c r="AH51" s="24">
        <f t="shared" si="9"/>
        <v>3919.5162184844248</v>
      </c>
      <c r="AI51" s="24">
        <f t="shared" si="10"/>
        <v>418.66666666666674</v>
      </c>
      <c r="AJ51" s="21">
        <v>314</v>
      </c>
      <c r="AK51" s="21">
        <v>2</v>
      </c>
      <c r="AL51" s="22" t="s">
        <v>310</v>
      </c>
      <c r="AM51" s="22">
        <v>0.22</v>
      </c>
      <c r="AN51" s="22" t="s">
        <v>229</v>
      </c>
      <c r="AO51" s="22" t="s">
        <v>229</v>
      </c>
      <c r="AP51" s="22" t="s">
        <v>230</v>
      </c>
      <c r="AQ51" s="22" t="str">
        <f t="shared" si="6"/>
        <v>Nanophytoplankton</v>
      </c>
      <c r="AR51" s="22">
        <v>0</v>
      </c>
      <c r="AS51" s="22">
        <v>0</v>
      </c>
      <c r="AT51" s="22">
        <v>0</v>
      </c>
      <c r="AU51" s="22">
        <v>1</v>
      </c>
      <c r="AV51" s="22">
        <v>0</v>
      </c>
      <c r="AW51" s="22">
        <v>0</v>
      </c>
      <c r="AX51" s="22">
        <v>0</v>
      </c>
      <c r="AY51" s="22">
        <v>1</v>
      </c>
      <c r="AZ51" s="22">
        <v>1</v>
      </c>
      <c r="BA51" s="22">
        <v>1</v>
      </c>
      <c r="BB51" s="22">
        <v>3</v>
      </c>
      <c r="BC51" s="22">
        <v>2</v>
      </c>
      <c r="BD51" s="22">
        <v>2</v>
      </c>
      <c r="BE51" s="22">
        <v>1</v>
      </c>
    </row>
    <row r="52" spans="1:57">
      <c r="A52" s="22" t="s">
        <v>311</v>
      </c>
      <c r="B52" s="22" t="s">
        <v>149</v>
      </c>
      <c r="C52" s="22" t="s">
        <v>150</v>
      </c>
      <c r="D52" s="23" t="s">
        <v>151</v>
      </c>
      <c r="E52" s="22" t="s">
        <v>61</v>
      </c>
      <c r="F52" s="22" t="s">
        <v>152</v>
      </c>
      <c r="G52" s="22" t="s">
        <v>60</v>
      </c>
      <c r="H52" s="22" t="s">
        <v>293</v>
      </c>
      <c r="I52" s="22" t="s">
        <v>294</v>
      </c>
      <c r="J52" s="22" t="s">
        <v>211</v>
      </c>
      <c r="K52" s="22" t="s">
        <v>184</v>
      </c>
      <c r="L52" s="22" t="s">
        <v>245</v>
      </c>
      <c r="M52" s="22" t="s">
        <v>1</v>
      </c>
      <c r="N52" s="22" t="s">
        <v>228</v>
      </c>
      <c r="O52" s="22" t="s">
        <v>158</v>
      </c>
      <c r="P52" s="21">
        <v>10302</v>
      </c>
      <c r="Q52" s="22">
        <v>1.5</v>
      </c>
      <c r="R52" s="22">
        <v>1</v>
      </c>
      <c r="S52" s="22">
        <v>1</v>
      </c>
      <c r="T52" s="21" t="s">
        <v>160</v>
      </c>
      <c r="U52" s="21">
        <v>1</v>
      </c>
      <c r="V52" s="21">
        <v>1</v>
      </c>
      <c r="W52" s="24">
        <f>3.14*R52*Q52+2*3.14*(S52/2)^2/V52</f>
        <v>6.28</v>
      </c>
      <c r="X52" s="25">
        <f>(3.14/4*R52^2*Q52)*U52</f>
        <v>1.1775</v>
      </c>
      <c r="Y52" s="22">
        <v>1</v>
      </c>
      <c r="Z52" s="24">
        <f t="shared" si="2"/>
        <v>6.28</v>
      </c>
      <c r="AA52" s="24">
        <f t="shared" si="3"/>
        <v>1.1775</v>
      </c>
      <c r="AB52" s="21"/>
      <c r="AF52" s="21" t="s">
        <v>247</v>
      </c>
      <c r="AJ52" s="21">
        <v>1.1775</v>
      </c>
      <c r="AK52" s="21">
        <v>1.5</v>
      </c>
      <c r="AL52" s="22" t="s">
        <v>161</v>
      </c>
      <c r="AM52" s="22">
        <v>0.22</v>
      </c>
      <c r="AN52" s="22" t="s">
        <v>229</v>
      </c>
      <c r="AO52" s="22" t="s">
        <v>229</v>
      </c>
      <c r="AP52" s="22" t="s">
        <v>230</v>
      </c>
      <c r="AQ52" s="22" t="str">
        <f t="shared" si="6"/>
        <v>Nanophytoplankton</v>
      </c>
      <c r="AR52" s="22">
        <v>0</v>
      </c>
      <c r="AS52" s="22">
        <v>0</v>
      </c>
      <c r="AT52" s="22">
        <v>0</v>
      </c>
      <c r="AU52" s="22">
        <v>1</v>
      </c>
      <c r="AV52" s="22">
        <v>0</v>
      </c>
      <c r="AW52" s="22">
        <v>0</v>
      </c>
      <c r="AX52" s="22">
        <v>0</v>
      </c>
      <c r="AY52" s="22">
        <v>1</v>
      </c>
    </row>
    <row r="53" spans="1:57">
      <c r="A53" s="21" t="s">
        <v>312</v>
      </c>
      <c r="B53" s="22" t="s">
        <v>149</v>
      </c>
      <c r="C53" s="22" t="s">
        <v>150</v>
      </c>
      <c r="D53" s="23" t="s">
        <v>151</v>
      </c>
      <c r="E53" s="22" t="s">
        <v>61</v>
      </c>
      <c r="F53" s="22" t="s">
        <v>152</v>
      </c>
      <c r="G53" s="22" t="s">
        <v>60</v>
      </c>
      <c r="H53" s="22" t="s">
        <v>293</v>
      </c>
      <c r="I53" s="22" t="s">
        <v>294</v>
      </c>
      <c r="J53" s="22" t="s">
        <v>211</v>
      </c>
      <c r="M53" s="22" t="s">
        <v>1</v>
      </c>
      <c r="N53" s="22" t="s">
        <v>228</v>
      </c>
      <c r="O53" s="22" t="s">
        <v>158</v>
      </c>
      <c r="P53" s="21">
        <v>10300</v>
      </c>
      <c r="Q53" s="21">
        <v>2.5</v>
      </c>
      <c r="R53" s="21">
        <v>1</v>
      </c>
      <c r="S53" s="21">
        <v>1</v>
      </c>
      <c r="T53" s="21" t="s">
        <v>159</v>
      </c>
      <c r="U53" s="21">
        <v>1</v>
      </c>
      <c r="V53" s="21">
        <v>1</v>
      </c>
      <c r="W53" s="24">
        <f>(4*3.14*(((Q53^1.6*R53^1.6+Q53^1.6*S53^1.6+R53^1.6+S53^1.6)/3)^(1/1.6)))*(1/V53)</f>
        <v>27.748968542876781</v>
      </c>
      <c r="X53" s="24">
        <f>3.14/6*Q53*R53*S53*U53</f>
        <v>1.3083333333333333</v>
      </c>
      <c r="Y53" s="21">
        <v>4000</v>
      </c>
      <c r="Z53" s="24">
        <f t="shared" si="2"/>
        <v>110995.87417150712</v>
      </c>
      <c r="AA53" s="24">
        <f t="shared" si="3"/>
        <v>5233.333333333333</v>
      </c>
      <c r="AB53" s="21">
        <v>100</v>
      </c>
      <c r="AC53" s="21">
        <v>100</v>
      </c>
      <c r="AD53" s="21">
        <v>100</v>
      </c>
      <c r="AE53" s="21" t="s">
        <v>159</v>
      </c>
      <c r="AF53" s="21">
        <v>0.01</v>
      </c>
      <c r="AG53" s="22">
        <v>1</v>
      </c>
      <c r="AH53" s="24">
        <f>(4*3.14*(((AB53^1.6*AC53^1.6+AB53^1.6*AD53^1.6+AC53^1.6+AD53^1.6)/3)^(1/1.6)))*(1/AG53)</f>
        <v>97522.272269543319</v>
      </c>
      <c r="AI53" s="24">
        <f>3.14/6*AB53*AC53*AD53*AF53</f>
        <v>5233.333333333333</v>
      </c>
      <c r="AJ53" s="21">
        <v>5236</v>
      </c>
      <c r="AK53" s="21">
        <v>100</v>
      </c>
      <c r="AL53" s="22" t="s">
        <v>161</v>
      </c>
      <c r="AM53" s="22">
        <v>0.22</v>
      </c>
      <c r="AN53" s="22" t="s">
        <v>229</v>
      </c>
      <c r="AO53" s="22" t="s">
        <v>229</v>
      </c>
      <c r="AP53" s="22" t="s">
        <v>230</v>
      </c>
      <c r="AQ53" s="22" t="str">
        <f t="shared" si="6"/>
        <v>Microphytoplankton</v>
      </c>
      <c r="AR53" s="22">
        <v>0</v>
      </c>
      <c r="AS53" s="22">
        <v>0</v>
      </c>
      <c r="AT53" s="22">
        <v>0</v>
      </c>
      <c r="AU53" s="22">
        <v>1</v>
      </c>
      <c r="AV53" s="22">
        <v>0</v>
      </c>
      <c r="AW53" s="22">
        <v>0</v>
      </c>
      <c r="AX53" s="22">
        <v>0</v>
      </c>
      <c r="AY53" s="22">
        <v>1</v>
      </c>
    </row>
    <row r="54" spans="1:57">
      <c r="A54" s="21" t="s">
        <v>313</v>
      </c>
      <c r="B54" s="22" t="s">
        <v>149</v>
      </c>
      <c r="C54" s="22" t="s">
        <v>150</v>
      </c>
      <c r="D54" s="23" t="s">
        <v>151</v>
      </c>
      <c r="E54" s="22" t="s">
        <v>61</v>
      </c>
      <c r="F54" s="22" t="s">
        <v>152</v>
      </c>
      <c r="G54" s="22" t="s">
        <v>60</v>
      </c>
      <c r="H54" s="22" t="s">
        <v>293</v>
      </c>
      <c r="I54" s="22" t="s">
        <v>294</v>
      </c>
      <c r="J54" s="22" t="s">
        <v>314</v>
      </c>
      <c r="M54" s="22" t="s">
        <v>1</v>
      </c>
      <c r="N54" s="22" t="s">
        <v>228</v>
      </c>
      <c r="O54" s="22" t="s">
        <v>158</v>
      </c>
      <c r="P54" s="21">
        <v>10301</v>
      </c>
      <c r="Q54" s="21">
        <v>5</v>
      </c>
      <c r="R54" s="21">
        <v>1.5</v>
      </c>
      <c r="S54" s="21">
        <v>1.5</v>
      </c>
      <c r="T54" s="21" t="s">
        <v>159</v>
      </c>
      <c r="U54" s="21">
        <v>1</v>
      </c>
      <c r="V54" s="21">
        <v>1</v>
      </c>
      <c r="W54" s="24">
        <f>(4*3.14*(((Q54^1.6*R54^1.6+Q54^1.6*S54^1.6+R54^1.6+S54^1.6)/3)^(1/1.6)))*(1/V54)</f>
        <v>76.544396444913318</v>
      </c>
      <c r="X54" s="24">
        <f>3.14/6*Q54*R54*S54*U54</f>
        <v>5.8874999999999993</v>
      </c>
      <c r="Y54" s="21">
        <v>10</v>
      </c>
      <c r="Z54" s="24">
        <f t="shared" si="2"/>
        <v>765.4439644491332</v>
      </c>
      <c r="AA54" s="24">
        <f t="shared" si="3"/>
        <v>58.874999999999993</v>
      </c>
      <c r="AB54" s="21">
        <v>10</v>
      </c>
      <c r="AC54" s="21">
        <v>10</v>
      </c>
      <c r="AD54" s="21">
        <v>10</v>
      </c>
      <c r="AE54" s="21" t="s">
        <v>159</v>
      </c>
      <c r="AF54" s="21">
        <v>0.1</v>
      </c>
      <c r="AG54" s="22">
        <v>1</v>
      </c>
      <c r="AH54" s="24">
        <f>(4*3.14*(((AB54^1.6*AC54^1.6+AB54^1.6*AD54^1.6+AC54^1.6+AD54^1.6)/3)^(1/1.6)))*(1/AG54)</f>
        <v>990.0713501282612</v>
      </c>
      <c r="AI54" s="24">
        <f>3.14/6*AB54*AC54*AD54*AF54</f>
        <v>52.333333333333343</v>
      </c>
      <c r="AJ54" s="21">
        <v>58.875</v>
      </c>
      <c r="AK54" s="21">
        <v>5</v>
      </c>
      <c r="AL54" s="22" t="s">
        <v>315</v>
      </c>
      <c r="AM54" s="22">
        <v>0.22</v>
      </c>
      <c r="AN54" s="22" t="s">
        <v>229</v>
      </c>
      <c r="AO54" s="22" t="s">
        <v>229</v>
      </c>
      <c r="AP54" s="22" t="s">
        <v>230</v>
      </c>
      <c r="AQ54" s="22" t="str">
        <f t="shared" si="6"/>
        <v>Nanophytoplankton</v>
      </c>
      <c r="AR54" s="22">
        <v>0</v>
      </c>
      <c r="AS54" s="22">
        <v>0</v>
      </c>
      <c r="AT54" s="22">
        <v>0</v>
      </c>
      <c r="AU54" s="22">
        <v>1</v>
      </c>
      <c r="AV54" s="22">
        <v>0</v>
      </c>
      <c r="AW54" s="22">
        <v>0</v>
      </c>
      <c r="AX54" s="22">
        <v>0</v>
      </c>
      <c r="AY54" s="22">
        <v>1</v>
      </c>
    </row>
    <row r="55" spans="1:57" ht="14">
      <c r="A55" s="21" t="s">
        <v>316</v>
      </c>
      <c r="B55" s="22" t="s">
        <v>149</v>
      </c>
      <c r="C55" s="22" t="s">
        <v>150</v>
      </c>
      <c r="D55" s="23" t="s">
        <v>151</v>
      </c>
      <c r="E55" s="22" t="s">
        <v>61</v>
      </c>
      <c r="F55" s="22" t="s">
        <v>152</v>
      </c>
      <c r="G55" s="20" t="s">
        <v>153</v>
      </c>
      <c r="H55" s="22" t="s">
        <v>317</v>
      </c>
      <c r="I55" s="22" t="s">
        <v>318</v>
      </c>
      <c r="J55" s="22" t="s">
        <v>211</v>
      </c>
      <c r="M55" s="22" t="s">
        <v>1</v>
      </c>
      <c r="N55" s="22" t="s">
        <v>319</v>
      </c>
      <c r="O55" s="22" t="s">
        <v>158</v>
      </c>
      <c r="P55" s="21">
        <v>11800</v>
      </c>
      <c r="Q55" s="21">
        <v>4</v>
      </c>
      <c r="R55" s="21">
        <v>3.5</v>
      </c>
      <c r="S55" s="21">
        <v>3.5</v>
      </c>
      <c r="T55" s="21" t="s">
        <v>160</v>
      </c>
      <c r="U55" s="21">
        <v>0.8</v>
      </c>
      <c r="V55" s="21">
        <v>0.8</v>
      </c>
      <c r="W55" s="24">
        <f>3.14*R55*Q55+2*3.14*(S55/2)^2/V55</f>
        <v>68.000624999999999</v>
      </c>
      <c r="X55" s="25">
        <f>(3.14/4*R55^2*Q55)*U55</f>
        <v>30.772000000000006</v>
      </c>
      <c r="Y55" s="21">
        <v>15</v>
      </c>
      <c r="Z55" s="24">
        <f t="shared" si="2"/>
        <v>1020.009375</v>
      </c>
      <c r="AA55" s="24">
        <f t="shared" si="3"/>
        <v>461.5800000000001</v>
      </c>
      <c r="AB55" s="21">
        <v>60.4</v>
      </c>
      <c r="AC55" s="21">
        <v>3.5</v>
      </c>
      <c r="AD55" s="21">
        <v>3.5</v>
      </c>
      <c r="AE55" s="21" t="s">
        <v>160</v>
      </c>
      <c r="AF55" s="21">
        <v>0.92</v>
      </c>
      <c r="AG55" s="21">
        <v>0.92</v>
      </c>
      <c r="AH55" s="24">
        <f>3.14*AC55*AB55+2*3.14*(AD55/2)^2/AG55</f>
        <v>684.70089130434792</v>
      </c>
      <c r="AI55" s="25">
        <f>(3.14/4*AC55^2*AB55)*AF55</f>
        <v>534.35577999999998</v>
      </c>
      <c r="AJ55" s="21">
        <v>580</v>
      </c>
      <c r="AK55" s="21">
        <v>60.4</v>
      </c>
      <c r="AL55" s="22" t="s">
        <v>161</v>
      </c>
      <c r="AM55" s="22">
        <v>0.22</v>
      </c>
      <c r="AP55" s="22" t="s">
        <v>162</v>
      </c>
      <c r="AQ55" s="22" t="str">
        <f t="shared" si="6"/>
        <v>Microphytoplankton</v>
      </c>
      <c r="AR55" s="22">
        <v>0</v>
      </c>
      <c r="AS55" s="22">
        <v>0</v>
      </c>
      <c r="AT55" s="22">
        <v>0</v>
      </c>
      <c r="AU55" s="22">
        <v>1</v>
      </c>
      <c r="AV55" s="22">
        <v>1</v>
      </c>
      <c r="AW55" s="22">
        <v>0</v>
      </c>
      <c r="AX55" s="22">
        <v>0</v>
      </c>
      <c r="AY55" s="22">
        <v>1</v>
      </c>
    </row>
    <row r="56" spans="1:57">
      <c r="A56" s="21" t="s">
        <v>320</v>
      </c>
      <c r="B56" s="22" t="s">
        <v>149</v>
      </c>
      <c r="C56" s="22" t="s">
        <v>150</v>
      </c>
      <c r="D56" s="23" t="s">
        <v>151</v>
      </c>
      <c r="E56" s="22" t="s">
        <v>61</v>
      </c>
      <c r="F56" s="22" t="s">
        <v>152</v>
      </c>
      <c r="G56" s="22" t="s">
        <v>60</v>
      </c>
      <c r="H56" s="22" t="s">
        <v>226</v>
      </c>
      <c r="I56" s="22" t="s">
        <v>321</v>
      </c>
      <c r="J56" s="22" t="s">
        <v>322</v>
      </c>
      <c r="M56" s="22" t="s">
        <v>0</v>
      </c>
      <c r="N56" s="22" t="s">
        <v>323</v>
      </c>
      <c r="O56" s="22" t="s">
        <v>158</v>
      </c>
      <c r="P56" s="21">
        <v>11900</v>
      </c>
      <c r="Q56" s="21">
        <v>4</v>
      </c>
      <c r="R56" s="21">
        <v>4</v>
      </c>
      <c r="S56" s="21">
        <v>4</v>
      </c>
      <c r="T56" s="21" t="s">
        <v>281</v>
      </c>
      <c r="U56" s="21">
        <v>1</v>
      </c>
      <c r="V56" s="21">
        <v>1</v>
      </c>
      <c r="W56" s="24">
        <f>(4*3.14*(((Q56^1.6*R56^1.6+Q56^1.6*S56^1.6+R56^1.6+S56^1.6)/3)^(1/1.6)))*(1/V56)</f>
        <v>166.37591354482302</v>
      </c>
      <c r="X56" s="24">
        <f>3.14/6*Q56*R56*S56*U56</f>
        <v>33.493333333333332</v>
      </c>
      <c r="Y56" s="21">
        <v>1</v>
      </c>
      <c r="Z56" s="24">
        <f t="shared" si="2"/>
        <v>166.37591354482302</v>
      </c>
      <c r="AA56" s="24">
        <f t="shared" si="3"/>
        <v>33.493333333333332</v>
      </c>
      <c r="AB56" s="21"/>
      <c r="AC56" s="21"/>
      <c r="AD56" s="21"/>
      <c r="AE56" s="21"/>
      <c r="AF56" s="21" t="s">
        <v>247</v>
      </c>
      <c r="AG56" s="21"/>
      <c r="AH56" s="24"/>
      <c r="AI56" s="24"/>
      <c r="AJ56" s="21">
        <v>33.5</v>
      </c>
      <c r="AK56" s="21">
        <v>4</v>
      </c>
      <c r="AL56" s="22" t="s">
        <v>161</v>
      </c>
      <c r="AM56" s="22">
        <v>0.22</v>
      </c>
      <c r="AP56" s="22" t="s">
        <v>230</v>
      </c>
      <c r="AQ56" s="22" t="str">
        <f t="shared" si="6"/>
        <v>Nanophytoplankton</v>
      </c>
      <c r="AR56" s="22">
        <v>0</v>
      </c>
      <c r="AS56" s="22">
        <v>0</v>
      </c>
      <c r="AT56" s="22">
        <v>0</v>
      </c>
      <c r="AU56" s="22">
        <v>1</v>
      </c>
      <c r="AV56" s="22">
        <v>0</v>
      </c>
      <c r="AW56" s="22">
        <v>0</v>
      </c>
      <c r="AX56" s="22">
        <v>0</v>
      </c>
      <c r="AY56" s="22">
        <v>1</v>
      </c>
    </row>
    <row r="57" spans="1:57">
      <c r="A57" s="22" t="s">
        <v>324</v>
      </c>
      <c r="B57" s="22" t="s">
        <v>149</v>
      </c>
      <c r="C57" s="22" t="s">
        <v>150</v>
      </c>
      <c r="D57" s="23" t="s">
        <v>151</v>
      </c>
      <c r="E57" s="22" t="s">
        <v>61</v>
      </c>
      <c r="F57" s="22" t="s">
        <v>152</v>
      </c>
      <c r="G57" s="22" t="s">
        <v>60</v>
      </c>
      <c r="M57" s="22" t="s">
        <v>103</v>
      </c>
      <c r="O57" s="22" t="s">
        <v>158</v>
      </c>
      <c r="P57" s="21">
        <v>10409</v>
      </c>
      <c r="Q57" s="22">
        <v>1.5</v>
      </c>
      <c r="R57" s="22">
        <v>1.5</v>
      </c>
      <c r="S57" s="22">
        <v>1.5</v>
      </c>
      <c r="T57" s="22" t="s">
        <v>246</v>
      </c>
      <c r="U57" s="21">
        <v>1</v>
      </c>
      <c r="V57" s="22">
        <v>1</v>
      </c>
      <c r="W57" s="25">
        <f>4*3.14*(R57/2)*(Q57/2)/V57</f>
        <v>7.0649999999999995</v>
      </c>
      <c r="X57" s="25">
        <f>(3.14/6*(Q57*S57*R57))*U57</f>
        <v>1.7662499999999999</v>
      </c>
      <c r="Y57" s="22">
        <v>1</v>
      </c>
      <c r="Z57" s="24">
        <f t="shared" si="2"/>
        <v>7.0649999999999995</v>
      </c>
      <c r="AA57" s="24">
        <f t="shared" si="3"/>
        <v>1.7662499999999999</v>
      </c>
      <c r="AF57" s="21" t="s">
        <v>247</v>
      </c>
      <c r="AJ57" s="21">
        <v>1.7662499999999999</v>
      </c>
      <c r="AK57" s="21">
        <v>1.5</v>
      </c>
      <c r="AL57" s="22" t="s">
        <v>161</v>
      </c>
      <c r="AM57" s="22">
        <v>0.22</v>
      </c>
      <c r="AP57" s="22" t="s">
        <v>230</v>
      </c>
      <c r="AQ57" s="22" t="str">
        <f t="shared" si="6"/>
        <v>Nanophytoplankton</v>
      </c>
      <c r="AR57" s="22">
        <v>0</v>
      </c>
      <c r="AS57" s="22">
        <v>0</v>
      </c>
      <c r="AT57" s="22">
        <v>0</v>
      </c>
      <c r="AU57" s="22">
        <v>1</v>
      </c>
      <c r="AV57" s="22">
        <v>0</v>
      </c>
      <c r="AW57" s="22">
        <v>0</v>
      </c>
      <c r="AX57" s="22">
        <v>0</v>
      </c>
      <c r="AY57" s="22">
        <v>1</v>
      </c>
    </row>
    <row r="58" spans="1:57">
      <c r="A58" s="22" t="s">
        <v>325</v>
      </c>
      <c r="B58" s="22" t="s">
        <v>149</v>
      </c>
      <c r="C58" s="22" t="s">
        <v>150</v>
      </c>
      <c r="D58" s="23" t="s">
        <v>151</v>
      </c>
      <c r="E58" s="22" t="s">
        <v>61</v>
      </c>
      <c r="F58" s="22" t="s">
        <v>152</v>
      </c>
      <c r="G58" s="22" t="s">
        <v>60</v>
      </c>
      <c r="H58" s="22" t="s">
        <v>326</v>
      </c>
      <c r="I58" s="22" t="s">
        <v>35</v>
      </c>
      <c r="J58" s="22" t="s">
        <v>327</v>
      </c>
      <c r="K58" s="22" t="s">
        <v>184</v>
      </c>
      <c r="L58" s="22" t="s">
        <v>328</v>
      </c>
      <c r="N58" s="22" t="s">
        <v>329</v>
      </c>
      <c r="O58" s="22" t="s">
        <v>158</v>
      </c>
      <c r="P58" s="21">
        <v>10411</v>
      </c>
      <c r="Q58" s="22">
        <v>6.2</v>
      </c>
      <c r="R58" s="22">
        <v>6.2</v>
      </c>
      <c r="S58" s="22">
        <v>6.2</v>
      </c>
      <c r="T58" s="22" t="s">
        <v>246</v>
      </c>
      <c r="U58" s="21">
        <v>1</v>
      </c>
      <c r="V58" s="21">
        <v>1</v>
      </c>
      <c r="W58" s="25">
        <f>4*3.14*(R58/2)*(Q58/2)/V58</f>
        <v>120.7016</v>
      </c>
      <c r="X58" s="25">
        <f>(3.14/6*(Q58*S58*R58))*U58</f>
        <v>124.72498666666668</v>
      </c>
      <c r="Y58" s="22">
        <v>4</v>
      </c>
      <c r="Z58" s="24">
        <f t="shared" si="2"/>
        <v>482.8064</v>
      </c>
      <c r="AA58" s="24">
        <f t="shared" si="3"/>
        <v>498.89994666666672</v>
      </c>
      <c r="AB58" s="22">
        <v>30</v>
      </c>
      <c r="AC58" s="22">
        <v>30</v>
      </c>
      <c r="AD58" s="22">
        <v>30</v>
      </c>
      <c r="AE58" s="22" t="s">
        <v>330</v>
      </c>
      <c r="AF58" s="21">
        <v>0.05</v>
      </c>
      <c r="AG58" s="22">
        <v>1</v>
      </c>
      <c r="AH58" s="25">
        <f>(AB58*AC58*2+AB58*AD58*2+AC58*AD58*2)/AG58</f>
        <v>5400</v>
      </c>
      <c r="AI58" s="25">
        <f>AB58*AC58*AD58*AF58</f>
        <v>1350</v>
      </c>
      <c r="AJ58" s="21">
        <v>498.89994666666672</v>
      </c>
      <c r="AK58" s="21">
        <v>19</v>
      </c>
      <c r="AL58" s="22" t="s">
        <v>161</v>
      </c>
      <c r="AM58" s="22">
        <v>0.22</v>
      </c>
      <c r="AO58" s="22" t="s">
        <v>331</v>
      </c>
      <c r="AP58" s="22" t="s">
        <v>230</v>
      </c>
      <c r="AQ58" s="22" t="str">
        <f t="shared" si="6"/>
        <v>Nanophytoplankton</v>
      </c>
      <c r="AR58" s="22">
        <v>0</v>
      </c>
      <c r="AS58" s="22">
        <v>0</v>
      </c>
      <c r="AT58" s="22">
        <v>0</v>
      </c>
      <c r="AU58" s="22">
        <v>1</v>
      </c>
      <c r="AV58" s="22">
        <v>0</v>
      </c>
      <c r="AW58" s="22">
        <v>0</v>
      </c>
      <c r="AX58" s="22">
        <v>0</v>
      </c>
      <c r="AY58" s="22">
        <v>1</v>
      </c>
    </row>
    <row r="59" spans="1:57">
      <c r="A59" s="22" t="s">
        <v>332</v>
      </c>
      <c r="B59" s="22" t="s">
        <v>149</v>
      </c>
      <c r="C59" s="22" t="s">
        <v>150</v>
      </c>
      <c r="D59" s="23" t="s">
        <v>151</v>
      </c>
      <c r="E59" s="22" t="s">
        <v>61</v>
      </c>
      <c r="F59" s="22" t="s">
        <v>152</v>
      </c>
      <c r="G59" s="22" t="s">
        <v>60</v>
      </c>
      <c r="H59" s="22" t="s">
        <v>326</v>
      </c>
      <c r="I59" s="22" t="s">
        <v>35</v>
      </c>
      <c r="J59" s="22" t="s">
        <v>333</v>
      </c>
      <c r="N59" s="22" t="s">
        <v>167</v>
      </c>
      <c r="O59" s="22" t="s">
        <v>158</v>
      </c>
      <c r="P59" s="22">
        <v>10410</v>
      </c>
      <c r="Q59" s="21">
        <v>12</v>
      </c>
      <c r="R59" s="21">
        <v>12</v>
      </c>
      <c r="S59" s="21">
        <v>12</v>
      </c>
      <c r="T59" s="22" t="s">
        <v>246</v>
      </c>
      <c r="U59" s="21">
        <v>1</v>
      </c>
      <c r="V59" s="21">
        <v>1</v>
      </c>
      <c r="W59" s="25">
        <f>4*3.14*(R59/2)*(Q59/2)/V59</f>
        <v>452.15999999999997</v>
      </c>
      <c r="X59" s="25">
        <f>(3.14/6*(Q59*S59*R59))*U59</f>
        <v>904.31999999999994</v>
      </c>
      <c r="Y59" s="21">
        <v>4</v>
      </c>
      <c r="Z59" s="24">
        <f t="shared" si="2"/>
        <v>1808.6399999999999</v>
      </c>
      <c r="AA59" s="24">
        <f t="shared" si="3"/>
        <v>3617.2799999999997</v>
      </c>
      <c r="AB59" s="21">
        <v>60</v>
      </c>
      <c r="AC59" s="21">
        <v>60</v>
      </c>
      <c r="AD59" s="21">
        <v>30</v>
      </c>
      <c r="AE59" s="22" t="s">
        <v>330</v>
      </c>
      <c r="AF59" s="21">
        <v>0.3</v>
      </c>
      <c r="AG59" s="22">
        <v>1</v>
      </c>
      <c r="AH59" s="25">
        <f>(AB59*AC59*2+AB59*AD59*2+AC59*AD59*2)/AG59</f>
        <v>14400</v>
      </c>
      <c r="AI59" s="25">
        <f>AB59*AC59*AD59*AF59</f>
        <v>32400</v>
      </c>
      <c r="AJ59" s="21">
        <v>16964</v>
      </c>
      <c r="AK59" s="21">
        <v>60</v>
      </c>
      <c r="AL59" s="22" t="s">
        <v>161</v>
      </c>
      <c r="AM59" s="22">
        <v>0.22</v>
      </c>
      <c r="AO59" s="22" t="s">
        <v>331</v>
      </c>
      <c r="AP59" s="22" t="s">
        <v>230</v>
      </c>
      <c r="AQ59" s="22" t="str">
        <f t="shared" si="6"/>
        <v>Microphytoplankton</v>
      </c>
      <c r="AR59" s="22">
        <v>0</v>
      </c>
      <c r="AS59" s="22">
        <v>0</v>
      </c>
      <c r="AT59" s="22">
        <v>0</v>
      </c>
      <c r="AU59" s="22">
        <v>1</v>
      </c>
      <c r="AV59" s="22">
        <v>0</v>
      </c>
      <c r="AW59" s="22">
        <v>0</v>
      </c>
      <c r="AX59" s="22">
        <v>0</v>
      </c>
      <c r="AY59" s="22">
        <v>1</v>
      </c>
      <c r="AZ59" s="22">
        <v>1</v>
      </c>
      <c r="BA59" s="22">
        <v>3</v>
      </c>
      <c r="BB59" s="22">
        <v>3</v>
      </c>
      <c r="BC59" s="22">
        <v>2</v>
      </c>
      <c r="BD59" s="22">
        <v>1</v>
      </c>
      <c r="BE59" s="22">
        <v>0</v>
      </c>
    </row>
    <row r="60" spans="1:57">
      <c r="A60" s="22" t="s">
        <v>334</v>
      </c>
      <c r="B60" s="22" t="s">
        <v>149</v>
      </c>
      <c r="C60" s="22" t="s">
        <v>150</v>
      </c>
      <c r="D60" s="23" t="s">
        <v>151</v>
      </c>
      <c r="E60" s="22" t="s">
        <v>61</v>
      </c>
      <c r="F60" s="22" t="s">
        <v>152</v>
      </c>
      <c r="G60" s="22" t="s">
        <v>60</v>
      </c>
      <c r="H60" s="22" t="s">
        <v>326</v>
      </c>
      <c r="I60" s="22" t="s">
        <v>35</v>
      </c>
      <c r="J60" s="22" t="s">
        <v>335</v>
      </c>
      <c r="N60" s="22" t="s">
        <v>336</v>
      </c>
      <c r="O60" s="22" t="s">
        <v>158</v>
      </c>
      <c r="P60" s="22">
        <v>10412</v>
      </c>
      <c r="Q60" s="21">
        <v>2</v>
      </c>
      <c r="R60" s="21">
        <v>2</v>
      </c>
      <c r="S60" s="21">
        <v>2</v>
      </c>
      <c r="T60" s="22" t="s">
        <v>246</v>
      </c>
      <c r="U60" s="21">
        <v>1</v>
      </c>
      <c r="V60" s="21">
        <v>1</v>
      </c>
      <c r="W60" s="24">
        <f>(4*3.14*(((Q60^1.6*R60^1.6+Q60^1.6*S60^1.6+R60^1.6+S60^1.6)/3)^(1/1.6)))*(1/V60)</f>
        <v>46.59880302207403</v>
      </c>
      <c r="X60" s="24">
        <f>3.14/6*Q60*R60*S60*U60</f>
        <v>4.1866666666666665</v>
      </c>
      <c r="Y60" s="21">
        <v>4</v>
      </c>
      <c r="Z60" s="24">
        <f t="shared" si="2"/>
        <v>186.39521208829612</v>
      </c>
      <c r="AA60" s="24">
        <f t="shared" si="3"/>
        <v>16.746666666666666</v>
      </c>
      <c r="AB60" s="21">
        <v>10</v>
      </c>
      <c r="AC60" s="21">
        <v>10</v>
      </c>
      <c r="AD60" s="21">
        <v>6</v>
      </c>
      <c r="AE60" s="22" t="s">
        <v>330</v>
      </c>
      <c r="AF60" s="21">
        <v>0.2</v>
      </c>
      <c r="AG60" s="22">
        <v>1</v>
      </c>
      <c r="AH60" s="25">
        <f>(AB60*AC60*2+AB60*AD60*2+AC60*AD60*2)/AG60</f>
        <v>440</v>
      </c>
      <c r="AI60" s="25">
        <f>AB60*AC60*AD60*AF60</f>
        <v>120</v>
      </c>
      <c r="AJ60" s="21">
        <v>16.746666666666666</v>
      </c>
      <c r="AK60" s="21">
        <v>10</v>
      </c>
      <c r="AL60" s="22" t="s">
        <v>161</v>
      </c>
      <c r="AM60" s="22">
        <v>0.22</v>
      </c>
      <c r="AO60" s="22" t="s">
        <v>331</v>
      </c>
      <c r="AP60" s="22" t="s">
        <v>230</v>
      </c>
      <c r="AQ60" s="22" t="str">
        <f t="shared" si="6"/>
        <v>Nanophytoplankton</v>
      </c>
      <c r="AR60" s="22">
        <v>0</v>
      </c>
      <c r="AS60" s="22">
        <v>0</v>
      </c>
      <c r="AT60" s="22">
        <v>0</v>
      </c>
      <c r="AU60" s="22">
        <v>1</v>
      </c>
      <c r="AV60" s="22">
        <v>0</v>
      </c>
      <c r="AW60" s="22">
        <v>0</v>
      </c>
      <c r="AX60" s="22">
        <v>0</v>
      </c>
      <c r="AY60" s="22">
        <v>1</v>
      </c>
      <c r="AZ60" s="22">
        <v>1</v>
      </c>
      <c r="BA60" s="22">
        <v>3</v>
      </c>
      <c r="BB60" s="22">
        <v>3</v>
      </c>
      <c r="BC60" s="22">
        <v>2</v>
      </c>
      <c r="BD60" s="22">
        <v>1</v>
      </c>
      <c r="BE60" s="22">
        <v>0</v>
      </c>
    </row>
    <row r="61" spans="1:57">
      <c r="A61" s="22" t="s">
        <v>337</v>
      </c>
      <c r="B61" s="22" t="s">
        <v>149</v>
      </c>
      <c r="C61" s="22" t="s">
        <v>150</v>
      </c>
      <c r="D61" s="23" t="s">
        <v>151</v>
      </c>
      <c r="E61" s="22" t="s">
        <v>61</v>
      </c>
      <c r="F61" s="22" t="s">
        <v>152</v>
      </c>
      <c r="G61" s="22" t="s">
        <v>60</v>
      </c>
      <c r="H61" s="22" t="s">
        <v>326</v>
      </c>
      <c r="I61" s="22" t="s">
        <v>35</v>
      </c>
      <c r="J61" s="22" t="s">
        <v>335</v>
      </c>
      <c r="K61" s="22" t="s">
        <v>241</v>
      </c>
      <c r="L61" s="22" t="s">
        <v>289</v>
      </c>
      <c r="N61" s="22" t="s">
        <v>336</v>
      </c>
      <c r="O61" s="22" t="s">
        <v>158</v>
      </c>
      <c r="P61" s="22">
        <v>10413</v>
      </c>
      <c r="Q61" s="21">
        <v>2</v>
      </c>
      <c r="R61" s="21">
        <v>2</v>
      </c>
      <c r="S61" s="21">
        <v>2</v>
      </c>
      <c r="T61" s="22" t="s">
        <v>246</v>
      </c>
      <c r="U61" s="21">
        <v>1</v>
      </c>
      <c r="V61" s="21">
        <v>1</v>
      </c>
      <c r="W61" s="24">
        <f>(4*3.14*(((Q61^1.6*R61^1.6+Q61^1.6*S61^1.6+R61^1.6+S61^1.6)/3)^(1/1.6)))*(1/V61)</f>
        <v>46.59880302207403</v>
      </c>
      <c r="X61" s="24">
        <f>3.14/6*Q61*R61*S61*U61</f>
        <v>4.1866666666666665</v>
      </c>
      <c r="Y61" s="21">
        <v>150</v>
      </c>
      <c r="Z61" s="24">
        <f t="shared" si="2"/>
        <v>6989.8204533111048</v>
      </c>
      <c r="AA61" s="24">
        <f t="shared" si="3"/>
        <v>628</v>
      </c>
      <c r="AB61" s="21">
        <v>50</v>
      </c>
      <c r="AC61" s="21">
        <v>50</v>
      </c>
      <c r="AD61" s="21">
        <v>50</v>
      </c>
      <c r="AE61" s="22" t="s">
        <v>281</v>
      </c>
      <c r="AF61" s="21">
        <v>0.1</v>
      </c>
      <c r="AG61" s="22">
        <v>1</v>
      </c>
      <c r="AH61" s="24">
        <f>(4*3.14*(((AB61^1.6*AC61^1.6+AB61^1.6*AD61^1.6+AC61^1.6+AD61^1.6)/3)^(1/1.6)))*(1/AG61)</f>
        <v>24400.082151651244</v>
      </c>
      <c r="AI61" s="24">
        <f>3.14/6*AB61*AC61*AD61*AF61</f>
        <v>6541.666666666667</v>
      </c>
      <c r="AJ61" s="21">
        <v>628</v>
      </c>
      <c r="AK61" s="21">
        <v>10</v>
      </c>
      <c r="AL61" s="22" t="s">
        <v>338</v>
      </c>
      <c r="AM61" s="22">
        <v>0.22</v>
      </c>
      <c r="AO61" s="22" t="s">
        <v>331</v>
      </c>
      <c r="AP61" s="22" t="s">
        <v>230</v>
      </c>
      <c r="AQ61" s="22" t="str">
        <f t="shared" si="6"/>
        <v>Nanophytoplankton</v>
      </c>
      <c r="AR61" s="22">
        <v>0</v>
      </c>
      <c r="AS61" s="22">
        <v>0</v>
      </c>
      <c r="AT61" s="22">
        <v>0</v>
      </c>
      <c r="AU61" s="22">
        <v>1</v>
      </c>
      <c r="AV61" s="22">
        <v>0</v>
      </c>
      <c r="AW61" s="22">
        <v>0</v>
      </c>
      <c r="AX61" s="22">
        <v>0</v>
      </c>
      <c r="AY61" s="22">
        <v>1</v>
      </c>
      <c r="AZ61" s="22">
        <v>1</v>
      </c>
      <c r="BA61" s="22">
        <v>3</v>
      </c>
      <c r="BB61" s="22">
        <v>3</v>
      </c>
      <c r="BC61" s="22">
        <v>2</v>
      </c>
      <c r="BD61" s="22">
        <v>1</v>
      </c>
      <c r="BE61" s="22">
        <v>0</v>
      </c>
    </row>
    <row r="62" spans="1:57">
      <c r="A62" s="21" t="s">
        <v>339</v>
      </c>
      <c r="B62" s="22" t="s">
        <v>149</v>
      </c>
      <c r="C62" s="22" t="s">
        <v>150</v>
      </c>
      <c r="D62" s="23" t="s">
        <v>151</v>
      </c>
      <c r="E62" s="22" t="s">
        <v>61</v>
      </c>
      <c r="F62" s="22" t="s">
        <v>152</v>
      </c>
      <c r="G62" s="22" t="s">
        <v>60</v>
      </c>
      <c r="H62" s="22" t="s">
        <v>326</v>
      </c>
      <c r="I62" s="22" t="s">
        <v>35</v>
      </c>
      <c r="J62" s="22" t="s">
        <v>340</v>
      </c>
      <c r="N62" s="22" t="s">
        <v>341</v>
      </c>
      <c r="O62" s="22" t="s">
        <v>158</v>
      </c>
      <c r="P62" s="21">
        <v>10419</v>
      </c>
      <c r="Q62" s="21">
        <v>7.5</v>
      </c>
      <c r="R62" s="21">
        <v>7.5</v>
      </c>
      <c r="S62" s="21">
        <v>7.5</v>
      </c>
      <c r="T62" s="21" t="s">
        <v>281</v>
      </c>
      <c r="U62" s="21">
        <v>1</v>
      </c>
      <c r="V62" s="21">
        <v>1</v>
      </c>
      <c r="W62" s="24">
        <f>(4*3.14*(((Q62^1.6*R62^1.6+Q62^1.6*S62^1.6+R62^1.6+S62^1.6)/3)^(1/1.6)))*(1/V62)</f>
        <v>561.88729826443785</v>
      </c>
      <c r="X62" s="24">
        <f>3.14/6*Q62*R62*S62*U62</f>
        <v>220.78125</v>
      </c>
      <c r="Y62" s="21">
        <v>2</v>
      </c>
      <c r="Z62" s="24">
        <f t="shared" si="2"/>
        <v>1123.7745965288757</v>
      </c>
      <c r="AA62" s="24">
        <f t="shared" si="3"/>
        <v>441.5625</v>
      </c>
      <c r="AB62" s="21">
        <v>25</v>
      </c>
      <c r="AC62" s="21">
        <v>25</v>
      </c>
      <c r="AD62" s="21">
        <v>25</v>
      </c>
      <c r="AE62" s="22" t="s">
        <v>330</v>
      </c>
      <c r="AF62" s="21">
        <v>0.2</v>
      </c>
      <c r="AG62" s="22">
        <v>1</v>
      </c>
      <c r="AH62" s="25">
        <f t="shared" ref="AH62:AH68" si="11">(AB62*AC62*2+AB62*AD62*2+AC62*AD62*2)/AG62</f>
        <v>3750</v>
      </c>
      <c r="AI62" s="25">
        <f t="shared" ref="AI62:AI68" si="12">AB62*AC62*AD62*AF62</f>
        <v>3125</v>
      </c>
      <c r="AJ62" s="21">
        <v>441.5625</v>
      </c>
      <c r="AK62" s="21">
        <v>25</v>
      </c>
      <c r="AL62" s="22" t="s">
        <v>161</v>
      </c>
      <c r="AM62" s="22">
        <v>0.22</v>
      </c>
      <c r="AO62" s="22" t="s">
        <v>331</v>
      </c>
      <c r="AP62" s="22" t="s">
        <v>230</v>
      </c>
      <c r="AQ62" s="22" t="str">
        <f t="shared" si="6"/>
        <v>Microphytoplankton</v>
      </c>
      <c r="AR62" s="22">
        <v>0</v>
      </c>
      <c r="AS62" s="22">
        <v>0</v>
      </c>
      <c r="AT62" s="22">
        <v>0</v>
      </c>
      <c r="AU62" s="22">
        <v>1</v>
      </c>
      <c r="AV62" s="22">
        <v>0</v>
      </c>
      <c r="AW62" s="22">
        <v>0</v>
      </c>
      <c r="AX62" s="22">
        <v>0</v>
      </c>
      <c r="AY62" s="22">
        <v>1</v>
      </c>
    </row>
    <row r="63" spans="1:57">
      <c r="A63" s="28" t="s">
        <v>342</v>
      </c>
      <c r="B63" s="22" t="s">
        <v>149</v>
      </c>
      <c r="C63" s="22" t="s">
        <v>150</v>
      </c>
      <c r="D63" s="23" t="s">
        <v>151</v>
      </c>
      <c r="E63" s="22" t="s">
        <v>61</v>
      </c>
      <c r="F63" s="22" t="s">
        <v>152</v>
      </c>
      <c r="G63" s="22" t="s">
        <v>60</v>
      </c>
      <c r="H63" s="22" t="s">
        <v>326</v>
      </c>
      <c r="I63" s="22" t="s">
        <v>35</v>
      </c>
      <c r="J63" s="22" t="s">
        <v>343</v>
      </c>
      <c r="N63" s="22" t="s">
        <v>344</v>
      </c>
      <c r="O63" s="22" t="s">
        <v>158</v>
      </c>
      <c r="P63" s="21">
        <v>10421</v>
      </c>
      <c r="Q63" s="21">
        <v>1</v>
      </c>
      <c r="R63" s="21">
        <v>1</v>
      </c>
      <c r="S63" s="21">
        <v>1</v>
      </c>
      <c r="T63" s="21" t="s">
        <v>281</v>
      </c>
      <c r="U63" s="21">
        <v>1</v>
      </c>
      <c r="V63" s="21">
        <v>1</v>
      </c>
      <c r="W63" s="24">
        <f>(4*3.14*(((Q63^1.6*R63^1.6+Q63^1.6*S63^1.6+R63^1.6+S63^1.6)/3)^(1/1.6)))*(1/V63)</f>
        <v>15.034062444858044</v>
      </c>
      <c r="X63" s="24">
        <f>3.14/6*Q63*R63*S63*U63</f>
        <v>0.52333333333333332</v>
      </c>
      <c r="Y63" s="21">
        <v>120</v>
      </c>
      <c r="Z63" s="24">
        <f t="shared" si="2"/>
        <v>1804.0874933829652</v>
      </c>
      <c r="AA63" s="24">
        <f t="shared" si="3"/>
        <v>62.8</v>
      </c>
      <c r="AB63" s="21">
        <v>20</v>
      </c>
      <c r="AC63" s="21">
        <v>20</v>
      </c>
      <c r="AD63" s="21">
        <v>20</v>
      </c>
      <c r="AE63" s="22" t="s">
        <v>330</v>
      </c>
      <c r="AF63" s="21">
        <v>0.01</v>
      </c>
      <c r="AG63" s="22">
        <v>1</v>
      </c>
      <c r="AH63" s="25">
        <f t="shared" si="11"/>
        <v>2400</v>
      </c>
      <c r="AI63" s="25">
        <f t="shared" si="12"/>
        <v>80</v>
      </c>
      <c r="AJ63" s="21">
        <v>62.8</v>
      </c>
      <c r="AK63" s="21">
        <v>120</v>
      </c>
      <c r="AL63" s="22" t="s">
        <v>161</v>
      </c>
      <c r="AM63" s="22">
        <v>0.22</v>
      </c>
      <c r="AO63" s="22" t="s">
        <v>331</v>
      </c>
      <c r="AP63" s="22" t="s">
        <v>230</v>
      </c>
      <c r="AQ63" s="22" t="str">
        <f t="shared" si="6"/>
        <v>Microphytoplankton</v>
      </c>
      <c r="AR63" s="22">
        <v>0</v>
      </c>
      <c r="AS63" s="22">
        <v>0</v>
      </c>
      <c r="AT63" s="22">
        <v>0</v>
      </c>
      <c r="AU63" s="22">
        <v>1</v>
      </c>
      <c r="AV63" s="22">
        <v>0</v>
      </c>
      <c r="AW63" s="22">
        <v>0</v>
      </c>
      <c r="AX63" s="22">
        <v>0</v>
      </c>
      <c r="AY63" s="22">
        <v>1</v>
      </c>
    </row>
    <row r="64" spans="1:57">
      <c r="A64" s="28" t="s">
        <v>345</v>
      </c>
      <c r="B64" s="22" t="s">
        <v>149</v>
      </c>
      <c r="C64" s="22" t="s">
        <v>150</v>
      </c>
      <c r="D64" s="23" t="s">
        <v>151</v>
      </c>
      <c r="E64" s="22" t="s">
        <v>61</v>
      </c>
      <c r="F64" s="22" t="s">
        <v>152</v>
      </c>
      <c r="G64" s="22" t="s">
        <v>60</v>
      </c>
      <c r="H64" s="22" t="s">
        <v>326</v>
      </c>
      <c r="I64" s="22" t="s">
        <v>35</v>
      </c>
      <c r="J64" s="22" t="s">
        <v>346</v>
      </c>
      <c r="N64" s="22" t="s">
        <v>347</v>
      </c>
      <c r="O64" s="22" t="s">
        <v>158</v>
      </c>
      <c r="P64" s="21">
        <v>10422</v>
      </c>
      <c r="Q64" s="21">
        <v>4.5</v>
      </c>
      <c r="R64" s="21">
        <v>4.5</v>
      </c>
      <c r="S64" s="21">
        <v>4.5</v>
      </c>
      <c r="T64" s="21" t="s">
        <v>281</v>
      </c>
      <c r="U64" s="21">
        <v>1</v>
      </c>
      <c r="V64" s="21">
        <v>1</v>
      </c>
      <c r="W64" s="24">
        <f>(4*3.14*(((Q64^1.6*R64^1.6+Q64^1.6*S64^1.6+R64^1.6+S64^1.6)/3)^(1/1.6)))*(1/V64)</f>
        <v>208.34403784441878</v>
      </c>
      <c r="X64" s="24">
        <f>3.14/6*Q64*R64*S64*U64</f>
        <v>47.688749999999999</v>
      </c>
      <c r="Y64" s="21">
        <v>4</v>
      </c>
      <c r="Z64" s="24">
        <f t="shared" si="2"/>
        <v>833.37615137767511</v>
      </c>
      <c r="AA64" s="24">
        <f t="shared" si="3"/>
        <v>190.755</v>
      </c>
      <c r="AB64" s="21">
        <v>10</v>
      </c>
      <c r="AC64" s="21">
        <v>10</v>
      </c>
      <c r="AD64" s="21">
        <v>5</v>
      </c>
      <c r="AE64" s="22" t="s">
        <v>330</v>
      </c>
      <c r="AF64" s="21">
        <v>0.9</v>
      </c>
      <c r="AG64" s="22">
        <v>1</v>
      </c>
      <c r="AH64" s="25">
        <f t="shared" si="11"/>
        <v>400</v>
      </c>
      <c r="AI64" s="25">
        <f t="shared" si="12"/>
        <v>450</v>
      </c>
      <c r="AJ64" s="21">
        <v>190.755</v>
      </c>
      <c r="AK64" s="21">
        <v>10</v>
      </c>
      <c r="AL64" s="22" t="s">
        <v>161</v>
      </c>
      <c r="AM64" s="22">
        <v>0.22</v>
      </c>
      <c r="AO64" s="22" t="s">
        <v>331</v>
      </c>
      <c r="AP64" s="22" t="s">
        <v>230</v>
      </c>
      <c r="AQ64" s="22" t="str">
        <f t="shared" si="6"/>
        <v>Nanophytoplankton</v>
      </c>
      <c r="AR64" s="22">
        <v>0</v>
      </c>
      <c r="AS64" s="22">
        <v>0</v>
      </c>
      <c r="AT64" s="22">
        <v>0</v>
      </c>
      <c r="AU64" s="22">
        <v>1</v>
      </c>
      <c r="AV64" s="22">
        <v>0</v>
      </c>
      <c r="AW64" s="22">
        <v>0</v>
      </c>
      <c r="AX64" s="22">
        <v>0</v>
      </c>
      <c r="AY64" s="22">
        <v>1</v>
      </c>
    </row>
    <row r="65" spans="1:51">
      <c r="A65" s="28" t="s">
        <v>348</v>
      </c>
      <c r="B65" s="22" t="s">
        <v>149</v>
      </c>
      <c r="C65" s="22" t="s">
        <v>150</v>
      </c>
      <c r="D65" s="23" t="s">
        <v>151</v>
      </c>
      <c r="E65" s="22" t="s">
        <v>61</v>
      </c>
      <c r="F65" s="22" t="s">
        <v>152</v>
      </c>
      <c r="G65" s="22" t="s">
        <v>60</v>
      </c>
      <c r="H65" s="22" t="s">
        <v>326</v>
      </c>
      <c r="I65" s="22" t="s">
        <v>35</v>
      </c>
      <c r="J65" s="22" t="s">
        <v>349</v>
      </c>
      <c r="N65" s="22" t="s">
        <v>350</v>
      </c>
      <c r="O65" s="22" t="s">
        <v>158</v>
      </c>
      <c r="P65" s="21">
        <v>10423</v>
      </c>
      <c r="Q65" s="21">
        <v>6.5</v>
      </c>
      <c r="R65" s="21">
        <v>6.5</v>
      </c>
      <c r="S65" s="21">
        <v>6.5</v>
      </c>
      <c r="T65" s="22" t="s">
        <v>246</v>
      </c>
      <c r="U65" s="21">
        <v>1</v>
      </c>
      <c r="V65" s="21">
        <v>1</v>
      </c>
      <c r="W65" s="25">
        <f>4*3.14*(R65/2)*(Q65/2)/V65</f>
        <v>132.66499999999999</v>
      </c>
      <c r="X65" s="25">
        <f>(3.14/6*(Q65*S65*R65))*U65</f>
        <v>143.72041666666667</v>
      </c>
      <c r="Y65" s="21">
        <v>4</v>
      </c>
      <c r="Z65" s="24">
        <f t="shared" si="2"/>
        <v>530.66</v>
      </c>
      <c r="AA65" s="24">
        <f t="shared" si="3"/>
        <v>574.88166666666666</v>
      </c>
      <c r="AB65" s="21">
        <v>24</v>
      </c>
      <c r="AC65" s="21">
        <v>24</v>
      </c>
      <c r="AD65" s="21">
        <v>18</v>
      </c>
      <c r="AE65" s="22" t="s">
        <v>330</v>
      </c>
      <c r="AF65" s="21">
        <v>0.3</v>
      </c>
      <c r="AG65" s="22">
        <v>1</v>
      </c>
      <c r="AH65" s="25">
        <f t="shared" si="11"/>
        <v>2880</v>
      </c>
      <c r="AI65" s="25">
        <f t="shared" si="12"/>
        <v>3110.4</v>
      </c>
      <c r="AJ65" s="21">
        <v>574.88166666666666</v>
      </c>
      <c r="AK65" s="21">
        <v>24</v>
      </c>
      <c r="AL65" s="22" t="s">
        <v>161</v>
      </c>
      <c r="AM65" s="22">
        <v>0.22</v>
      </c>
      <c r="AO65" s="22" t="s">
        <v>331</v>
      </c>
      <c r="AP65" s="22" t="s">
        <v>230</v>
      </c>
      <c r="AQ65" s="22" t="str">
        <f t="shared" si="6"/>
        <v>Microphytoplankton</v>
      </c>
      <c r="AR65" s="22">
        <v>0</v>
      </c>
      <c r="AS65" s="22">
        <v>0</v>
      </c>
      <c r="AT65" s="22">
        <v>0</v>
      </c>
      <c r="AU65" s="22">
        <v>1</v>
      </c>
      <c r="AV65" s="22">
        <v>0</v>
      </c>
      <c r="AW65" s="22">
        <v>0</v>
      </c>
      <c r="AX65" s="22">
        <v>0</v>
      </c>
      <c r="AY65" s="22">
        <v>1</v>
      </c>
    </row>
    <row r="66" spans="1:51">
      <c r="A66" s="21" t="s">
        <v>351</v>
      </c>
      <c r="B66" s="22" t="s">
        <v>149</v>
      </c>
      <c r="C66" s="22" t="s">
        <v>150</v>
      </c>
      <c r="D66" s="23" t="s">
        <v>151</v>
      </c>
      <c r="E66" s="22" t="s">
        <v>61</v>
      </c>
      <c r="F66" s="22" t="s">
        <v>152</v>
      </c>
      <c r="G66" s="22" t="s">
        <v>60</v>
      </c>
      <c r="H66" s="22" t="s">
        <v>326</v>
      </c>
      <c r="I66" s="22" t="s">
        <v>35</v>
      </c>
      <c r="J66" s="22" t="s">
        <v>211</v>
      </c>
      <c r="M66" s="22" t="s">
        <v>1</v>
      </c>
      <c r="N66" s="22" t="s">
        <v>228</v>
      </c>
      <c r="O66" s="22" t="s">
        <v>158</v>
      </c>
      <c r="P66" s="21">
        <v>10400</v>
      </c>
      <c r="Q66" s="21">
        <v>10</v>
      </c>
      <c r="R66" s="21">
        <v>8</v>
      </c>
      <c r="S66" s="21">
        <v>8</v>
      </c>
      <c r="T66" s="21" t="s">
        <v>281</v>
      </c>
      <c r="U66" s="21">
        <v>1</v>
      </c>
      <c r="V66" s="21">
        <v>1</v>
      </c>
      <c r="W66" s="24">
        <f>(4*3.14*(((Q66^1.6*R66^1.6+Q66^1.6*S66^1.6+R66^1.6+S66^1.6)/3)^(1/1.6)))*(1/V66)</f>
        <v>792.05708010260832</v>
      </c>
      <c r="X66" s="24">
        <f>3.14/6*Q66*R66*S66*U66</f>
        <v>334.93333333333334</v>
      </c>
      <c r="Y66" s="21">
        <v>16</v>
      </c>
      <c r="Z66" s="24">
        <f t="shared" ref="Z66:Z129" si="13">Y66*W66</f>
        <v>12672.913281641733</v>
      </c>
      <c r="AA66" s="24">
        <f t="shared" ref="AA66:AA129" si="14">Y66*X66</f>
        <v>5358.9333333333334</v>
      </c>
      <c r="AB66" s="21">
        <v>100</v>
      </c>
      <c r="AC66" s="21">
        <v>32</v>
      </c>
      <c r="AD66" s="21">
        <v>32</v>
      </c>
      <c r="AE66" s="22" t="s">
        <v>330</v>
      </c>
      <c r="AF66" s="21">
        <v>0.1</v>
      </c>
      <c r="AG66" s="22">
        <v>1</v>
      </c>
      <c r="AH66" s="25">
        <f t="shared" si="11"/>
        <v>14848</v>
      </c>
      <c r="AI66" s="25">
        <f t="shared" si="12"/>
        <v>10240</v>
      </c>
      <c r="AJ66" s="21">
        <v>5361.7</v>
      </c>
      <c r="AK66" s="21">
        <v>60</v>
      </c>
      <c r="AL66" s="22" t="s">
        <v>161</v>
      </c>
      <c r="AM66" s="22">
        <v>0.22</v>
      </c>
      <c r="AO66" s="22" t="s">
        <v>331</v>
      </c>
      <c r="AP66" s="22" t="s">
        <v>230</v>
      </c>
      <c r="AQ66" s="22" t="str">
        <f t="shared" ref="AQ66:AQ129" si="15">IF(AND($AK66&lt;20,AJ66&lt;10000),"Nanophytoplankton","Microphytoplankton")</f>
        <v>Microphytoplankton</v>
      </c>
      <c r="AR66" s="22">
        <v>0</v>
      </c>
      <c r="AS66" s="22">
        <v>0</v>
      </c>
      <c r="AT66" s="22">
        <v>0</v>
      </c>
      <c r="AU66" s="22">
        <v>1</v>
      </c>
      <c r="AV66" s="22">
        <v>0</v>
      </c>
      <c r="AW66" s="22">
        <v>0</v>
      </c>
      <c r="AX66" s="22">
        <v>0</v>
      </c>
      <c r="AY66" s="22">
        <v>1</v>
      </c>
    </row>
    <row r="67" spans="1:51">
      <c r="A67" s="21" t="s">
        <v>352</v>
      </c>
      <c r="B67" s="22" t="s">
        <v>149</v>
      </c>
      <c r="C67" s="22" t="s">
        <v>150</v>
      </c>
      <c r="D67" s="23" t="s">
        <v>151</v>
      </c>
      <c r="E67" s="22" t="s">
        <v>61</v>
      </c>
      <c r="F67" s="22" t="s">
        <v>152</v>
      </c>
      <c r="G67" s="22" t="s">
        <v>60</v>
      </c>
      <c r="H67" s="22" t="s">
        <v>326</v>
      </c>
      <c r="I67" s="22" t="s">
        <v>35</v>
      </c>
      <c r="J67" s="22" t="s">
        <v>353</v>
      </c>
      <c r="K67" s="22" t="s">
        <v>184</v>
      </c>
      <c r="L67" s="22" t="s">
        <v>354</v>
      </c>
      <c r="N67" s="22" t="s">
        <v>355</v>
      </c>
      <c r="O67" s="22" t="s">
        <v>158</v>
      </c>
      <c r="P67" s="21">
        <v>10430</v>
      </c>
      <c r="Q67" s="21">
        <v>19</v>
      </c>
      <c r="R67" s="21">
        <v>15</v>
      </c>
      <c r="S67" s="21">
        <v>15</v>
      </c>
      <c r="T67" s="21" t="s">
        <v>281</v>
      </c>
      <c r="U67" s="21">
        <v>1</v>
      </c>
      <c r="V67" s="21">
        <v>1</v>
      </c>
      <c r="W67" s="24">
        <f>(4*3.14*(((Q67^1.6*R67^1.6+Q67^1.6*S67^1.6+R67^1.6+S67^1.6)/3)^(1/1.6)))*(1/V67)</f>
        <v>2793.8819874267106</v>
      </c>
      <c r="X67" s="24">
        <f>3.14/6*Q67*R67*S67*U67</f>
        <v>2237.25</v>
      </c>
      <c r="Y67" s="21">
        <v>8</v>
      </c>
      <c r="Z67" s="24">
        <f t="shared" si="13"/>
        <v>22351.055899413685</v>
      </c>
      <c r="AA67" s="24">
        <f t="shared" si="14"/>
        <v>17898</v>
      </c>
      <c r="AB67" s="21">
        <v>100</v>
      </c>
      <c r="AC67" s="21">
        <v>60</v>
      </c>
      <c r="AD67" s="21">
        <v>60</v>
      </c>
      <c r="AE67" s="22" t="s">
        <v>330</v>
      </c>
      <c r="AF67" s="21">
        <v>0.2</v>
      </c>
      <c r="AG67" s="22">
        <v>1</v>
      </c>
      <c r="AH67" s="25">
        <f t="shared" si="11"/>
        <v>31200</v>
      </c>
      <c r="AI67" s="25">
        <f t="shared" si="12"/>
        <v>72000</v>
      </c>
      <c r="AJ67" s="21">
        <v>17907.099999999999</v>
      </c>
      <c r="AK67" s="21">
        <v>70</v>
      </c>
      <c r="AL67" s="22" t="s">
        <v>161</v>
      </c>
      <c r="AM67" s="22">
        <v>0.22</v>
      </c>
      <c r="AO67" s="22" t="s">
        <v>331</v>
      </c>
      <c r="AP67" s="22" t="s">
        <v>230</v>
      </c>
      <c r="AQ67" s="22" t="str">
        <f t="shared" si="15"/>
        <v>Microphytoplankton</v>
      </c>
      <c r="AR67" s="22">
        <v>0</v>
      </c>
      <c r="AS67" s="22">
        <v>0</v>
      </c>
      <c r="AT67" s="22">
        <v>0</v>
      </c>
      <c r="AU67" s="22">
        <v>1</v>
      </c>
      <c r="AV67" s="22">
        <v>0</v>
      </c>
      <c r="AW67" s="22">
        <v>0</v>
      </c>
      <c r="AX67" s="22">
        <v>0</v>
      </c>
      <c r="AY67" s="22">
        <v>1</v>
      </c>
    </row>
    <row r="68" spans="1:51">
      <c r="A68" s="22" t="s">
        <v>356</v>
      </c>
      <c r="B68" s="22" t="s">
        <v>149</v>
      </c>
      <c r="C68" s="22" t="s">
        <v>150</v>
      </c>
      <c r="D68" s="23" t="s">
        <v>151</v>
      </c>
      <c r="E68" s="22" t="s">
        <v>61</v>
      </c>
      <c r="F68" s="22" t="s">
        <v>152</v>
      </c>
      <c r="G68" s="22" t="s">
        <v>60</v>
      </c>
      <c r="H68" s="22" t="s">
        <v>326</v>
      </c>
      <c r="I68" s="22" t="s">
        <v>35</v>
      </c>
      <c r="J68" s="22" t="s">
        <v>353</v>
      </c>
      <c r="K68" s="22" t="s">
        <v>184</v>
      </c>
      <c r="L68" s="22" t="s">
        <v>328</v>
      </c>
      <c r="N68" s="22" t="s">
        <v>357</v>
      </c>
      <c r="O68" s="22" t="s">
        <v>158</v>
      </c>
      <c r="P68" s="21">
        <v>10431</v>
      </c>
      <c r="Q68" s="22">
        <v>20</v>
      </c>
      <c r="R68" s="22">
        <v>20</v>
      </c>
      <c r="S68" s="22">
        <v>20</v>
      </c>
      <c r="T68" s="22" t="s">
        <v>246</v>
      </c>
      <c r="U68" s="21">
        <v>1</v>
      </c>
      <c r="V68" s="21">
        <v>1</v>
      </c>
      <c r="W68" s="25">
        <f>4*3.14*(R68/2)*(Q68/2)/V68</f>
        <v>1256</v>
      </c>
      <c r="X68" s="25">
        <f>(3.14/6*(Q68*S68*R68))*U68</f>
        <v>4186.666666666667</v>
      </c>
      <c r="Y68" s="22">
        <v>4</v>
      </c>
      <c r="Z68" s="24">
        <f t="shared" si="13"/>
        <v>5024</v>
      </c>
      <c r="AA68" s="24">
        <f t="shared" si="14"/>
        <v>16746.666666666668</v>
      </c>
      <c r="AB68" s="22">
        <v>100</v>
      </c>
      <c r="AC68" s="22">
        <v>60</v>
      </c>
      <c r="AD68" s="22">
        <v>60</v>
      </c>
      <c r="AE68" s="22" t="s">
        <v>330</v>
      </c>
      <c r="AF68" s="21">
        <v>0.2</v>
      </c>
      <c r="AG68" s="22">
        <v>1</v>
      </c>
      <c r="AH68" s="25">
        <f t="shared" si="11"/>
        <v>31200</v>
      </c>
      <c r="AI68" s="25">
        <f t="shared" si="12"/>
        <v>72000</v>
      </c>
      <c r="AJ68" s="21">
        <v>16746.666666666668</v>
      </c>
      <c r="AK68" s="21">
        <v>40</v>
      </c>
      <c r="AL68" s="22" t="s">
        <v>161</v>
      </c>
      <c r="AM68" s="22">
        <v>0.22</v>
      </c>
      <c r="AO68" s="22" t="s">
        <v>331</v>
      </c>
      <c r="AP68" s="22" t="s">
        <v>230</v>
      </c>
      <c r="AQ68" s="22" t="str">
        <f t="shared" si="15"/>
        <v>Microphytoplankton</v>
      </c>
      <c r="AR68" s="22">
        <v>0</v>
      </c>
      <c r="AS68" s="22">
        <v>0</v>
      </c>
      <c r="AT68" s="22">
        <v>0</v>
      </c>
      <c r="AU68" s="22">
        <v>1</v>
      </c>
      <c r="AV68" s="22">
        <v>0</v>
      </c>
      <c r="AW68" s="22">
        <v>0</v>
      </c>
      <c r="AX68" s="22">
        <v>0</v>
      </c>
      <c r="AY68" s="22">
        <v>1</v>
      </c>
    </row>
    <row r="69" spans="1:51">
      <c r="A69" s="22" t="s">
        <v>358</v>
      </c>
      <c r="B69" s="22" t="s">
        <v>149</v>
      </c>
      <c r="C69" s="22" t="s">
        <v>150</v>
      </c>
      <c r="D69" s="23" t="s">
        <v>151</v>
      </c>
      <c r="E69" s="22" t="s">
        <v>61</v>
      </c>
      <c r="F69" s="22" t="s">
        <v>152</v>
      </c>
      <c r="G69" s="22" t="s">
        <v>60</v>
      </c>
      <c r="H69" s="22" t="s">
        <v>326</v>
      </c>
      <c r="I69" s="22" t="s">
        <v>35</v>
      </c>
      <c r="J69" s="22" t="s">
        <v>359</v>
      </c>
      <c r="N69" s="22" t="s">
        <v>360</v>
      </c>
      <c r="O69" s="22" t="s">
        <v>158</v>
      </c>
      <c r="P69" s="21">
        <v>10432</v>
      </c>
      <c r="Q69" s="22">
        <v>3</v>
      </c>
      <c r="R69" s="22">
        <v>3</v>
      </c>
      <c r="S69" s="22">
        <v>3</v>
      </c>
      <c r="T69" s="22" t="s">
        <v>246</v>
      </c>
      <c r="U69" s="21">
        <v>1</v>
      </c>
      <c r="V69" s="21">
        <v>1</v>
      </c>
      <c r="W69" s="25">
        <f>4*3.14*(R69/2)*(Q69/2)/V69</f>
        <v>28.259999999999998</v>
      </c>
      <c r="X69" s="25">
        <f>(3.14/6*(Q69*S69*R69))*U69</f>
        <v>14.129999999999999</v>
      </c>
      <c r="Y69" s="22">
        <v>140</v>
      </c>
      <c r="Z69" s="24">
        <f t="shared" si="13"/>
        <v>3956.3999999999996</v>
      </c>
      <c r="AA69" s="24">
        <f t="shared" si="14"/>
        <v>1978.1999999999998</v>
      </c>
      <c r="AB69" s="22">
        <v>50</v>
      </c>
      <c r="AC69" s="22">
        <v>35</v>
      </c>
      <c r="AD69" s="22">
        <v>35</v>
      </c>
      <c r="AE69" s="21" t="s">
        <v>159</v>
      </c>
      <c r="AF69" s="21">
        <v>0.7</v>
      </c>
      <c r="AG69" s="22">
        <v>1</v>
      </c>
      <c r="AH69" s="24">
        <f>(4*3.14*(((AB69^1.6*AC69^1.6+AB69^1.6*AD69^1.6+AC69^1.6+AD69^1.6)/3)^(1/1.6)))*(1/AG69)</f>
        <v>17080.057506155885</v>
      </c>
      <c r="AI69" s="24">
        <f>3.14/6*AB69*AC69*AD69*AF69</f>
        <v>22437.916666666664</v>
      </c>
      <c r="AJ69" s="21">
        <v>1978.1999999999998</v>
      </c>
      <c r="AK69" s="21">
        <v>50</v>
      </c>
      <c r="AL69" s="22" t="s">
        <v>361</v>
      </c>
      <c r="AM69" s="22">
        <v>0.22</v>
      </c>
      <c r="AO69" s="22" t="s">
        <v>331</v>
      </c>
      <c r="AP69" s="22" t="s">
        <v>230</v>
      </c>
      <c r="AQ69" s="22" t="str">
        <f t="shared" si="15"/>
        <v>Microphytoplankton</v>
      </c>
      <c r="AR69" s="22">
        <v>0</v>
      </c>
      <c r="AS69" s="22">
        <v>0</v>
      </c>
      <c r="AT69" s="22">
        <v>0</v>
      </c>
      <c r="AU69" s="22">
        <v>1</v>
      </c>
      <c r="AV69" s="22">
        <v>0</v>
      </c>
      <c r="AW69" s="22">
        <v>0</v>
      </c>
      <c r="AX69" s="22">
        <v>0</v>
      </c>
      <c r="AY69" s="22">
        <v>1</v>
      </c>
    </row>
    <row r="70" spans="1:51">
      <c r="A70" s="21" t="s">
        <v>362</v>
      </c>
      <c r="B70" s="22" t="s">
        <v>149</v>
      </c>
      <c r="C70" s="22" t="s">
        <v>150</v>
      </c>
      <c r="D70" s="23" t="s">
        <v>151</v>
      </c>
      <c r="E70" s="22" t="s">
        <v>61</v>
      </c>
      <c r="F70" s="22" t="s">
        <v>152</v>
      </c>
      <c r="G70" s="22" t="s">
        <v>60</v>
      </c>
      <c r="H70" s="22" t="s">
        <v>226</v>
      </c>
      <c r="I70" s="22" t="s">
        <v>363</v>
      </c>
      <c r="J70" s="22" t="s">
        <v>364</v>
      </c>
      <c r="N70" s="22" t="s">
        <v>228</v>
      </c>
      <c r="O70" s="22" t="s">
        <v>158</v>
      </c>
      <c r="P70" s="21">
        <v>10510</v>
      </c>
      <c r="Q70" s="21">
        <v>2.5</v>
      </c>
      <c r="R70" s="21">
        <v>2.5</v>
      </c>
      <c r="S70" s="21">
        <v>2.5</v>
      </c>
      <c r="T70" s="21" t="s">
        <v>281</v>
      </c>
      <c r="U70" s="21">
        <v>1</v>
      </c>
      <c r="V70" s="21">
        <v>1</v>
      </c>
      <c r="W70" s="24">
        <f>(4*3.14*(((Q70^1.6*R70^1.6+Q70^1.6*S70^1.6+R70^1.6+S70^1.6)/3)^(1/1.6)))*(1/V70)</f>
        <v>69.372421357191953</v>
      </c>
      <c r="X70" s="24">
        <f>3.14/6*Q70*R70*S70*U70</f>
        <v>8.1770833333333339</v>
      </c>
      <c r="Y70" s="21">
        <v>80</v>
      </c>
      <c r="Z70" s="24">
        <f t="shared" si="13"/>
        <v>5549.7937085753565</v>
      </c>
      <c r="AA70" s="24">
        <f t="shared" si="14"/>
        <v>654.16666666666674</v>
      </c>
      <c r="AB70" s="21">
        <v>50</v>
      </c>
      <c r="AC70" s="21">
        <v>50</v>
      </c>
      <c r="AD70" s="21">
        <v>50</v>
      </c>
      <c r="AE70" s="21" t="s">
        <v>281</v>
      </c>
      <c r="AF70" s="21">
        <v>0.01</v>
      </c>
      <c r="AG70" s="21">
        <v>1</v>
      </c>
      <c r="AH70" s="24">
        <f>(4*3.14*(((AB70^1.6*AC70^1.6+AB70^1.6*AD70^1.6+AC70^1.6+AD70^1.6)/3)^(1/1.6)))*(1/AG70)</f>
        <v>24400.082151651244</v>
      </c>
      <c r="AI70" s="24">
        <f>3.14/6*AB70*AC70*AD70*AF70</f>
        <v>654.16666666666663</v>
      </c>
      <c r="AJ70" s="21">
        <v>654.5</v>
      </c>
      <c r="AK70" s="21">
        <v>50</v>
      </c>
      <c r="AL70" s="22" t="s">
        <v>161</v>
      </c>
      <c r="AM70" s="22">
        <v>0.22</v>
      </c>
      <c r="AO70" s="22" t="s">
        <v>331</v>
      </c>
      <c r="AP70" s="22" t="s">
        <v>230</v>
      </c>
      <c r="AQ70" s="22" t="str">
        <f t="shared" si="15"/>
        <v>Microphytoplankton</v>
      </c>
      <c r="AR70" s="22">
        <v>0</v>
      </c>
      <c r="AS70" s="22">
        <v>0</v>
      </c>
      <c r="AT70" s="22">
        <v>0</v>
      </c>
      <c r="AU70" s="22">
        <v>1</v>
      </c>
      <c r="AV70" s="22">
        <v>0</v>
      </c>
      <c r="AW70" s="22">
        <v>0</v>
      </c>
      <c r="AX70" s="22">
        <v>0</v>
      </c>
      <c r="AY70" s="22">
        <v>1</v>
      </c>
    </row>
    <row r="71" spans="1:51">
      <c r="A71" s="21" t="s">
        <v>365</v>
      </c>
      <c r="B71" s="22" t="s">
        <v>149</v>
      </c>
      <c r="C71" s="22" t="s">
        <v>150</v>
      </c>
      <c r="D71" s="23" t="s">
        <v>151</v>
      </c>
      <c r="E71" s="22" t="s">
        <v>61</v>
      </c>
      <c r="F71" s="22" t="s">
        <v>152</v>
      </c>
      <c r="G71" s="22" t="s">
        <v>60</v>
      </c>
      <c r="H71" s="22" t="s">
        <v>293</v>
      </c>
      <c r="I71" s="22" t="s">
        <v>366</v>
      </c>
      <c r="J71" s="22" t="s">
        <v>211</v>
      </c>
      <c r="M71" s="22" t="s">
        <v>1</v>
      </c>
      <c r="N71" s="22" t="s">
        <v>367</v>
      </c>
      <c r="O71" s="22" t="s">
        <v>158</v>
      </c>
      <c r="P71" s="21">
        <v>11945</v>
      </c>
      <c r="Q71" s="21">
        <v>3.5</v>
      </c>
      <c r="R71" s="21">
        <v>3.5</v>
      </c>
      <c r="S71" s="21">
        <v>3.5</v>
      </c>
      <c r="T71" s="21" t="s">
        <v>281</v>
      </c>
      <c r="U71" s="21">
        <v>1</v>
      </c>
      <c r="V71" s="22">
        <v>1</v>
      </c>
      <c r="W71" s="24">
        <f>(4*3.14*(((Q71^1.6*R71^1.6+Q71^1.6*S71^1.6+R71^1.6+S71^1.6)/3)^(1/1.6)))*(1/V71)</f>
        <v>129.23451491074422</v>
      </c>
      <c r="X71" s="24">
        <f>3.14/6*Q71*R71*S71*U71</f>
        <v>22.437916666666666</v>
      </c>
      <c r="Y71" s="21">
        <v>1</v>
      </c>
      <c r="Z71" s="24">
        <f t="shared" si="13"/>
        <v>129.23451491074422</v>
      </c>
      <c r="AA71" s="24">
        <f t="shared" si="14"/>
        <v>22.437916666666666</v>
      </c>
      <c r="AB71" s="21"/>
      <c r="AC71" s="21"/>
      <c r="AD71" s="21"/>
      <c r="AE71" s="21"/>
      <c r="AF71" s="21" t="s">
        <v>247</v>
      </c>
      <c r="AG71" s="21"/>
      <c r="AH71" s="24"/>
      <c r="AI71" s="24"/>
      <c r="AJ71" s="21">
        <v>43</v>
      </c>
      <c r="AK71" s="21">
        <v>3.5</v>
      </c>
      <c r="AL71" s="22" t="s">
        <v>161</v>
      </c>
      <c r="AM71" s="22">
        <v>0.22</v>
      </c>
      <c r="AO71" s="22" t="s">
        <v>368</v>
      </c>
      <c r="AP71" s="22" t="s">
        <v>230</v>
      </c>
      <c r="AQ71" s="22" t="str">
        <f t="shared" si="15"/>
        <v>Nanophytoplankton</v>
      </c>
      <c r="AR71" s="22">
        <v>0</v>
      </c>
      <c r="AS71" s="22">
        <v>0</v>
      </c>
      <c r="AT71" s="22">
        <v>0</v>
      </c>
      <c r="AU71" s="22">
        <v>0</v>
      </c>
      <c r="AV71" s="22">
        <v>0</v>
      </c>
      <c r="AW71" s="22">
        <v>0</v>
      </c>
      <c r="AX71" s="22">
        <v>0</v>
      </c>
      <c r="AY71" s="22">
        <v>1</v>
      </c>
    </row>
    <row r="72" spans="1:51">
      <c r="A72" s="21" t="s">
        <v>369</v>
      </c>
      <c r="B72" s="22" t="s">
        <v>149</v>
      </c>
      <c r="C72" s="22" t="s">
        <v>150</v>
      </c>
      <c r="D72" s="23" t="s">
        <v>151</v>
      </c>
      <c r="E72" s="22" t="s">
        <v>61</v>
      </c>
      <c r="F72" s="22" t="s">
        <v>152</v>
      </c>
      <c r="G72" s="23" t="s">
        <v>370</v>
      </c>
      <c r="H72" s="23" t="s">
        <v>293</v>
      </c>
      <c r="I72" s="22" t="s">
        <v>36</v>
      </c>
      <c r="J72" s="22" t="s">
        <v>371</v>
      </c>
      <c r="N72" s="23" t="s">
        <v>372</v>
      </c>
      <c r="O72" s="22" t="s">
        <v>158</v>
      </c>
      <c r="P72" s="21">
        <v>11946</v>
      </c>
      <c r="Q72" s="21">
        <v>1.5</v>
      </c>
      <c r="R72" s="21">
        <v>1</v>
      </c>
      <c r="S72" s="21">
        <v>1</v>
      </c>
      <c r="T72" s="21" t="s">
        <v>159</v>
      </c>
      <c r="U72" s="21">
        <v>1</v>
      </c>
      <c r="V72" s="21">
        <v>1</v>
      </c>
      <c r="W72" s="24">
        <f>(4*3.14*(((Q72^1.6*R72^1.6+Q72^1.6*S72^1.6+R72^1.6+S72^1.6)/3)^(1/1.6)))*(1/V72)</f>
        <v>19.017706802900982</v>
      </c>
      <c r="X72" s="24">
        <f>3.14/6*Q72*R72*S72*U72</f>
        <v>0.78499999999999992</v>
      </c>
      <c r="Y72" s="21">
        <v>500</v>
      </c>
      <c r="Z72" s="24">
        <f t="shared" si="13"/>
        <v>9508.8534014504912</v>
      </c>
      <c r="AA72" s="24">
        <f t="shared" si="14"/>
        <v>392.49999999999994</v>
      </c>
      <c r="AB72" s="21">
        <v>60</v>
      </c>
      <c r="AC72" s="21">
        <v>60</v>
      </c>
      <c r="AD72" s="21">
        <v>60</v>
      </c>
      <c r="AE72" s="21" t="s">
        <v>159</v>
      </c>
      <c r="AF72" s="21">
        <v>0.1</v>
      </c>
      <c r="AG72" s="21">
        <v>1</v>
      </c>
      <c r="AH72" s="24">
        <f>(4*3.14*(((AB72^1.6*AC72^1.6+AB72^1.6*AD72^1.6+AC72^1.6+AD72^1.6)/3)^(1/1.6)))*(1/AG72)</f>
        <v>35125.510065363924</v>
      </c>
      <c r="AI72" s="24">
        <f>3.14/6*AB72*AC72*AD72*AF72</f>
        <v>11304</v>
      </c>
      <c r="AJ72" s="21">
        <v>39.25</v>
      </c>
      <c r="AK72" s="21">
        <v>70</v>
      </c>
      <c r="AL72" s="22" t="s">
        <v>373</v>
      </c>
      <c r="AM72" s="22">
        <v>0.22</v>
      </c>
      <c r="AO72" s="22" t="s">
        <v>229</v>
      </c>
      <c r="AQ72" s="22" t="str">
        <f t="shared" si="15"/>
        <v>Microphytoplankton</v>
      </c>
      <c r="AR72" s="22">
        <v>0</v>
      </c>
      <c r="AS72" s="22">
        <v>0</v>
      </c>
      <c r="AT72" s="22">
        <v>0</v>
      </c>
      <c r="AU72" s="22">
        <v>1</v>
      </c>
      <c r="AV72" s="22">
        <v>0</v>
      </c>
      <c r="AW72" s="22">
        <v>0</v>
      </c>
      <c r="AX72" s="22">
        <v>0</v>
      </c>
      <c r="AY72" s="22">
        <v>1</v>
      </c>
    </row>
    <row r="73" spans="1:51">
      <c r="A73" s="21" t="s">
        <v>374</v>
      </c>
      <c r="B73" s="22" t="s">
        <v>149</v>
      </c>
      <c r="C73" s="22" t="s">
        <v>150</v>
      </c>
      <c r="D73" s="23" t="s">
        <v>151</v>
      </c>
      <c r="E73" s="22" t="s">
        <v>61</v>
      </c>
      <c r="F73" s="22" t="s">
        <v>152</v>
      </c>
      <c r="G73" s="22" t="s">
        <v>60</v>
      </c>
      <c r="H73" s="22" t="s">
        <v>326</v>
      </c>
      <c r="I73" s="22" t="s">
        <v>375</v>
      </c>
      <c r="J73" s="22" t="s">
        <v>376</v>
      </c>
      <c r="N73" s="23" t="s">
        <v>377</v>
      </c>
      <c r="O73" s="22" t="s">
        <v>158</v>
      </c>
      <c r="P73" s="21">
        <v>11947</v>
      </c>
      <c r="Q73" s="21">
        <v>9</v>
      </c>
      <c r="R73" s="21">
        <v>9</v>
      </c>
      <c r="S73" s="21">
        <v>9</v>
      </c>
      <c r="T73" s="21" t="s">
        <v>246</v>
      </c>
      <c r="U73" s="21">
        <v>1</v>
      </c>
      <c r="V73" s="21">
        <v>1</v>
      </c>
      <c r="W73" s="25">
        <f>4*3.14*(R73/2)*(Q73/2)/V73</f>
        <v>254.34</v>
      </c>
      <c r="X73" s="25">
        <f>(3.14/6*(Q73*S73*R73))*U73</f>
        <v>381.51</v>
      </c>
      <c r="Y73" s="21">
        <v>4</v>
      </c>
      <c r="Z73" s="24">
        <f t="shared" si="13"/>
        <v>1017.36</v>
      </c>
      <c r="AA73" s="24">
        <f t="shared" si="14"/>
        <v>1526.04</v>
      </c>
      <c r="AB73" s="21">
        <v>20</v>
      </c>
      <c r="AC73" s="21">
        <v>10</v>
      </c>
      <c r="AD73" s="21">
        <v>10</v>
      </c>
      <c r="AE73" s="21" t="s">
        <v>330</v>
      </c>
      <c r="AF73" s="21">
        <v>0.8</v>
      </c>
      <c r="AG73" s="21">
        <v>1</v>
      </c>
      <c r="AH73" s="25">
        <f>(AB73*AC73*2+AB73*AD73*2+AC73*AD73*2)/AG73</f>
        <v>1000</v>
      </c>
      <c r="AI73" s="25">
        <f>AB73*AC73*AD73*AF73</f>
        <v>1600</v>
      </c>
      <c r="AJ73" s="21">
        <v>1526.04</v>
      </c>
      <c r="AK73" s="21">
        <v>20</v>
      </c>
      <c r="AL73" s="22" t="s">
        <v>378</v>
      </c>
      <c r="AM73" s="22">
        <v>0.22</v>
      </c>
      <c r="AP73" s="22" t="s">
        <v>230</v>
      </c>
      <c r="AQ73" s="22" t="str">
        <f t="shared" si="15"/>
        <v>Microphytoplankton</v>
      </c>
      <c r="AR73" s="22">
        <v>0</v>
      </c>
      <c r="AS73" s="22">
        <v>0</v>
      </c>
      <c r="AT73" s="22">
        <v>0</v>
      </c>
      <c r="AU73" s="22">
        <v>1</v>
      </c>
      <c r="AV73" s="22">
        <v>0</v>
      </c>
      <c r="AW73" s="22">
        <v>0</v>
      </c>
      <c r="AX73" s="22">
        <v>0</v>
      </c>
      <c r="AY73" s="22">
        <v>1</v>
      </c>
    </row>
    <row r="74" spans="1:51">
      <c r="A74" s="21" t="s">
        <v>379</v>
      </c>
      <c r="B74" s="22" t="s">
        <v>149</v>
      </c>
      <c r="C74" s="22" t="s">
        <v>150</v>
      </c>
      <c r="D74" s="23" t="s">
        <v>151</v>
      </c>
      <c r="E74" s="22" t="s">
        <v>61</v>
      </c>
      <c r="F74" s="22" t="s">
        <v>152</v>
      </c>
      <c r="G74" s="22" t="s">
        <v>164</v>
      </c>
      <c r="H74" s="22" t="s">
        <v>165</v>
      </c>
      <c r="I74" s="22" t="s">
        <v>380</v>
      </c>
      <c r="J74" s="22" t="s">
        <v>381</v>
      </c>
      <c r="N74" s="22" t="s">
        <v>382</v>
      </c>
      <c r="O74" s="22" t="s">
        <v>158</v>
      </c>
      <c r="P74" s="21">
        <v>11950</v>
      </c>
      <c r="Q74" s="21">
        <v>3.5</v>
      </c>
      <c r="R74" s="21">
        <v>3.5</v>
      </c>
      <c r="S74" s="21">
        <v>3.5</v>
      </c>
      <c r="T74" s="21" t="s">
        <v>160</v>
      </c>
      <c r="U74" s="21">
        <v>1</v>
      </c>
      <c r="V74" s="21">
        <v>1</v>
      </c>
      <c r="W74" s="24">
        <f>3.14*R74*Q74+2*3.14*(S74/2)^2/V74</f>
        <v>57.697500000000005</v>
      </c>
      <c r="X74" s="25">
        <f>(3.14/4*R74^2*Q74)*U74</f>
        <v>33.656874999999999</v>
      </c>
      <c r="Y74" s="21">
        <v>80</v>
      </c>
      <c r="Z74" s="24">
        <f t="shared" si="13"/>
        <v>4615.8</v>
      </c>
      <c r="AA74" s="24">
        <f t="shared" si="14"/>
        <v>2692.55</v>
      </c>
      <c r="AB74" s="21">
        <v>280</v>
      </c>
      <c r="AC74" s="21">
        <v>3.5</v>
      </c>
      <c r="AD74" s="21">
        <v>3.5</v>
      </c>
      <c r="AE74" s="21" t="s">
        <v>160</v>
      </c>
      <c r="AF74" s="21">
        <v>1</v>
      </c>
      <c r="AG74" s="21">
        <v>1</v>
      </c>
      <c r="AH74" s="24">
        <f>3.14*AC74*AB74+2*3.14*(AD74/2)^2/AG74</f>
        <v>3096.4325000000003</v>
      </c>
      <c r="AI74" s="25">
        <f>(3.14/4*AC74^2*AB74)*AF74</f>
        <v>2692.55</v>
      </c>
      <c r="AJ74" s="21">
        <v>1795.9</v>
      </c>
      <c r="AK74" s="21">
        <v>100</v>
      </c>
      <c r="AL74" s="22" t="s">
        <v>161</v>
      </c>
      <c r="AM74" s="22">
        <v>0.22</v>
      </c>
      <c r="AO74" s="22" t="s">
        <v>383</v>
      </c>
      <c r="AP74" s="22" t="s">
        <v>169</v>
      </c>
      <c r="AQ74" s="22" t="str">
        <f t="shared" si="15"/>
        <v>Microphytoplankton</v>
      </c>
      <c r="AR74" s="22">
        <v>0</v>
      </c>
      <c r="AS74" s="22">
        <v>0</v>
      </c>
      <c r="AT74" s="22">
        <v>0</v>
      </c>
      <c r="AU74" s="22">
        <v>1</v>
      </c>
      <c r="AV74" s="22">
        <v>1</v>
      </c>
      <c r="AW74" s="22">
        <v>0</v>
      </c>
      <c r="AX74" s="22">
        <v>0</v>
      </c>
      <c r="AY74" s="22">
        <v>1</v>
      </c>
    </row>
    <row r="75" spans="1:51" ht="14">
      <c r="A75" s="21" t="s">
        <v>384</v>
      </c>
      <c r="B75" s="22" t="s">
        <v>149</v>
      </c>
      <c r="C75" s="22" t="s">
        <v>150</v>
      </c>
      <c r="D75" s="23" t="s">
        <v>151</v>
      </c>
      <c r="E75" s="22" t="s">
        <v>61</v>
      </c>
      <c r="F75" s="22" t="s">
        <v>152</v>
      </c>
      <c r="G75" s="20" t="s">
        <v>153</v>
      </c>
      <c r="H75" s="22" t="s">
        <v>154</v>
      </c>
      <c r="I75" s="22" t="s">
        <v>385</v>
      </c>
      <c r="J75" s="22" t="s">
        <v>386</v>
      </c>
      <c r="N75" s="22" t="s">
        <v>387</v>
      </c>
      <c r="O75" s="22" t="s">
        <v>158</v>
      </c>
      <c r="P75" s="21">
        <v>10930</v>
      </c>
      <c r="Q75" s="21">
        <v>5</v>
      </c>
      <c r="R75" s="21">
        <v>2</v>
      </c>
      <c r="S75" s="21">
        <v>2</v>
      </c>
      <c r="T75" s="21" t="s">
        <v>281</v>
      </c>
      <c r="U75" s="21">
        <v>1</v>
      </c>
      <c r="V75" s="21">
        <v>1</v>
      </c>
      <c r="W75" s="24">
        <f>(4*3.14*(((Q75^1.6*R75^1.6+Q75^1.6*S75^1.6+R75^1.6+S75^1.6)/3)^(1/1.6)))*(1/V75)</f>
        <v>102.05919525988442</v>
      </c>
      <c r="X75" s="24">
        <f>3.14/6*Q75*R75*S75*U75</f>
        <v>10.466666666666667</v>
      </c>
      <c r="Y75" s="21">
        <v>25</v>
      </c>
      <c r="Z75" s="24">
        <f t="shared" si="13"/>
        <v>2551.4798814971105</v>
      </c>
      <c r="AA75" s="24">
        <f t="shared" si="14"/>
        <v>261.66666666666669</v>
      </c>
      <c r="AB75" s="21">
        <v>100</v>
      </c>
      <c r="AC75" s="21">
        <v>2</v>
      </c>
      <c r="AD75" s="21">
        <v>2</v>
      </c>
      <c r="AE75" s="21" t="s">
        <v>160</v>
      </c>
      <c r="AF75" s="21">
        <v>1</v>
      </c>
      <c r="AG75" s="21">
        <v>1</v>
      </c>
      <c r="AH75" s="24">
        <f>3.14*AC75*AB75+2*3.14*(AD75/2)^2/AG75</f>
        <v>634.28</v>
      </c>
      <c r="AI75" s="25">
        <f>(3.14/4*AC75^2*AB75)*AF75</f>
        <v>314</v>
      </c>
      <c r="AJ75" s="21">
        <v>314.2</v>
      </c>
      <c r="AK75" s="21">
        <v>100</v>
      </c>
      <c r="AL75" s="22" t="s">
        <v>161</v>
      </c>
      <c r="AM75" s="22">
        <v>0.22</v>
      </c>
      <c r="AO75" s="22" t="s">
        <v>388</v>
      </c>
      <c r="AP75" s="22" t="s">
        <v>162</v>
      </c>
      <c r="AQ75" s="22" t="str">
        <f t="shared" si="15"/>
        <v>Microphytoplankton</v>
      </c>
      <c r="AR75" s="22">
        <v>0</v>
      </c>
      <c r="AS75" s="22">
        <v>0</v>
      </c>
      <c r="AT75" s="22">
        <v>0</v>
      </c>
      <c r="AU75" s="22">
        <v>1</v>
      </c>
      <c r="AV75" s="22">
        <v>1</v>
      </c>
      <c r="AW75" s="22">
        <v>0</v>
      </c>
      <c r="AX75" s="22">
        <v>0</v>
      </c>
      <c r="AY75" s="22">
        <v>1</v>
      </c>
    </row>
    <row r="76" spans="1:51" ht="14">
      <c r="A76" s="21" t="s">
        <v>389</v>
      </c>
      <c r="B76" s="22" t="s">
        <v>149</v>
      </c>
      <c r="C76" s="22" t="s">
        <v>150</v>
      </c>
      <c r="D76" s="23" t="s">
        <v>151</v>
      </c>
      <c r="E76" s="22" t="s">
        <v>61</v>
      </c>
      <c r="F76" s="22" t="s">
        <v>152</v>
      </c>
      <c r="G76" s="20" t="s">
        <v>153</v>
      </c>
      <c r="H76" s="22" t="s">
        <v>154</v>
      </c>
      <c r="I76" s="22" t="s">
        <v>385</v>
      </c>
      <c r="J76" s="22" t="s">
        <v>390</v>
      </c>
      <c r="N76" s="22" t="s">
        <v>391</v>
      </c>
      <c r="O76" s="22" t="s">
        <v>158</v>
      </c>
      <c r="P76" s="21">
        <v>10931</v>
      </c>
      <c r="Q76" s="21">
        <f>(3+9)/2</f>
        <v>6</v>
      </c>
      <c r="R76" s="21">
        <f>(1.8+3)/2</f>
        <v>2.4</v>
      </c>
      <c r="S76" s="21">
        <f>(1.8+3)/2</f>
        <v>2.4</v>
      </c>
      <c r="T76" s="21" t="s">
        <v>160</v>
      </c>
      <c r="U76" s="21">
        <v>1</v>
      </c>
      <c r="V76" s="21">
        <v>1</v>
      </c>
      <c r="W76" s="24">
        <f>3.14*R76*Q76+2*3.14*(S76/2)^2/V76</f>
        <v>54.259199999999993</v>
      </c>
      <c r="X76" s="25">
        <f>(3.14/4*R76^2*Q76)*U76</f>
        <v>27.129600000000003</v>
      </c>
      <c r="Y76" s="21">
        <v>17</v>
      </c>
      <c r="Z76" s="24">
        <f t="shared" si="13"/>
        <v>922.40639999999985</v>
      </c>
      <c r="AA76" s="24">
        <f t="shared" si="14"/>
        <v>461.20320000000004</v>
      </c>
      <c r="AB76" s="21">
        <v>100</v>
      </c>
      <c r="AC76" s="21">
        <v>3.5</v>
      </c>
      <c r="AD76" s="21">
        <v>3.5</v>
      </c>
      <c r="AE76" s="21" t="s">
        <v>160</v>
      </c>
      <c r="AF76" s="21">
        <v>1</v>
      </c>
      <c r="AG76" s="21">
        <v>1</v>
      </c>
      <c r="AH76" s="24">
        <f>3.14*AC76*AB76+2*3.14*(AD76/2)^2/AG76</f>
        <v>1118.2325000000001</v>
      </c>
      <c r="AI76" s="25">
        <f>(3.14/4*AC76^2*AB76)*AF76</f>
        <v>961.62500000000011</v>
      </c>
      <c r="AJ76" s="21">
        <v>461</v>
      </c>
      <c r="AK76" s="21">
        <v>100</v>
      </c>
      <c r="AL76" s="22" t="s">
        <v>161</v>
      </c>
      <c r="AM76" s="22">
        <v>0.22</v>
      </c>
      <c r="AO76" s="22" t="s">
        <v>388</v>
      </c>
      <c r="AP76" s="22" t="s">
        <v>162</v>
      </c>
      <c r="AQ76" s="22" t="str">
        <f t="shared" si="15"/>
        <v>Microphytoplankton</v>
      </c>
      <c r="AR76" s="22">
        <v>0</v>
      </c>
      <c r="AS76" s="22">
        <v>0</v>
      </c>
      <c r="AT76" s="22">
        <v>0</v>
      </c>
      <c r="AU76" s="22">
        <v>1</v>
      </c>
      <c r="AV76" s="22">
        <v>1</v>
      </c>
      <c r="AW76" s="22">
        <v>0</v>
      </c>
      <c r="AX76" s="22">
        <v>0</v>
      </c>
      <c r="AY76" s="22">
        <v>1</v>
      </c>
    </row>
    <row r="77" spans="1:51">
      <c r="A77" s="21" t="s">
        <v>392</v>
      </c>
      <c r="B77" s="22" t="s">
        <v>149</v>
      </c>
      <c r="C77" s="22" t="s">
        <v>150</v>
      </c>
      <c r="D77" s="23" t="s">
        <v>151</v>
      </c>
      <c r="E77" s="22" t="s">
        <v>61</v>
      </c>
      <c r="F77" s="22" t="s">
        <v>152</v>
      </c>
      <c r="G77" s="22" t="s">
        <v>60</v>
      </c>
      <c r="H77" s="22" t="s">
        <v>326</v>
      </c>
      <c r="I77" s="22" t="s">
        <v>393</v>
      </c>
      <c r="J77" s="22" t="s">
        <v>394</v>
      </c>
      <c r="N77" s="22" t="s">
        <v>395</v>
      </c>
      <c r="O77" s="22" t="s">
        <v>158</v>
      </c>
      <c r="P77" s="21">
        <v>10451</v>
      </c>
      <c r="Q77" s="21">
        <v>4.5</v>
      </c>
      <c r="R77" s="21">
        <v>4.5</v>
      </c>
      <c r="S77" s="21">
        <v>4.5</v>
      </c>
      <c r="T77" s="21" t="s">
        <v>246</v>
      </c>
      <c r="U77" s="21">
        <v>1</v>
      </c>
      <c r="V77" s="21">
        <v>1</v>
      </c>
      <c r="W77" s="25">
        <f>4*3.14*(R77/2)*(Q77/2)/V77</f>
        <v>63.585000000000001</v>
      </c>
      <c r="X77" s="25">
        <f>(3.14/6*(Q77*S77*R77))*U77</f>
        <v>47.688749999999999</v>
      </c>
      <c r="Y77" s="21">
        <v>2</v>
      </c>
      <c r="Z77" s="24">
        <f t="shared" si="13"/>
        <v>127.17</v>
      </c>
      <c r="AA77" s="24">
        <f t="shared" si="14"/>
        <v>95.377499999999998</v>
      </c>
      <c r="AB77" s="21">
        <v>25</v>
      </c>
      <c r="AC77" s="21">
        <v>25</v>
      </c>
      <c r="AD77" s="21">
        <v>25</v>
      </c>
      <c r="AE77" s="21" t="s">
        <v>246</v>
      </c>
      <c r="AF77" s="21">
        <v>1</v>
      </c>
      <c r="AG77" s="21">
        <v>1</v>
      </c>
      <c r="AH77" s="25">
        <f>4*3.14*(AC77/2)*(AB77/2)/AG77</f>
        <v>1962.5</v>
      </c>
      <c r="AI77" s="25">
        <f>(3.14/6*(AD77*AB77*AC77))*AF77</f>
        <v>8177.083333333333</v>
      </c>
      <c r="AJ77" s="21">
        <v>0</v>
      </c>
      <c r="AK77" s="21">
        <v>25</v>
      </c>
      <c r="AL77" s="22" t="s">
        <v>161</v>
      </c>
      <c r="AM77" s="22">
        <v>0.22</v>
      </c>
      <c r="AQ77" s="22" t="str">
        <f t="shared" si="15"/>
        <v>Microphytoplankton</v>
      </c>
      <c r="AR77" s="22">
        <v>0</v>
      </c>
      <c r="AS77" s="22">
        <v>0</v>
      </c>
      <c r="AT77" s="22">
        <v>0</v>
      </c>
      <c r="AU77" s="22">
        <v>1</v>
      </c>
      <c r="AV77" s="22">
        <v>0</v>
      </c>
      <c r="AW77" s="22">
        <v>0</v>
      </c>
      <c r="AX77" s="22">
        <v>0</v>
      </c>
      <c r="AY77" s="22">
        <v>1</v>
      </c>
    </row>
    <row r="78" spans="1:51">
      <c r="A78" s="21" t="s">
        <v>396</v>
      </c>
      <c r="B78" s="22" t="s">
        <v>149</v>
      </c>
      <c r="C78" s="22" t="s">
        <v>150</v>
      </c>
      <c r="D78" s="23" t="s">
        <v>151</v>
      </c>
      <c r="E78" s="22" t="s">
        <v>61</v>
      </c>
      <c r="F78" s="22" t="s">
        <v>152</v>
      </c>
      <c r="G78" s="22" t="s">
        <v>60</v>
      </c>
      <c r="H78" s="22" t="s">
        <v>326</v>
      </c>
      <c r="I78" s="22" t="s">
        <v>397</v>
      </c>
      <c r="J78" s="22" t="s">
        <v>211</v>
      </c>
      <c r="M78" s="22" t="s">
        <v>1</v>
      </c>
      <c r="N78" s="22" t="s">
        <v>398</v>
      </c>
      <c r="O78" s="22" t="s">
        <v>158</v>
      </c>
      <c r="P78" s="21">
        <v>10450</v>
      </c>
      <c r="Q78" s="21">
        <v>3</v>
      </c>
      <c r="R78" s="21">
        <v>3</v>
      </c>
      <c r="S78" s="21">
        <v>3</v>
      </c>
      <c r="T78" s="21" t="s">
        <v>246</v>
      </c>
      <c r="U78" s="21">
        <v>1</v>
      </c>
      <c r="V78" s="21">
        <v>1</v>
      </c>
      <c r="W78" s="25">
        <f>4*3.14*(R78/2)*(Q78/2)/V78</f>
        <v>28.259999999999998</v>
      </c>
      <c r="X78" s="25">
        <f>(3.14/6*(Q78*S78*R78))*U78</f>
        <v>14.129999999999999</v>
      </c>
      <c r="Y78" s="21">
        <v>15</v>
      </c>
      <c r="Z78" s="24">
        <f t="shared" si="13"/>
        <v>423.9</v>
      </c>
      <c r="AA78" s="24">
        <f t="shared" si="14"/>
        <v>211.95</v>
      </c>
      <c r="AB78" s="21">
        <v>9</v>
      </c>
      <c r="AC78" s="21">
        <v>9</v>
      </c>
      <c r="AD78" s="21">
        <v>9</v>
      </c>
      <c r="AE78" s="21" t="s">
        <v>330</v>
      </c>
      <c r="AF78" s="21">
        <v>0.9</v>
      </c>
      <c r="AG78" s="21">
        <v>1</v>
      </c>
      <c r="AH78" s="25">
        <f>(AB78*AC78*2+AB78*AD78*2+AC78*AD78*2)/AG78</f>
        <v>486</v>
      </c>
      <c r="AI78" s="25">
        <f>AB78*AC78*AD78*AF78</f>
        <v>656.1</v>
      </c>
      <c r="AJ78" s="21">
        <v>211.94999999999996</v>
      </c>
      <c r="AK78" s="21">
        <v>3</v>
      </c>
      <c r="AL78" s="22" t="s">
        <v>399</v>
      </c>
      <c r="AM78" s="22">
        <v>0.22</v>
      </c>
      <c r="AP78" s="22" t="s">
        <v>230</v>
      </c>
      <c r="AQ78" s="22" t="str">
        <f t="shared" si="15"/>
        <v>Nanophytoplankton</v>
      </c>
      <c r="AR78" s="22">
        <v>0</v>
      </c>
      <c r="AS78" s="22">
        <v>0</v>
      </c>
      <c r="AT78" s="22">
        <v>0</v>
      </c>
      <c r="AU78" s="22">
        <v>1</v>
      </c>
      <c r="AV78" s="22">
        <v>0</v>
      </c>
      <c r="AW78" s="22">
        <v>0</v>
      </c>
      <c r="AX78" s="22">
        <v>0</v>
      </c>
      <c r="AY78" s="22">
        <v>1</v>
      </c>
    </row>
    <row r="79" spans="1:51">
      <c r="A79" s="22" t="s">
        <v>400</v>
      </c>
      <c r="B79" s="22" t="s">
        <v>149</v>
      </c>
      <c r="C79" s="22" t="s">
        <v>150</v>
      </c>
      <c r="D79" s="23" t="s">
        <v>151</v>
      </c>
      <c r="E79" s="22" t="s">
        <v>61</v>
      </c>
      <c r="F79" s="22" t="s">
        <v>152</v>
      </c>
      <c r="G79" s="22" t="s">
        <v>60</v>
      </c>
      <c r="H79" s="22" t="s">
        <v>226</v>
      </c>
      <c r="I79" s="22" t="s">
        <v>401</v>
      </c>
      <c r="J79" s="22" t="s">
        <v>402</v>
      </c>
      <c r="N79" s="22" t="s">
        <v>403</v>
      </c>
      <c r="O79" s="22" t="s">
        <v>158</v>
      </c>
      <c r="P79" s="22">
        <v>10630</v>
      </c>
      <c r="Q79" s="21">
        <v>10</v>
      </c>
      <c r="R79" s="21">
        <v>5</v>
      </c>
      <c r="S79" s="21">
        <v>5</v>
      </c>
      <c r="T79" s="21" t="s">
        <v>281</v>
      </c>
      <c r="U79" s="21">
        <v>1</v>
      </c>
      <c r="V79" s="21">
        <v>1</v>
      </c>
      <c r="W79" s="24">
        <f>(4*3.14*(((Q79^1.6*R79^1.6+Q79^1.6*S79^1.6+R79^1.6+S79^1.6)/3)^(1/1.6)))*(1/V79)</f>
        <v>495.03567506413054</v>
      </c>
      <c r="X79" s="24">
        <f>3.14/6*Q79*R79*S79*U79</f>
        <v>130.83333333333334</v>
      </c>
      <c r="Y79" s="21">
        <v>50</v>
      </c>
      <c r="Z79" s="24">
        <f t="shared" si="13"/>
        <v>24751.783753206528</v>
      </c>
      <c r="AA79" s="24">
        <f t="shared" si="14"/>
        <v>6541.666666666667</v>
      </c>
      <c r="AB79" s="21">
        <v>25</v>
      </c>
      <c r="AC79" s="21">
        <v>25</v>
      </c>
      <c r="AD79" s="21">
        <v>25</v>
      </c>
      <c r="AE79" s="21" t="s">
        <v>281</v>
      </c>
      <c r="AF79" s="21">
        <v>0.8</v>
      </c>
      <c r="AG79" s="21">
        <v>1</v>
      </c>
      <c r="AH79" s="24">
        <f>(4*3.14*(((AB79^1.6*AC79^1.6+AB79^1.6*AD79^1.6+AC79^1.6+AD79^1.6)/3)^(1/1.6)))*(1/AG79)</f>
        <v>6114.7951676261209</v>
      </c>
      <c r="AI79" s="24">
        <f>3.14/6*AB79*AC79*AD79*AF79</f>
        <v>6541.666666666667</v>
      </c>
      <c r="AJ79" s="21">
        <v>6545</v>
      </c>
      <c r="AK79" s="21">
        <v>25</v>
      </c>
      <c r="AL79" s="22" t="s">
        <v>161</v>
      </c>
      <c r="AM79" s="22">
        <v>0.22</v>
      </c>
      <c r="AP79" s="22" t="s">
        <v>230</v>
      </c>
      <c r="AQ79" s="22" t="str">
        <f t="shared" si="15"/>
        <v>Microphytoplankton</v>
      </c>
      <c r="AR79" s="22">
        <v>0</v>
      </c>
      <c r="AS79" s="22">
        <v>0</v>
      </c>
      <c r="AT79" s="22">
        <v>0</v>
      </c>
      <c r="AU79" s="22">
        <v>1</v>
      </c>
      <c r="AV79" s="22">
        <v>0</v>
      </c>
      <c r="AW79" s="22">
        <v>0</v>
      </c>
      <c r="AX79" s="22">
        <v>0</v>
      </c>
      <c r="AY79" s="22">
        <v>1</v>
      </c>
    </row>
    <row r="80" spans="1:51">
      <c r="A80" s="21" t="s">
        <v>404</v>
      </c>
      <c r="B80" s="22" t="s">
        <v>149</v>
      </c>
      <c r="C80" s="22" t="s">
        <v>150</v>
      </c>
      <c r="D80" s="23" t="s">
        <v>151</v>
      </c>
      <c r="E80" s="22" t="s">
        <v>61</v>
      </c>
      <c r="F80" s="22" t="s">
        <v>152</v>
      </c>
      <c r="G80" s="22" t="s">
        <v>60</v>
      </c>
      <c r="H80" s="22" t="s">
        <v>226</v>
      </c>
      <c r="I80" s="22" t="s">
        <v>401</v>
      </c>
      <c r="J80" s="22" t="s">
        <v>405</v>
      </c>
      <c r="N80" s="22" t="s">
        <v>406</v>
      </c>
      <c r="O80" s="22" t="s">
        <v>158</v>
      </c>
      <c r="P80" s="21">
        <v>10640</v>
      </c>
      <c r="Q80" s="21">
        <v>4.5</v>
      </c>
      <c r="R80" s="21">
        <v>3.5</v>
      </c>
      <c r="S80" s="21">
        <v>3.5</v>
      </c>
      <c r="T80" s="21" t="s">
        <v>281</v>
      </c>
      <c r="U80" s="21">
        <v>1</v>
      </c>
      <c r="V80" s="21">
        <v>1</v>
      </c>
      <c r="W80" s="24">
        <f>(4*3.14*(((Q80^1.6*R80^1.6+Q80^1.6*S80^1.6+R80^1.6+S80^1.6)/3)^(1/1.6)))*(1/V80)</f>
        <v>162.04536276788127</v>
      </c>
      <c r="X80" s="24">
        <f>3.14/6*Q80*R80*S80*U80</f>
        <v>28.848749999999999</v>
      </c>
      <c r="Y80" s="21">
        <v>1800</v>
      </c>
      <c r="Z80" s="24">
        <f t="shared" si="13"/>
        <v>291681.65298218629</v>
      </c>
      <c r="AA80" s="24">
        <f t="shared" si="14"/>
        <v>51927.75</v>
      </c>
      <c r="AB80" s="21">
        <v>70</v>
      </c>
      <c r="AC80" s="21">
        <v>70</v>
      </c>
      <c r="AD80" s="21">
        <v>70</v>
      </c>
      <c r="AE80" s="21" t="s">
        <v>281</v>
      </c>
      <c r="AF80" s="21">
        <v>0.3</v>
      </c>
      <c r="AG80" s="21">
        <v>1</v>
      </c>
      <c r="AH80" s="24">
        <f>(4*3.14*(((AB80^1.6*AC80^1.6+AB80^1.6*AD80^1.6+AC80^1.6+AD80^1.6)/3)^(1/1.6)))*(1/AG80)</f>
        <v>47800.40306583116</v>
      </c>
      <c r="AI80" s="24">
        <f>3.14/6*AB80*AC80*AD80*AF80</f>
        <v>53851</v>
      </c>
      <c r="AJ80" s="21">
        <v>53878.3</v>
      </c>
      <c r="AK80" s="21">
        <v>70</v>
      </c>
      <c r="AL80" s="22" t="s">
        <v>161</v>
      </c>
      <c r="AM80" s="22">
        <v>0.22</v>
      </c>
      <c r="AP80" s="22" t="s">
        <v>230</v>
      </c>
      <c r="AQ80" s="22" t="str">
        <f t="shared" si="15"/>
        <v>Microphytoplankton</v>
      </c>
      <c r="AR80" s="22">
        <v>0</v>
      </c>
      <c r="AS80" s="22">
        <v>0</v>
      </c>
      <c r="AT80" s="22">
        <v>0</v>
      </c>
      <c r="AU80" s="22">
        <v>1</v>
      </c>
      <c r="AV80" s="22">
        <v>0</v>
      </c>
      <c r="AW80" s="22">
        <v>0</v>
      </c>
      <c r="AX80" s="22">
        <v>0</v>
      </c>
      <c r="AY80" s="22">
        <v>1</v>
      </c>
    </row>
    <row r="81" spans="1:51">
      <c r="A81" s="21" t="s">
        <v>407</v>
      </c>
      <c r="B81" s="22" t="s">
        <v>149</v>
      </c>
      <c r="C81" s="22" t="s">
        <v>150</v>
      </c>
      <c r="D81" s="23" t="s">
        <v>151</v>
      </c>
      <c r="E81" s="22" t="s">
        <v>61</v>
      </c>
      <c r="F81" s="22" t="s">
        <v>152</v>
      </c>
      <c r="G81" s="22" t="s">
        <v>60</v>
      </c>
      <c r="H81" s="22" t="s">
        <v>226</v>
      </c>
      <c r="I81" s="22" t="s">
        <v>401</v>
      </c>
      <c r="J81" s="22" t="s">
        <v>408</v>
      </c>
      <c r="N81" s="22" t="s">
        <v>409</v>
      </c>
      <c r="O81" s="22" t="s">
        <v>158</v>
      </c>
      <c r="P81" s="21">
        <v>10610</v>
      </c>
      <c r="Q81" s="21">
        <v>2</v>
      </c>
      <c r="R81" s="21">
        <v>2</v>
      </c>
      <c r="S81" s="21">
        <v>3</v>
      </c>
      <c r="T81" s="21" t="s">
        <v>281</v>
      </c>
      <c r="U81" s="21">
        <v>1</v>
      </c>
      <c r="V81" s="21">
        <v>1</v>
      </c>
      <c r="W81" s="24">
        <f>(4*3.14*(((Q81^1.6*R81^1.6+Q81^1.6*S81^1.6+R81^1.6+S81^1.6)/3)^(1/1.6)))*(1/V81)</f>
        <v>58.946301207032668</v>
      </c>
      <c r="X81" s="24">
        <f>3.14/6*Q81*R81*S81*U81</f>
        <v>6.2799999999999994</v>
      </c>
      <c r="Y81" s="21">
        <v>128</v>
      </c>
      <c r="Z81" s="24">
        <f t="shared" si="13"/>
        <v>7545.1265545001816</v>
      </c>
      <c r="AA81" s="24">
        <f t="shared" si="14"/>
        <v>803.83999999999992</v>
      </c>
      <c r="AB81" s="21">
        <v>40</v>
      </c>
      <c r="AC81" s="21">
        <v>40</v>
      </c>
      <c r="AD81" s="21">
        <v>40</v>
      </c>
      <c r="AE81" s="21" t="s">
        <v>281</v>
      </c>
      <c r="AF81" s="21">
        <v>0.5</v>
      </c>
      <c r="AG81" s="21">
        <v>1</v>
      </c>
      <c r="AH81" s="24">
        <f>(4*3.14*(((AB81^1.6*AC81^1.6+AB81^1.6*AD81^1.6+AC81^1.6+AD81^1.6)/3)^(1/1.6)))*(1/AG81)</f>
        <v>15624.046118762988</v>
      </c>
      <c r="AI81" s="24">
        <f>3.14/6*AB81*AC81*AD81*AF81</f>
        <v>16746.666666666668</v>
      </c>
      <c r="AJ81" s="21">
        <v>804.2</v>
      </c>
      <c r="AK81" s="21">
        <v>60</v>
      </c>
      <c r="AL81" s="22" t="s">
        <v>161</v>
      </c>
      <c r="AM81" s="22">
        <v>0.22</v>
      </c>
      <c r="AO81" s="22" t="s">
        <v>331</v>
      </c>
      <c r="AP81" s="22" t="s">
        <v>230</v>
      </c>
      <c r="AQ81" s="22" t="str">
        <f t="shared" si="15"/>
        <v>Microphytoplankton</v>
      </c>
      <c r="AR81" s="22">
        <v>0</v>
      </c>
      <c r="AS81" s="22">
        <v>0</v>
      </c>
      <c r="AT81" s="22">
        <v>0</v>
      </c>
      <c r="AU81" s="22">
        <v>1</v>
      </c>
      <c r="AV81" s="22">
        <v>0</v>
      </c>
      <c r="AW81" s="22">
        <v>0</v>
      </c>
      <c r="AX81" s="22">
        <v>0</v>
      </c>
      <c r="AY81" s="22">
        <v>1</v>
      </c>
    </row>
    <row r="82" spans="1:51">
      <c r="A82" s="21" t="s">
        <v>410</v>
      </c>
      <c r="B82" s="22" t="s">
        <v>149</v>
      </c>
      <c r="C82" s="22" t="s">
        <v>150</v>
      </c>
      <c r="D82" s="23" t="s">
        <v>151</v>
      </c>
      <c r="E82" s="22" t="s">
        <v>61</v>
      </c>
      <c r="F82" s="22" t="s">
        <v>152</v>
      </c>
      <c r="G82" s="22" t="s">
        <v>60</v>
      </c>
      <c r="H82" s="22" t="s">
        <v>226</v>
      </c>
      <c r="I82" s="22" t="s">
        <v>401</v>
      </c>
      <c r="J82" s="22" t="s">
        <v>298</v>
      </c>
      <c r="N82" s="22" t="s">
        <v>411</v>
      </c>
      <c r="O82" s="22" t="s">
        <v>158</v>
      </c>
      <c r="P82" s="21">
        <v>10620</v>
      </c>
      <c r="Q82" s="22">
        <v>3</v>
      </c>
      <c r="R82" s="22">
        <v>3</v>
      </c>
      <c r="S82" s="22">
        <v>3</v>
      </c>
      <c r="T82" s="21" t="s">
        <v>281</v>
      </c>
      <c r="U82" s="21">
        <v>1</v>
      </c>
      <c r="V82" s="21">
        <v>1</v>
      </c>
      <c r="W82" s="24">
        <f>(4*3.14*(((Q82^1.6*R82^1.6+Q82^1.6*S82^1.6+R82^1.6+S82^1.6)/3)^(1/1.6)))*(1/V82)</f>
        <v>96.906701245925348</v>
      </c>
      <c r="X82" s="24">
        <f>3.14/6*Q82*R82*S82*U82</f>
        <v>14.129999999999997</v>
      </c>
      <c r="Y82" s="22">
        <v>512</v>
      </c>
      <c r="Z82" s="24">
        <f t="shared" si="13"/>
        <v>49616.231037913778</v>
      </c>
      <c r="AA82" s="24">
        <f t="shared" si="14"/>
        <v>7234.5599999999986</v>
      </c>
      <c r="AB82" s="22">
        <v>50</v>
      </c>
      <c r="AC82" s="22">
        <v>50</v>
      </c>
      <c r="AD82" s="22">
        <v>50</v>
      </c>
      <c r="AE82" s="21" t="s">
        <v>281</v>
      </c>
      <c r="AF82" s="21">
        <v>0.5</v>
      </c>
      <c r="AG82" s="22">
        <v>1</v>
      </c>
      <c r="AH82" s="24">
        <f>(4*3.14*(((AB82^1.6*AC82^1.6+AB82^1.6*AD82^1.6+AC82^1.6+AD82^1.6)/3)^(1/1.6)))*(1/AG82)</f>
        <v>24400.082151651244</v>
      </c>
      <c r="AI82" s="24">
        <f>3.14/6*AB82*AC82*AD82*AF82</f>
        <v>32708.333333333332</v>
      </c>
      <c r="AJ82" s="21">
        <v>7238.2</v>
      </c>
      <c r="AK82" s="21">
        <v>50</v>
      </c>
      <c r="AL82" s="22" t="s">
        <v>161</v>
      </c>
      <c r="AM82" s="22">
        <v>0.22</v>
      </c>
      <c r="AP82" s="22" t="s">
        <v>230</v>
      </c>
      <c r="AQ82" s="22" t="str">
        <f t="shared" si="15"/>
        <v>Microphytoplankton</v>
      </c>
      <c r="AR82" s="22">
        <v>0</v>
      </c>
      <c r="AS82" s="22">
        <v>0</v>
      </c>
      <c r="AT82" s="22">
        <v>0</v>
      </c>
      <c r="AU82" s="22">
        <v>1</v>
      </c>
      <c r="AV82" s="22">
        <v>0</v>
      </c>
      <c r="AW82" s="22">
        <v>0</v>
      </c>
      <c r="AX82" s="22">
        <v>0</v>
      </c>
      <c r="AY82" s="22">
        <v>1</v>
      </c>
    </row>
    <row r="83" spans="1:51">
      <c r="A83" s="22" t="s">
        <v>412</v>
      </c>
      <c r="B83" s="22" t="s">
        <v>149</v>
      </c>
      <c r="C83" s="22" t="s">
        <v>150</v>
      </c>
      <c r="D83" s="23" t="s">
        <v>151</v>
      </c>
      <c r="E83" s="22" t="s">
        <v>61</v>
      </c>
      <c r="F83" s="22" t="s">
        <v>152</v>
      </c>
      <c r="G83" s="22" t="s">
        <v>60</v>
      </c>
      <c r="H83" s="22" t="s">
        <v>226</v>
      </c>
      <c r="I83" s="22" t="s">
        <v>401</v>
      </c>
      <c r="J83" s="22" t="s">
        <v>211</v>
      </c>
      <c r="M83" s="22" t="s">
        <v>1</v>
      </c>
      <c r="N83" s="22" t="s">
        <v>413</v>
      </c>
      <c r="O83" s="22" t="s">
        <v>158</v>
      </c>
      <c r="P83" s="21">
        <v>10621</v>
      </c>
      <c r="Q83" s="22">
        <v>8</v>
      </c>
      <c r="R83" s="22">
        <v>4</v>
      </c>
      <c r="S83" s="22">
        <v>4</v>
      </c>
      <c r="T83" s="21" t="s">
        <v>281</v>
      </c>
      <c r="U83" s="21">
        <v>1</v>
      </c>
      <c r="V83" s="21">
        <v>1</v>
      </c>
      <c r="W83" s="24">
        <f>(4*3.14*(((Q83^1.6*R83^1.6+Q83^1.6*S83^1.6+R83^1.6+S83^1.6)/3)^(1/1.6)))*(1/V83)</f>
        <v>318.9006424569489</v>
      </c>
      <c r="X83" s="24">
        <f>3.14/6*Q83*R83*S83*U83</f>
        <v>66.986666666666665</v>
      </c>
      <c r="Y83" s="22">
        <v>30</v>
      </c>
      <c r="Z83" s="24">
        <f t="shared" si="13"/>
        <v>9567.0192737084672</v>
      </c>
      <c r="AA83" s="24">
        <f t="shared" si="14"/>
        <v>2009.6</v>
      </c>
      <c r="AB83" s="22">
        <v>12</v>
      </c>
      <c r="AC83" s="22">
        <v>12</v>
      </c>
      <c r="AD83" s="22">
        <v>12</v>
      </c>
      <c r="AE83" s="21" t="s">
        <v>281</v>
      </c>
      <c r="AF83" s="21">
        <v>0.5</v>
      </c>
      <c r="AG83" s="22">
        <v>1</v>
      </c>
      <c r="AH83" s="24">
        <f>(4*3.14*(((AB83^1.6*AC83^1.6+AB83^1.6*AD83^1.6+AC83^1.6+AD83^1.6)/3)^(1/1.6)))*(1/AG83)</f>
        <v>1420.171885313606</v>
      </c>
      <c r="AI83" s="24">
        <f>3.14/6*AB83*AC83*AD83*AF83</f>
        <v>452.15999999999991</v>
      </c>
      <c r="AJ83" s="21">
        <v>2009.6</v>
      </c>
      <c r="AK83" s="21">
        <v>120</v>
      </c>
      <c r="AL83" s="22" t="s">
        <v>161</v>
      </c>
      <c r="AM83" s="22">
        <v>0.22</v>
      </c>
      <c r="AO83" s="22" t="s">
        <v>414</v>
      </c>
      <c r="AP83" s="22" t="s">
        <v>230</v>
      </c>
      <c r="AQ83" s="22" t="str">
        <f t="shared" si="15"/>
        <v>Microphytoplankton</v>
      </c>
      <c r="AR83" s="22">
        <v>0</v>
      </c>
      <c r="AS83" s="22">
        <v>0</v>
      </c>
      <c r="AT83" s="22">
        <v>0</v>
      </c>
      <c r="AU83" s="22">
        <v>1</v>
      </c>
      <c r="AV83" s="22">
        <v>0</v>
      </c>
      <c r="AW83" s="22">
        <v>0</v>
      </c>
      <c r="AX83" s="22">
        <v>0</v>
      </c>
      <c r="AY83" s="22">
        <v>1</v>
      </c>
    </row>
    <row r="84" spans="1:51" ht="14">
      <c r="A84" s="21" t="s">
        <v>415</v>
      </c>
      <c r="B84" s="22" t="s">
        <v>149</v>
      </c>
      <c r="C84" s="22" t="s">
        <v>150</v>
      </c>
      <c r="D84" s="23" t="s">
        <v>151</v>
      </c>
      <c r="E84" s="22" t="s">
        <v>61</v>
      </c>
      <c r="F84" s="22" t="s">
        <v>152</v>
      </c>
      <c r="G84" s="20" t="s">
        <v>153</v>
      </c>
      <c r="H84" s="22" t="s">
        <v>154</v>
      </c>
      <c r="I84" s="22" t="s">
        <v>416</v>
      </c>
      <c r="J84" s="22" t="s">
        <v>417</v>
      </c>
      <c r="N84" s="22" t="s">
        <v>418</v>
      </c>
      <c r="O84" s="22" t="s">
        <v>158</v>
      </c>
      <c r="P84" s="21">
        <v>10975</v>
      </c>
      <c r="Q84" s="21">
        <v>7</v>
      </c>
      <c r="R84" s="21">
        <v>3.4</v>
      </c>
      <c r="S84" s="21">
        <v>3.4</v>
      </c>
      <c r="T84" s="21" t="s">
        <v>160</v>
      </c>
      <c r="U84" s="21">
        <v>1</v>
      </c>
      <c r="V84" s="21">
        <v>1</v>
      </c>
      <c r="W84" s="24">
        <f>3.14*R84*Q84+2*3.14*(S84/2)^2/V84</f>
        <v>92.881200000000007</v>
      </c>
      <c r="X84" s="25">
        <f>(3.14/4*R84^2*Q84)*U84</f>
        <v>63.522199999999998</v>
      </c>
      <c r="Y84" s="21">
        <f>100/7</f>
        <v>14.285714285714286</v>
      </c>
      <c r="Z84" s="24">
        <f t="shared" si="13"/>
        <v>1326.8742857142859</v>
      </c>
      <c r="AA84" s="24">
        <f t="shared" si="14"/>
        <v>907.46</v>
      </c>
      <c r="AB84" s="21">
        <v>100</v>
      </c>
      <c r="AC84" s="21">
        <v>3.4</v>
      </c>
      <c r="AD84" s="21">
        <v>3.4</v>
      </c>
      <c r="AE84" s="21" t="s">
        <v>160</v>
      </c>
      <c r="AF84" s="21">
        <v>1</v>
      </c>
      <c r="AG84" s="21">
        <v>1</v>
      </c>
      <c r="AH84" s="24">
        <f t="shared" ref="AH84:AH90" si="16">3.14*AC84*AB84+2*3.14*(AD84/2)^2/AG84</f>
        <v>1085.7492</v>
      </c>
      <c r="AI84" s="25">
        <f t="shared" ref="AI84:AI90" si="17">(3.14/4*AC84^2*AB84)*AF84</f>
        <v>907.46</v>
      </c>
      <c r="AJ84" s="21">
        <v>907.9</v>
      </c>
      <c r="AK84" s="21">
        <v>100</v>
      </c>
      <c r="AL84" s="22" t="s">
        <v>161</v>
      </c>
      <c r="AM84" s="22">
        <v>0.22</v>
      </c>
      <c r="AP84" s="22" t="s">
        <v>162</v>
      </c>
      <c r="AQ84" s="22" t="str">
        <f t="shared" si="15"/>
        <v>Microphytoplankton</v>
      </c>
      <c r="AR84" s="22">
        <v>0</v>
      </c>
      <c r="AS84" s="22">
        <v>0</v>
      </c>
      <c r="AT84" s="22">
        <v>0</v>
      </c>
      <c r="AU84" s="22">
        <v>1</v>
      </c>
      <c r="AV84" s="22">
        <v>1</v>
      </c>
      <c r="AW84" s="22">
        <v>0</v>
      </c>
      <c r="AX84" s="22">
        <v>0</v>
      </c>
      <c r="AY84" s="22">
        <v>1</v>
      </c>
    </row>
    <row r="85" spans="1:51" ht="14">
      <c r="A85" s="21" t="s">
        <v>419</v>
      </c>
      <c r="B85" s="22" t="s">
        <v>149</v>
      </c>
      <c r="C85" s="22" t="s">
        <v>150</v>
      </c>
      <c r="D85" s="23" t="s">
        <v>151</v>
      </c>
      <c r="E85" s="22" t="s">
        <v>61</v>
      </c>
      <c r="F85" s="22" t="s">
        <v>152</v>
      </c>
      <c r="G85" s="20" t="s">
        <v>153</v>
      </c>
      <c r="H85" s="22" t="s">
        <v>420</v>
      </c>
      <c r="I85" s="22" t="s">
        <v>421</v>
      </c>
      <c r="J85" s="22" t="s">
        <v>422</v>
      </c>
      <c r="N85" s="22" t="s">
        <v>423</v>
      </c>
      <c r="O85" s="22" t="s">
        <v>158</v>
      </c>
      <c r="P85" s="21">
        <v>11751</v>
      </c>
      <c r="Q85" s="22">
        <v>5</v>
      </c>
      <c r="R85" s="22">
        <v>2.5</v>
      </c>
      <c r="S85" s="22">
        <v>2.5</v>
      </c>
      <c r="T85" s="22" t="s">
        <v>281</v>
      </c>
      <c r="U85" s="21">
        <v>1</v>
      </c>
      <c r="V85" s="21">
        <v>1</v>
      </c>
      <c r="W85" s="24">
        <f t="shared" ref="W85:W92" si="18">(4*3.14*(((Q85^1.6*R85^1.6+Q85^1.6*S85^1.6+R85^1.6+S85^1.6)/3)^(1/1.6)))*(1/V85)</f>
        <v>127.57399407485551</v>
      </c>
      <c r="X85" s="24">
        <f t="shared" ref="X85:X92" si="19">3.14/6*Q85*R85*S85*U85</f>
        <v>16.354166666666668</v>
      </c>
      <c r="Y85" s="21">
        <f>AB85/Q85</f>
        <v>20</v>
      </c>
      <c r="Z85" s="24">
        <f t="shared" si="13"/>
        <v>2551.47988149711</v>
      </c>
      <c r="AA85" s="24">
        <f t="shared" si="14"/>
        <v>327.08333333333337</v>
      </c>
      <c r="AB85" s="22">
        <v>100</v>
      </c>
      <c r="AC85" s="22">
        <v>2.8</v>
      </c>
      <c r="AD85" s="22">
        <v>2.5</v>
      </c>
      <c r="AE85" s="21" t="s">
        <v>160</v>
      </c>
      <c r="AF85" s="21">
        <v>0.8</v>
      </c>
      <c r="AG85" s="21">
        <v>0.8</v>
      </c>
      <c r="AH85" s="24">
        <f t="shared" si="16"/>
        <v>891.46562499999993</v>
      </c>
      <c r="AI85" s="25">
        <f t="shared" si="17"/>
        <v>492.35199999999998</v>
      </c>
      <c r="AJ85" s="21">
        <v>560</v>
      </c>
      <c r="AK85" s="21">
        <v>100</v>
      </c>
      <c r="AL85" s="22" t="s">
        <v>161</v>
      </c>
      <c r="AM85" s="22">
        <v>0.22</v>
      </c>
      <c r="AP85" s="22" t="s">
        <v>162</v>
      </c>
      <c r="AQ85" s="22" t="str">
        <f t="shared" si="15"/>
        <v>Microphytoplankton</v>
      </c>
      <c r="AR85" s="22">
        <v>0</v>
      </c>
      <c r="AS85" s="22">
        <v>0</v>
      </c>
      <c r="AT85" s="22">
        <v>0</v>
      </c>
      <c r="AU85" s="22">
        <v>1</v>
      </c>
      <c r="AV85" s="22">
        <v>1</v>
      </c>
      <c r="AW85" s="22">
        <v>0</v>
      </c>
      <c r="AX85" s="22">
        <v>0</v>
      </c>
      <c r="AY85" s="22">
        <v>1</v>
      </c>
    </row>
    <row r="86" spans="1:51" ht="14">
      <c r="A86" s="21" t="s">
        <v>424</v>
      </c>
      <c r="B86" s="22" t="s">
        <v>149</v>
      </c>
      <c r="C86" s="22" t="s">
        <v>150</v>
      </c>
      <c r="D86" s="23" t="s">
        <v>151</v>
      </c>
      <c r="E86" s="22" t="s">
        <v>61</v>
      </c>
      <c r="F86" s="22" t="s">
        <v>152</v>
      </c>
      <c r="G86" s="20" t="s">
        <v>153</v>
      </c>
      <c r="H86" s="22" t="s">
        <v>420</v>
      </c>
      <c r="I86" s="22" t="s">
        <v>421</v>
      </c>
      <c r="J86" s="22" t="s">
        <v>425</v>
      </c>
      <c r="N86" s="22" t="s">
        <v>426</v>
      </c>
      <c r="O86" s="22" t="s">
        <v>158</v>
      </c>
      <c r="P86" s="21">
        <v>11752</v>
      </c>
      <c r="Q86" s="22">
        <v>5</v>
      </c>
      <c r="R86" s="22">
        <v>5</v>
      </c>
      <c r="S86" s="22">
        <v>5</v>
      </c>
      <c r="T86" s="22" t="s">
        <v>281</v>
      </c>
      <c r="U86" s="21">
        <v>1</v>
      </c>
      <c r="V86" s="21">
        <v>1</v>
      </c>
      <c r="W86" s="24">
        <f t="shared" si="18"/>
        <v>255.14798814971115</v>
      </c>
      <c r="X86" s="24">
        <f t="shared" si="19"/>
        <v>65.416666666666671</v>
      </c>
      <c r="Y86" s="21">
        <f>AB86/Q86</f>
        <v>20</v>
      </c>
      <c r="Z86" s="24">
        <f t="shared" si="13"/>
        <v>5102.9597629942227</v>
      </c>
      <c r="AA86" s="24">
        <f t="shared" si="14"/>
        <v>1308.3333333333335</v>
      </c>
      <c r="AB86" s="22">
        <v>100</v>
      </c>
      <c r="AC86" s="22">
        <v>5</v>
      </c>
      <c r="AD86" s="22">
        <v>5</v>
      </c>
      <c r="AE86" s="21" t="s">
        <v>160</v>
      </c>
      <c r="AF86" s="21">
        <v>0.8</v>
      </c>
      <c r="AG86" s="21">
        <v>0.8</v>
      </c>
      <c r="AH86" s="24">
        <f t="shared" si="16"/>
        <v>1619.0625</v>
      </c>
      <c r="AI86" s="25">
        <f t="shared" si="17"/>
        <v>1570</v>
      </c>
      <c r="AJ86" s="21">
        <v>1570</v>
      </c>
      <c r="AK86" s="21">
        <v>100</v>
      </c>
      <c r="AL86" s="22" t="s">
        <v>378</v>
      </c>
      <c r="AM86" s="22">
        <v>0.22</v>
      </c>
      <c r="AP86" s="22" t="s">
        <v>162</v>
      </c>
      <c r="AQ86" s="22" t="str">
        <f t="shared" si="15"/>
        <v>Microphytoplankton</v>
      </c>
      <c r="AR86" s="22">
        <v>0</v>
      </c>
      <c r="AS86" s="22">
        <v>0</v>
      </c>
      <c r="AT86" s="22">
        <v>0</v>
      </c>
      <c r="AU86" s="22">
        <v>1</v>
      </c>
      <c r="AV86" s="22">
        <v>1</v>
      </c>
      <c r="AW86" s="22">
        <v>0</v>
      </c>
      <c r="AX86" s="22">
        <v>0</v>
      </c>
      <c r="AY86" s="22">
        <v>1</v>
      </c>
    </row>
    <row r="87" spans="1:51" ht="14">
      <c r="A87" s="21" t="s">
        <v>427</v>
      </c>
      <c r="B87" s="22" t="s">
        <v>149</v>
      </c>
      <c r="C87" s="22" t="s">
        <v>150</v>
      </c>
      <c r="D87" s="23" t="s">
        <v>151</v>
      </c>
      <c r="E87" s="22" t="s">
        <v>61</v>
      </c>
      <c r="F87" s="22" t="s">
        <v>152</v>
      </c>
      <c r="G87" s="20" t="s">
        <v>153</v>
      </c>
      <c r="H87" s="22" t="s">
        <v>420</v>
      </c>
      <c r="I87" s="22" t="s">
        <v>421</v>
      </c>
      <c r="J87" s="22" t="s">
        <v>428</v>
      </c>
      <c r="N87" s="22" t="s">
        <v>429</v>
      </c>
      <c r="O87" s="22" t="s">
        <v>158</v>
      </c>
      <c r="P87" s="21">
        <v>11753</v>
      </c>
      <c r="Q87" s="22">
        <v>4</v>
      </c>
      <c r="R87" s="22">
        <v>2.5</v>
      </c>
      <c r="S87" s="22">
        <v>2.5</v>
      </c>
      <c r="T87" s="22" t="s">
        <v>281</v>
      </c>
      <c r="U87" s="21">
        <v>1</v>
      </c>
      <c r="V87" s="21">
        <v>1</v>
      </c>
      <c r="W87" s="24">
        <f t="shared" si="18"/>
        <v>103.98494596551437</v>
      </c>
      <c r="X87" s="24">
        <f t="shared" si="19"/>
        <v>13.083333333333334</v>
      </c>
      <c r="Y87" s="21">
        <v>20</v>
      </c>
      <c r="Z87" s="24">
        <f t="shared" si="13"/>
        <v>2079.6989193102872</v>
      </c>
      <c r="AA87" s="24">
        <f t="shared" si="14"/>
        <v>261.66666666666669</v>
      </c>
      <c r="AB87" s="22">
        <v>80</v>
      </c>
      <c r="AC87" s="22">
        <v>2.5</v>
      </c>
      <c r="AD87" s="22">
        <v>2.5</v>
      </c>
      <c r="AE87" s="21" t="s">
        <v>160</v>
      </c>
      <c r="AF87" s="21">
        <v>0.8</v>
      </c>
      <c r="AG87" s="21">
        <v>0.8</v>
      </c>
      <c r="AH87" s="24">
        <f t="shared" si="16"/>
        <v>640.265625</v>
      </c>
      <c r="AI87" s="25">
        <f t="shared" si="17"/>
        <v>314</v>
      </c>
      <c r="AJ87" s="21">
        <v>0</v>
      </c>
      <c r="AK87" s="21">
        <v>80</v>
      </c>
      <c r="AL87" s="22" t="s">
        <v>378</v>
      </c>
      <c r="AM87" s="22">
        <v>0.22</v>
      </c>
      <c r="AP87" s="22" t="s">
        <v>162</v>
      </c>
      <c r="AQ87" s="22" t="str">
        <f t="shared" si="15"/>
        <v>Microphytoplankton</v>
      </c>
      <c r="AR87" s="22">
        <v>0</v>
      </c>
      <c r="AS87" s="22">
        <v>0</v>
      </c>
      <c r="AT87" s="22">
        <v>0</v>
      </c>
      <c r="AU87" s="22">
        <v>1</v>
      </c>
      <c r="AV87" s="22">
        <v>1</v>
      </c>
      <c r="AW87" s="22">
        <v>0</v>
      </c>
      <c r="AX87" s="22">
        <v>0</v>
      </c>
      <c r="AY87" s="22">
        <v>1</v>
      </c>
    </row>
    <row r="88" spans="1:51" ht="14">
      <c r="A88" s="21" t="s">
        <v>430</v>
      </c>
      <c r="B88" s="22" t="s">
        <v>149</v>
      </c>
      <c r="C88" s="22" t="s">
        <v>150</v>
      </c>
      <c r="D88" s="23" t="s">
        <v>151</v>
      </c>
      <c r="E88" s="22" t="s">
        <v>61</v>
      </c>
      <c r="F88" s="22" t="s">
        <v>152</v>
      </c>
      <c r="G88" s="20" t="s">
        <v>153</v>
      </c>
      <c r="H88" s="22" t="s">
        <v>420</v>
      </c>
      <c r="I88" s="22" t="s">
        <v>421</v>
      </c>
      <c r="J88" s="22" t="s">
        <v>431</v>
      </c>
      <c r="N88" s="22" t="s">
        <v>432</v>
      </c>
      <c r="O88" s="22" t="s">
        <v>158</v>
      </c>
      <c r="P88" s="22">
        <v>11040</v>
      </c>
      <c r="Q88" s="21">
        <v>10</v>
      </c>
      <c r="R88" s="21">
        <v>8</v>
      </c>
      <c r="S88" s="21">
        <v>8</v>
      </c>
      <c r="T88" s="22" t="s">
        <v>281</v>
      </c>
      <c r="U88" s="21">
        <v>1</v>
      </c>
      <c r="V88" s="21">
        <v>1</v>
      </c>
      <c r="W88" s="24">
        <f t="shared" si="18"/>
        <v>792.05708010260832</v>
      </c>
      <c r="X88" s="24">
        <f t="shared" si="19"/>
        <v>334.93333333333334</v>
      </c>
      <c r="Y88" s="21">
        <f>AB88/Q88</f>
        <v>5</v>
      </c>
      <c r="Z88" s="24">
        <f t="shared" si="13"/>
        <v>3960.2854005130416</v>
      </c>
      <c r="AA88" s="24">
        <f t="shared" si="14"/>
        <v>1674.6666666666667</v>
      </c>
      <c r="AB88" s="21">
        <v>50</v>
      </c>
      <c r="AC88" s="21">
        <v>8</v>
      </c>
      <c r="AD88" s="21">
        <v>8</v>
      </c>
      <c r="AE88" s="21" t="s">
        <v>160</v>
      </c>
      <c r="AF88" s="21">
        <v>1</v>
      </c>
      <c r="AG88" s="21">
        <v>1</v>
      </c>
      <c r="AH88" s="24">
        <f t="shared" si="16"/>
        <v>1356.48</v>
      </c>
      <c r="AI88" s="25">
        <f t="shared" si="17"/>
        <v>2512</v>
      </c>
      <c r="AJ88" s="21">
        <v>2513.3000000000002</v>
      </c>
      <c r="AK88" s="21">
        <v>50</v>
      </c>
      <c r="AL88" s="22" t="s">
        <v>161</v>
      </c>
      <c r="AM88" s="22">
        <v>0.22</v>
      </c>
      <c r="AP88" s="22" t="s">
        <v>169</v>
      </c>
      <c r="AQ88" s="22" t="str">
        <f t="shared" si="15"/>
        <v>Microphytoplankton</v>
      </c>
      <c r="AR88" s="22">
        <v>0</v>
      </c>
      <c r="AS88" s="22">
        <v>0</v>
      </c>
      <c r="AT88" s="22">
        <v>0</v>
      </c>
      <c r="AU88" s="22">
        <v>1</v>
      </c>
      <c r="AV88" s="22">
        <v>1</v>
      </c>
      <c r="AW88" s="22">
        <v>0</v>
      </c>
      <c r="AX88" s="22">
        <v>0</v>
      </c>
      <c r="AY88" s="22">
        <v>1</v>
      </c>
    </row>
    <row r="89" spans="1:51" ht="14">
      <c r="A89" s="21" t="s">
        <v>433</v>
      </c>
      <c r="B89" s="22" t="s">
        <v>149</v>
      </c>
      <c r="C89" s="22" t="s">
        <v>150</v>
      </c>
      <c r="D89" s="23" t="s">
        <v>151</v>
      </c>
      <c r="E89" s="22" t="s">
        <v>61</v>
      </c>
      <c r="F89" s="22" t="s">
        <v>152</v>
      </c>
      <c r="G89" s="20" t="s">
        <v>153</v>
      </c>
      <c r="H89" s="22" t="s">
        <v>420</v>
      </c>
      <c r="I89" s="22" t="s">
        <v>421</v>
      </c>
      <c r="J89" s="22" t="s">
        <v>211</v>
      </c>
      <c r="M89" s="22" t="s">
        <v>1</v>
      </c>
      <c r="N89" s="22" t="s">
        <v>434</v>
      </c>
      <c r="O89" s="22" t="s">
        <v>158</v>
      </c>
      <c r="P89" s="21">
        <v>11750</v>
      </c>
      <c r="Q89" s="21">
        <v>1</v>
      </c>
      <c r="R89" s="21">
        <v>1</v>
      </c>
      <c r="S89" s="21">
        <v>1</v>
      </c>
      <c r="T89" s="22" t="s">
        <v>281</v>
      </c>
      <c r="U89" s="21">
        <v>1</v>
      </c>
      <c r="V89" s="21">
        <v>1</v>
      </c>
      <c r="W89" s="24">
        <f t="shared" si="18"/>
        <v>15.034062444858044</v>
      </c>
      <c r="X89" s="24">
        <f t="shared" si="19"/>
        <v>0.52333333333333332</v>
      </c>
      <c r="Y89" s="21">
        <f>AB89/Q89</f>
        <v>100</v>
      </c>
      <c r="Z89" s="24">
        <f t="shared" si="13"/>
        <v>1503.4062444858043</v>
      </c>
      <c r="AA89" s="24">
        <f t="shared" si="14"/>
        <v>52.333333333333329</v>
      </c>
      <c r="AB89" s="21">
        <v>100</v>
      </c>
      <c r="AC89" s="21">
        <v>1</v>
      </c>
      <c r="AD89" s="21">
        <v>1</v>
      </c>
      <c r="AE89" s="21" t="s">
        <v>160</v>
      </c>
      <c r="AF89" s="21">
        <v>1</v>
      </c>
      <c r="AG89" s="21">
        <v>1</v>
      </c>
      <c r="AH89" s="24">
        <f t="shared" si="16"/>
        <v>315.57</v>
      </c>
      <c r="AI89" s="25">
        <f t="shared" si="17"/>
        <v>78.5</v>
      </c>
      <c r="AJ89" s="21">
        <v>78.5</v>
      </c>
      <c r="AK89" s="21">
        <v>100</v>
      </c>
      <c r="AL89" s="22" t="s">
        <v>161</v>
      </c>
      <c r="AM89" s="22">
        <v>0.22</v>
      </c>
      <c r="AP89" s="22" t="s">
        <v>162</v>
      </c>
      <c r="AQ89" s="22" t="str">
        <f t="shared" si="15"/>
        <v>Microphytoplankton</v>
      </c>
      <c r="AR89" s="22">
        <v>0</v>
      </c>
      <c r="AS89" s="22">
        <v>0</v>
      </c>
      <c r="AT89" s="22">
        <v>0</v>
      </c>
      <c r="AU89" s="22">
        <v>1</v>
      </c>
      <c r="AV89" s="22">
        <v>1</v>
      </c>
      <c r="AW89" s="22">
        <v>0</v>
      </c>
      <c r="AX89" s="22">
        <v>0</v>
      </c>
      <c r="AY89" s="22">
        <v>1</v>
      </c>
    </row>
    <row r="90" spans="1:51" ht="14">
      <c r="A90" s="21" t="s">
        <v>435</v>
      </c>
      <c r="B90" s="22" t="s">
        <v>149</v>
      </c>
      <c r="C90" s="22" t="s">
        <v>150</v>
      </c>
      <c r="D90" s="23" t="s">
        <v>151</v>
      </c>
      <c r="E90" s="22" t="s">
        <v>61</v>
      </c>
      <c r="F90" s="22" t="s">
        <v>152</v>
      </c>
      <c r="G90" s="20" t="s">
        <v>153</v>
      </c>
      <c r="H90" s="22" t="s">
        <v>420</v>
      </c>
      <c r="I90" s="22" t="s">
        <v>421</v>
      </c>
      <c r="J90" s="22" t="s">
        <v>436</v>
      </c>
      <c r="M90" s="22" t="s">
        <v>1</v>
      </c>
      <c r="N90" s="22" t="s">
        <v>423</v>
      </c>
      <c r="O90" s="22" t="s">
        <v>158</v>
      </c>
      <c r="P90" s="21">
        <v>11751</v>
      </c>
      <c r="Q90" s="21">
        <v>3</v>
      </c>
      <c r="R90" s="21">
        <v>3</v>
      </c>
      <c r="S90" s="21">
        <v>3</v>
      </c>
      <c r="T90" s="22" t="s">
        <v>281</v>
      </c>
      <c r="U90" s="21">
        <v>1</v>
      </c>
      <c r="V90" s="21">
        <v>1</v>
      </c>
      <c r="W90" s="24">
        <f t="shared" si="18"/>
        <v>96.906701245925348</v>
      </c>
      <c r="X90" s="24">
        <f t="shared" si="19"/>
        <v>14.129999999999997</v>
      </c>
      <c r="Y90" s="21">
        <f>AB90/Q90</f>
        <v>33.333333333333336</v>
      </c>
      <c r="Z90" s="24">
        <f t="shared" si="13"/>
        <v>3230.2233748641784</v>
      </c>
      <c r="AA90" s="24">
        <f t="shared" si="14"/>
        <v>470.99999999999994</v>
      </c>
      <c r="AB90" s="21">
        <v>100</v>
      </c>
      <c r="AC90" s="21">
        <v>3</v>
      </c>
      <c r="AD90" s="21">
        <v>3</v>
      </c>
      <c r="AE90" s="21" t="s">
        <v>160</v>
      </c>
      <c r="AF90" s="21">
        <v>1</v>
      </c>
      <c r="AG90" s="21">
        <v>1</v>
      </c>
      <c r="AH90" s="24">
        <f t="shared" si="16"/>
        <v>956.13</v>
      </c>
      <c r="AI90" s="25">
        <f t="shared" si="17"/>
        <v>706.5</v>
      </c>
      <c r="AJ90" s="21">
        <v>560</v>
      </c>
      <c r="AK90" s="21">
        <v>100</v>
      </c>
      <c r="AL90" s="22" t="s">
        <v>437</v>
      </c>
      <c r="AM90" s="22">
        <v>0.22</v>
      </c>
      <c r="AP90" s="22" t="s">
        <v>162</v>
      </c>
      <c r="AQ90" s="22" t="str">
        <f t="shared" si="15"/>
        <v>Microphytoplankton</v>
      </c>
      <c r="AR90" s="22">
        <v>0</v>
      </c>
      <c r="AS90" s="22">
        <v>0</v>
      </c>
      <c r="AT90" s="22">
        <v>0</v>
      </c>
      <c r="AU90" s="22">
        <v>1</v>
      </c>
      <c r="AV90" s="22">
        <v>1</v>
      </c>
      <c r="AW90" s="22">
        <v>0</v>
      </c>
      <c r="AX90" s="22">
        <v>0</v>
      </c>
      <c r="AY90" s="22">
        <v>1</v>
      </c>
    </row>
    <row r="91" spans="1:51">
      <c r="A91" s="21" t="s">
        <v>438</v>
      </c>
      <c r="B91" s="22" t="s">
        <v>149</v>
      </c>
      <c r="C91" s="22" t="s">
        <v>150</v>
      </c>
      <c r="D91" s="23" t="s">
        <v>151</v>
      </c>
      <c r="E91" s="22" t="s">
        <v>61</v>
      </c>
      <c r="F91" s="22" t="s">
        <v>152</v>
      </c>
      <c r="G91" s="22" t="s">
        <v>60</v>
      </c>
      <c r="H91" s="22" t="s">
        <v>293</v>
      </c>
      <c r="I91" s="22" t="s">
        <v>439</v>
      </c>
      <c r="J91" s="22" t="s">
        <v>440</v>
      </c>
      <c r="N91" s="22" t="s">
        <v>441</v>
      </c>
      <c r="O91" s="22" t="s">
        <v>158</v>
      </c>
      <c r="P91" s="21">
        <v>11520</v>
      </c>
      <c r="Q91" s="21">
        <v>1.5</v>
      </c>
      <c r="R91" s="21">
        <v>1</v>
      </c>
      <c r="S91" s="21">
        <v>1</v>
      </c>
      <c r="T91" s="21" t="s">
        <v>159</v>
      </c>
      <c r="U91" s="21">
        <v>1</v>
      </c>
      <c r="V91" s="21">
        <v>1</v>
      </c>
      <c r="W91" s="24">
        <f t="shared" si="18"/>
        <v>19.017706802900982</v>
      </c>
      <c r="X91" s="24">
        <f t="shared" si="19"/>
        <v>0.78499999999999992</v>
      </c>
      <c r="Y91" s="21">
        <v>5700</v>
      </c>
      <c r="Z91" s="24">
        <f t="shared" si="13"/>
        <v>108400.9287765356</v>
      </c>
      <c r="AA91" s="24">
        <f t="shared" si="14"/>
        <v>4474.4999999999991</v>
      </c>
      <c r="AB91" s="21">
        <v>44</v>
      </c>
      <c r="AC91" s="21">
        <v>44</v>
      </c>
      <c r="AD91" s="21">
        <v>44</v>
      </c>
      <c r="AE91" s="21" t="s">
        <v>246</v>
      </c>
      <c r="AF91" s="21">
        <v>0.1</v>
      </c>
      <c r="AG91" s="21">
        <v>1</v>
      </c>
      <c r="AH91" s="25">
        <f>4*3.14*(AC91/2)*(AB91/2)/AG91</f>
        <v>6079.04</v>
      </c>
      <c r="AI91" s="25">
        <f>(3.14/6*(AD91*AB91*AC91))*AF91</f>
        <v>4457.9626666666663</v>
      </c>
      <c r="AJ91" s="21">
        <v>4460</v>
      </c>
      <c r="AK91" s="21">
        <v>44</v>
      </c>
      <c r="AL91" s="22" t="s">
        <v>442</v>
      </c>
      <c r="AM91" s="22">
        <v>0.22</v>
      </c>
      <c r="AP91" s="22" t="s">
        <v>230</v>
      </c>
      <c r="AQ91" s="22" t="str">
        <f t="shared" si="15"/>
        <v>Microphytoplankton</v>
      </c>
      <c r="AR91" s="22">
        <v>0</v>
      </c>
      <c r="AS91" s="22">
        <v>0</v>
      </c>
      <c r="AT91" s="22">
        <v>0</v>
      </c>
      <c r="AU91" s="22">
        <v>1</v>
      </c>
      <c r="AV91" s="22">
        <v>0</v>
      </c>
      <c r="AW91" s="22">
        <v>0</v>
      </c>
      <c r="AX91" s="22">
        <v>0</v>
      </c>
      <c r="AY91" s="22">
        <v>1</v>
      </c>
    </row>
    <row r="92" spans="1:51">
      <c r="A92" s="21" t="s">
        <v>443</v>
      </c>
      <c r="B92" s="22" t="s">
        <v>149</v>
      </c>
      <c r="C92" s="22" t="s">
        <v>150</v>
      </c>
      <c r="D92" s="23" t="s">
        <v>151</v>
      </c>
      <c r="E92" s="22" t="s">
        <v>61</v>
      </c>
      <c r="F92" s="22" t="s">
        <v>152</v>
      </c>
      <c r="G92" s="22" t="s">
        <v>60</v>
      </c>
      <c r="H92" s="22" t="s">
        <v>293</v>
      </c>
      <c r="I92" s="22" t="s">
        <v>439</v>
      </c>
      <c r="J92" s="22" t="s">
        <v>211</v>
      </c>
      <c r="M92" s="22" t="s">
        <v>1</v>
      </c>
      <c r="N92" s="22" t="s">
        <v>444</v>
      </c>
      <c r="O92" s="22" t="s">
        <v>158</v>
      </c>
      <c r="P92" s="21">
        <v>11521</v>
      </c>
      <c r="Q92" s="21">
        <v>1.5</v>
      </c>
      <c r="R92" s="21">
        <v>1</v>
      </c>
      <c r="S92" s="21">
        <v>1</v>
      </c>
      <c r="T92" s="21" t="s">
        <v>159</v>
      </c>
      <c r="U92" s="21">
        <v>1</v>
      </c>
      <c r="V92" s="21">
        <v>1</v>
      </c>
      <c r="W92" s="24">
        <f t="shared" si="18"/>
        <v>19.017706802900982</v>
      </c>
      <c r="X92" s="24">
        <f t="shared" si="19"/>
        <v>0.78499999999999992</v>
      </c>
      <c r="Y92" s="21">
        <v>300</v>
      </c>
      <c r="Z92" s="24">
        <f t="shared" si="13"/>
        <v>5705.3120408702944</v>
      </c>
      <c r="AA92" s="24">
        <f t="shared" si="14"/>
        <v>235.49999999999997</v>
      </c>
      <c r="AB92" s="21">
        <v>46</v>
      </c>
      <c r="AC92" s="21">
        <v>46</v>
      </c>
      <c r="AD92" s="21">
        <v>46</v>
      </c>
      <c r="AE92" s="21" t="s">
        <v>246</v>
      </c>
      <c r="AF92" s="21">
        <v>0.01</v>
      </c>
      <c r="AG92" s="21">
        <v>1</v>
      </c>
      <c r="AH92" s="25">
        <f>4*3.14*(AC92/2)*(AB92/2)/AG92</f>
        <v>6644.24</v>
      </c>
      <c r="AI92" s="25">
        <f>(3.14/6*(AD92*AB92*AC92))*AF92</f>
        <v>509.39173333333332</v>
      </c>
      <c r="AJ92" s="21">
        <v>52046.546666666669</v>
      </c>
      <c r="AK92" s="21">
        <v>47</v>
      </c>
      <c r="AL92" s="22" t="s">
        <v>445</v>
      </c>
      <c r="AM92" s="22">
        <v>0.22</v>
      </c>
      <c r="AP92" s="22" t="s">
        <v>230</v>
      </c>
      <c r="AQ92" s="22" t="str">
        <f t="shared" si="15"/>
        <v>Microphytoplankton</v>
      </c>
      <c r="AR92" s="22">
        <v>0</v>
      </c>
      <c r="AS92" s="22">
        <v>0</v>
      </c>
      <c r="AT92" s="22">
        <v>0</v>
      </c>
      <c r="AU92" s="22">
        <v>1</v>
      </c>
      <c r="AV92" s="22">
        <v>0</v>
      </c>
      <c r="AW92" s="22">
        <v>0</v>
      </c>
      <c r="AX92" s="22">
        <v>0</v>
      </c>
      <c r="AY92" s="22">
        <v>1</v>
      </c>
    </row>
    <row r="93" spans="1:51" ht="14">
      <c r="A93" s="21" t="s">
        <v>446</v>
      </c>
      <c r="B93" s="22" t="s">
        <v>149</v>
      </c>
      <c r="C93" s="22" t="s">
        <v>150</v>
      </c>
      <c r="D93" s="23" t="s">
        <v>151</v>
      </c>
      <c r="E93" s="22" t="s">
        <v>61</v>
      </c>
      <c r="F93" s="22" t="s">
        <v>152</v>
      </c>
      <c r="G93" s="20" t="s">
        <v>153</v>
      </c>
      <c r="H93" s="22" t="s">
        <v>154</v>
      </c>
      <c r="I93" s="22" t="s">
        <v>447</v>
      </c>
      <c r="J93" s="22" t="s">
        <v>448</v>
      </c>
      <c r="N93" s="22" t="s">
        <v>449</v>
      </c>
      <c r="O93" s="22" t="s">
        <v>158</v>
      </c>
      <c r="P93" s="21">
        <v>11303</v>
      </c>
      <c r="Q93" s="21">
        <v>1.7</v>
      </c>
      <c r="R93" s="21">
        <v>1.7</v>
      </c>
      <c r="S93" s="21">
        <v>1.7</v>
      </c>
      <c r="T93" s="21" t="s">
        <v>160</v>
      </c>
      <c r="U93" s="21">
        <v>1</v>
      </c>
      <c r="V93" s="21">
        <v>1</v>
      </c>
      <c r="W93" s="24">
        <f t="shared" ref="W93:W106" si="20">3.14*R93*Q93+2*3.14*(S93/2)^2/V93</f>
        <v>13.6119</v>
      </c>
      <c r="X93" s="25">
        <f t="shared" ref="X93:X106" si="21">(3.14/4*R93^2*Q93)*U93</f>
        <v>3.8567049999999998</v>
      </c>
      <c r="Y93" s="21">
        <f>AB93/Q93</f>
        <v>23.529411764705884</v>
      </c>
      <c r="Z93" s="24">
        <f t="shared" si="13"/>
        <v>320.28000000000003</v>
      </c>
      <c r="AA93" s="24">
        <f t="shared" si="14"/>
        <v>90.746000000000009</v>
      </c>
      <c r="AB93" s="21">
        <v>40</v>
      </c>
      <c r="AC93" s="21">
        <v>1.7</v>
      </c>
      <c r="AD93" s="21">
        <v>1.7</v>
      </c>
      <c r="AE93" s="21" t="s">
        <v>160</v>
      </c>
      <c r="AF93" s="21">
        <v>1</v>
      </c>
      <c r="AG93" s="21">
        <v>1</v>
      </c>
      <c r="AH93" s="24">
        <f t="shared" ref="AH93:AH106" si="22">3.14*AC93*AB93+2*3.14*(AD93/2)^2/AG93</f>
        <v>218.0573</v>
      </c>
      <c r="AI93" s="25">
        <f t="shared" ref="AI93:AI106" si="23">(3.14/4*AC93^2*AB93)*AF93</f>
        <v>90.746000000000009</v>
      </c>
      <c r="AJ93" s="21">
        <v>90.746000000000009</v>
      </c>
      <c r="AK93" s="21">
        <v>40</v>
      </c>
      <c r="AL93" s="22" t="s">
        <v>450</v>
      </c>
      <c r="AM93" s="22">
        <v>0.22</v>
      </c>
      <c r="AP93" s="22" t="s">
        <v>162</v>
      </c>
      <c r="AQ93" s="22" t="str">
        <f t="shared" si="15"/>
        <v>Microphytoplankton</v>
      </c>
      <c r="AR93" s="22">
        <v>0</v>
      </c>
      <c r="AS93" s="22">
        <v>0</v>
      </c>
      <c r="AT93" s="22">
        <v>0</v>
      </c>
      <c r="AU93" s="22">
        <v>1</v>
      </c>
      <c r="AV93" s="22">
        <v>1</v>
      </c>
      <c r="AW93" s="22">
        <v>0</v>
      </c>
      <c r="AX93" s="22">
        <v>0</v>
      </c>
      <c r="AY93" s="22">
        <v>1</v>
      </c>
    </row>
    <row r="94" spans="1:51" ht="14">
      <c r="A94" s="22" t="s">
        <v>451</v>
      </c>
      <c r="B94" s="22" t="s">
        <v>149</v>
      </c>
      <c r="C94" s="22" t="s">
        <v>150</v>
      </c>
      <c r="D94" s="23" t="s">
        <v>151</v>
      </c>
      <c r="E94" s="22" t="s">
        <v>61</v>
      </c>
      <c r="F94" s="22" t="s">
        <v>152</v>
      </c>
      <c r="G94" s="20" t="s">
        <v>153</v>
      </c>
      <c r="H94" s="22" t="s">
        <v>154</v>
      </c>
      <c r="I94" s="22" t="s">
        <v>447</v>
      </c>
      <c r="J94" s="22" t="s">
        <v>211</v>
      </c>
      <c r="M94" s="22" t="s">
        <v>1</v>
      </c>
      <c r="N94" s="22" t="s">
        <v>434</v>
      </c>
      <c r="O94" s="22" t="s">
        <v>158</v>
      </c>
      <c r="P94" s="21">
        <v>11307</v>
      </c>
      <c r="Q94" s="22">
        <v>2</v>
      </c>
      <c r="R94" s="22">
        <v>2</v>
      </c>
      <c r="S94" s="22">
        <v>2</v>
      </c>
      <c r="T94" s="21" t="s">
        <v>160</v>
      </c>
      <c r="U94" s="21">
        <v>1</v>
      </c>
      <c r="V94" s="21">
        <v>1</v>
      </c>
      <c r="W94" s="24">
        <f t="shared" si="20"/>
        <v>18.84</v>
      </c>
      <c r="X94" s="25">
        <f t="shared" si="21"/>
        <v>6.28</v>
      </c>
      <c r="Y94" s="21">
        <f>AB94/Q94</f>
        <v>50</v>
      </c>
      <c r="Z94" s="24">
        <f t="shared" si="13"/>
        <v>942</v>
      </c>
      <c r="AA94" s="24">
        <f t="shared" si="14"/>
        <v>314</v>
      </c>
      <c r="AB94" s="22">
        <v>100</v>
      </c>
      <c r="AC94" s="22">
        <v>2</v>
      </c>
      <c r="AD94" s="22">
        <v>2</v>
      </c>
      <c r="AE94" s="21" t="s">
        <v>160</v>
      </c>
      <c r="AF94" s="21">
        <v>1</v>
      </c>
      <c r="AG94" s="21">
        <v>1</v>
      </c>
      <c r="AH94" s="24">
        <f t="shared" si="22"/>
        <v>634.28</v>
      </c>
      <c r="AI94" s="25">
        <f t="shared" si="23"/>
        <v>314</v>
      </c>
      <c r="AJ94" s="21">
        <v>314</v>
      </c>
      <c r="AK94" s="21">
        <v>100</v>
      </c>
      <c r="AL94" s="22" t="s">
        <v>161</v>
      </c>
      <c r="AM94" s="22">
        <v>0.22</v>
      </c>
      <c r="AP94" s="22" t="s">
        <v>162</v>
      </c>
      <c r="AQ94" s="22" t="str">
        <f t="shared" si="15"/>
        <v>Microphytoplankton</v>
      </c>
      <c r="AR94" s="22">
        <v>0</v>
      </c>
      <c r="AS94" s="22">
        <v>0</v>
      </c>
      <c r="AT94" s="22">
        <v>0</v>
      </c>
      <c r="AU94" s="22">
        <v>1</v>
      </c>
      <c r="AV94" s="22">
        <v>1</v>
      </c>
      <c r="AW94" s="22">
        <v>0</v>
      </c>
      <c r="AX94" s="22">
        <v>0</v>
      </c>
      <c r="AY94" s="22">
        <v>1</v>
      </c>
    </row>
    <row r="95" spans="1:51" ht="14">
      <c r="A95" s="21" t="s">
        <v>452</v>
      </c>
      <c r="B95" s="22" t="s">
        <v>149</v>
      </c>
      <c r="C95" s="22" t="s">
        <v>150</v>
      </c>
      <c r="D95" s="23" t="s">
        <v>151</v>
      </c>
      <c r="E95" s="22" t="s">
        <v>61</v>
      </c>
      <c r="F95" s="22" t="s">
        <v>152</v>
      </c>
      <c r="G95" s="20" t="s">
        <v>153</v>
      </c>
      <c r="H95" s="22" t="s">
        <v>154</v>
      </c>
      <c r="I95" s="22" t="s">
        <v>447</v>
      </c>
      <c r="J95" s="22" t="s">
        <v>314</v>
      </c>
      <c r="M95" s="22" t="s">
        <v>1</v>
      </c>
      <c r="N95" s="22" t="s">
        <v>423</v>
      </c>
      <c r="O95" s="22" t="s">
        <v>158</v>
      </c>
      <c r="P95" s="21">
        <v>11304</v>
      </c>
      <c r="Q95" s="21">
        <v>1</v>
      </c>
      <c r="R95" s="21">
        <v>1</v>
      </c>
      <c r="S95" s="21">
        <v>1</v>
      </c>
      <c r="T95" s="21" t="s">
        <v>160</v>
      </c>
      <c r="U95" s="21">
        <v>1</v>
      </c>
      <c r="V95" s="21">
        <v>1</v>
      </c>
      <c r="W95" s="24">
        <f t="shared" si="20"/>
        <v>4.71</v>
      </c>
      <c r="X95" s="25">
        <f t="shared" si="21"/>
        <v>0.78500000000000003</v>
      </c>
      <c r="Y95" s="21">
        <f>AB95/Q95</f>
        <v>100</v>
      </c>
      <c r="Z95" s="24">
        <f t="shared" si="13"/>
        <v>471</v>
      </c>
      <c r="AA95" s="24">
        <f t="shared" si="14"/>
        <v>78.5</v>
      </c>
      <c r="AB95" s="21">
        <v>100</v>
      </c>
      <c r="AC95" s="21">
        <v>1</v>
      </c>
      <c r="AD95" s="21">
        <v>1</v>
      </c>
      <c r="AE95" s="21" t="s">
        <v>160</v>
      </c>
      <c r="AF95" s="21">
        <v>1</v>
      </c>
      <c r="AG95" s="21">
        <v>1</v>
      </c>
      <c r="AH95" s="24">
        <f t="shared" si="22"/>
        <v>315.57</v>
      </c>
      <c r="AI95" s="25">
        <f t="shared" si="23"/>
        <v>78.5</v>
      </c>
      <c r="AJ95" s="21">
        <v>78.5</v>
      </c>
      <c r="AK95" s="21">
        <v>100</v>
      </c>
      <c r="AL95" s="22" t="s">
        <v>453</v>
      </c>
      <c r="AM95" s="22">
        <v>0.22</v>
      </c>
      <c r="AP95" s="22" t="s">
        <v>162</v>
      </c>
      <c r="AQ95" s="22" t="str">
        <f t="shared" si="15"/>
        <v>Microphytoplankton</v>
      </c>
      <c r="AR95" s="22">
        <v>0</v>
      </c>
      <c r="AS95" s="22">
        <v>0</v>
      </c>
      <c r="AT95" s="22">
        <v>0</v>
      </c>
      <c r="AU95" s="22">
        <v>1</v>
      </c>
      <c r="AV95" s="22">
        <v>1</v>
      </c>
      <c r="AW95" s="22">
        <v>0</v>
      </c>
      <c r="AX95" s="22">
        <v>0</v>
      </c>
      <c r="AY95" s="22">
        <v>1</v>
      </c>
    </row>
    <row r="96" spans="1:51" ht="14">
      <c r="A96" s="21" t="s">
        <v>454</v>
      </c>
      <c r="B96" s="22" t="s">
        <v>149</v>
      </c>
      <c r="C96" s="22" t="s">
        <v>150</v>
      </c>
      <c r="D96" s="23" t="s">
        <v>151</v>
      </c>
      <c r="E96" s="22" t="s">
        <v>61</v>
      </c>
      <c r="F96" s="22" t="s">
        <v>152</v>
      </c>
      <c r="G96" s="20" t="s">
        <v>153</v>
      </c>
      <c r="H96" s="22" t="s">
        <v>154</v>
      </c>
      <c r="I96" s="22" t="s">
        <v>447</v>
      </c>
      <c r="J96" s="22" t="s">
        <v>455</v>
      </c>
      <c r="M96" s="22" t="s">
        <v>1</v>
      </c>
      <c r="N96" s="22" t="s">
        <v>423</v>
      </c>
      <c r="O96" s="22" t="s">
        <v>158</v>
      </c>
      <c r="P96" s="21">
        <v>11306</v>
      </c>
      <c r="Q96" s="21">
        <v>4</v>
      </c>
      <c r="R96" s="21">
        <v>4</v>
      </c>
      <c r="S96" s="21">
        <v>4</v>
      </c>
      <c r="T96" s="21" t="s">
        <v>160</v>
      </c>
      <c r="U96" s="21">
        <v>1</v>
      </c>
      <c r="V96" s="21">
        <v>1</v>
      </c>
      <c r="W96" s="24">
        <f t="shared" si="20"/>
        <v>75.36</v>
      </c>
      <c r="X96" s="25">
        <f t="shared" si="21"/>
        <v>50.24</v>
      </c>
      <c r="Y96" s="21">
        <f>AB96/Q96</f>
        <v>25</v>
      </c>
      <c r="Z96" s="24">
        <f t="shared" si="13"/>
        <v>1884</v>
      </c>
      <c r="AA96" s="24">
        <f t="shared" si="14"/>
        <v>1256</v>
      </c>
      <c r="AB96" s="21">
        <v>100</v>
      </c>
      <c r="AC96" s="21">
        <v>4</v>
      </c>
      <c r="AD96" s="21">
        <v>4</v>
      </c>
      <c r="AE96" s="21" t="s">
        <v>160</v>
      </c>
      <c r="AF96" s="21">
        <v>1</v>
      </c>
      <c r="AG96" s="21">
        <v>1</v>
      </c>
      <c r="AH96" s="24">
        <f t="shared" si="22"/>
        <v>1281.1199999999999</v>
      </c>
      <c r="AI96" s="25">
        <f t="shared" si="23"/>
        <v>1256</v>
      </c>
      <c r="AJ96" s="21">
        <v>1256</v>
      </c>
      <c r="AK96" s="21">
        <v>100</v>
      </c>
      <c r="AL96" s="22" t="s">
        <v>453</v>
      </c>
      <c r="AM96" s="22">
        <v>0.22</v>
      </c>
      <c r="AP96" s="22" t="s">
        <v>162</v>
      </c>
      <c r="AQ96" s="22" t="str">
        <f t="shared" si="15"/>
        <v>Microphytoplankton</v>
      </c>
      <c r="AR96" s="22">
        <v>0</v>
      </c>
      <c r="AS96" s="22">
        <v>0</v>
      </c>
      <c r="AT96" s="22">
        <v>0</v>
      </c>
      <c r="AU96" s="22">
        <v>1</v>
      </c>
      <c r="AV96" s="22">
        <v>1</v>
      </c>
      <c r="AW96" s="22">
        <v>0</v>
      </c>
      <c r="AX96" s="22">
        <v>0</v>
      </c>
      <c r="AY96" s="22">
        <v>1</v>
      </c>
    </row>
    <row r="97" spans="1:57" ht="14">
      <c r="A97" s="21" t="s">
        <v>456</v>
      </c>
      <c r="B97" s="22" t="s">
        <v>149</v>
      </c>
      <c r="C97" s="22" t="s">
        <v>150</v>
      </c>
      <c r="D97" s="23" t="s">
        <v>151</v>
      </c>
      <c r="E97" s="22" t="s">
        <v>61</v>
      </c>
      <c r="F97" s="22" t="s">
        <v>152</v>
      </c>
      <c r="G97" s="20" t="s">
        <v>153</v>
      </c>
      <c r="H97" s="22" t="s">
        <v>154</v>
      </c>
      <c r="I97" s="22" t="s">
        <v>447</v>
      </c>
      <c r="J97" s="22" t="s">
        <v>457</v>
      </c>
      <c r="N97" s="22" t="s">
        <v>449</v>
      </c>
      <c r="O97" s="22" t="s">
        <v>158</v>
      </c>
      <c r="P97" s="21">
        <v>11305</v>
      </c>
      <c r="Q97" s="21">
        <v>2</v>
      </c>
      <c r="R97" s="21">
        <v>2</v>
      </c>
      <c r="S97" s="21">
        <v>2</v>
      </c>
      <c r="T97" s="21" t="s">
        <v>160</v>
      </c>
      <c r="U97" s="21">
        <v>1</v>
      </c>
      <c r="V97" s="21">
        <v>1</v>
      </c>
      <c r="W97" s="24">
        <f t="shared" si="20"/>
        <v>18.84</v>
      </c>
      <c r="X97" s="25">
        <f t="shared" si="21"/>
        <v>6.28</v>
      </c>
      <c r="Y97" s="21">
        <f>AB97/Q97</f>
        <v>50</v>
      </c>
      <c r="Z97" s="24">
        <f t="shared" si="13"/>
        <v>942</v>
      </c>
      <c r="AA97" s="24">
        <f t="shared" si="14"/>
        <v>314</v>
      </c>
      <c r="AB97" s="21">
        <v>100</v>
      </c>
      <c r="AC97" s="21">
        <v>2</v>
      </c>
      <c r="AD97" s="21">
        <v>2</v>
      </c>
      <c r="AE97" s="21" t="s">
        <v>160</v>
      </c>
      <c r="AF97" s="21">
        <v>1</v>
      </c>
      <c r="AG97" s="21">
        <v>1</v>
      </c>
      <c r="AH97" s="24">
        <f t="shared" si="22"/>
        <v>634.28</v>
      </c>
      <c r="AI97" s="25">
        <f t="shared" si="23"/>
        <v>314</v>
      </c>
      <c r="AJ97" s="21">
        <v>314</v>
      </c>
      <c r="AK97" s="21">
        <v>100</v>
      </c>
      <c r="AL97" s="22" t="s">
        <v>453</v>
      </c>
      <c r="AM97" s="22">
        <v>0.22</v>
      </c>
      <c r="AP97" s="22" t="s">
        <v>162</v>
      </c>
      <c r="AQ97" s="22" t="str">
        <f t="shared" si="15"/>
        <v>Microphytoplankton</v>
      </c>
      <c r="AR97" s="22">
        <v>0</v>
      </c>
      <c r="AS97" s="22">
        <v>0</v>
      </c>
      <c r="AT97" s="22">
        <v>0</v>
      </c>
      <c r="AU97" s="22">
        <v>1</v>
      </c>
      <c r="AV97" s="22">
        <v>1</v>
      </c>
      <c r="AW97" s="22">
        <v>0</v>
      </c>
      <c r="AX97" s="22">
        <v>0</v>
      </c>
      <c r="AY97" s="22">
        <v>1</v>
      </c>
    </row>
    <row r="98" spans="1:57" ht="14">
      <c r="A98" s="21" t="s">
        <v>458</v>
      </c>
      <c r="B98" s="22" t="s">
        <v>149</v>
      </c>
      <c r="C98" s="22" t="s">
        <v>150</v>
      </c>
      <c r="D98" s="23" t="s">
        <v>151</v>
      </c>
      <c r="E98" s="22" t="s">
        <v>61</v>
      </c>
      <c r="F98" s="22" t="s">
        <v>152</v>
      </c>
      <c r="G98" s="20" t="s">
        <v>153</v>
      </c>
      <c r="H98" s="22" t="s">
        <v>154</v>
      </c>
      <c r="I98" s="22" t="s">
        <v>459</v>
      </c>
      <c r="J98" s="22" t="s">
        <v>460</v>
      </c>
      <c r="N98" s="22" t="s">
        <v>461</v>
      </c>
      <c r="O98" s="22" t="s">
        <v>158</v>
      </c>
      <c r="P98" s="21">
        <v>11314</v>
      </c>
      <c r="Q98" s="21">
        <v>6</v>
      </c>
      <c r="R98" s="21">
        <v>3</v>
      </c>
      <c r="S98" s="21">
        <v>3</v>
      </c>
      <c r="T98" s="21" t="s">
        <v>160</v>
      </c>
      <c r="U98" s="21">
        <v>1</v>
      </c>
      <c r="V98" s="21">
        <v>1</v>
      </c>
      <c r="W98" s="24">
        <f t="shared" si="20"/>
        <v>70.649999999999991</v>
      </c>
      <c r="X98" s="25">
        <f t="shared" si="21"/>
        <v>42.39</v>
      </c>
      <c r="Y98" s="21">
        <f>100/6</f>
        <v>16.666666666666668</v>
      </c>
      <c r="Z98" s="24">
        <f t="shared" si="13"/>
        <v>1177.5</v>
      </c>
      <c r="AA98" s="24">
        <f t="shared" si="14"/>
        <v>706.50000000000011</v>
      </c>
      <c r="AB98" s="21">
        <v>100</v>
      </c>
      <c r="AC98" s="21">
        <v>3</v>
      </c>
      <c r="AD98" s="21">
        <v>3</v>
      </c>
      <c r="AE98" s="21" t="s">
        <v>160</v>
      </c>
      <c r="AF98" s="21">
        <v>1</v>
      </c>
      <c r="AG98" s="21">
        <v>1</v>
      </c>
      <c r="AH98" s="24">
        <f t="shared" si="22"/>
        <v>956.13</v>
      </c>
      <c r="AI98" s="25">
        <f t="shared" si="23"/>
        <v>706.5</v>
      </c>
      <c r="AJ98" s="21">
        <v>706.5</v>
      </c>
      <c r="AK98" s="21">
        <v>100</v>
      </c>
      <c r="AL98" s="22" t="s">
        <v>161</v>
      </c>
      <c r="AM98" s="22">
        <v>0.22</v>
      </c>
      <c r="AO98" s="22" t="s">
        <v>388</v>
      </c>
      <c r="AP98" s="22" t="s">
        <v>169</v>
      </c>
      <c r="AQ98" s="22" t="str">
        <f t="shared" si="15"/>
        <v>Microphytoplankton</v>
      </c>
      <c r="AR98" s="22">
        <v>0</v>
      </c>
      <c r="AS98" s="22">
        <v>0</v>
      </c>
      <c r="AT98" s="22">
        <v>0</v>
      </c>
      <c r="AU98" s="22">
        <v>1</v>
      </c>
      <c r="AV98" s="22">
        <v>1</v>
      </c>
      <c r="AW98" s="22">
        <v>0</v>
      </c>
      <c r="AX98" s="22">
        <v>0</v>
      </c>
      <c r="AY98" s="22">
        <v>1</v>
      </c>
    </row>
    <row r="99" spans="1:57" ht="14">
      <c r="A99" s="21" t="s">
        <v>462</v>
      </c>
      <c r="B99" s="22" t="s">
        <v>149</v>
      </c>
      <c r="C99" s="22" t="s">
        <v>150</v>
      </c>
      <c r="D99" s="23" t="s">
        <v>151</v>
      </c>
      <c r="E99" s="22" t="s">
        <v>61</v>
      </c>
      <c r="F99" s="22" t="s">
        <v>152</v>
      </c>
      <c r="G99" s="20" t="s">
        <v>153</v>
      </c>
      <c r="H99" s="22" t="s">
        <v>154</v>
      </c>
      <c r="I99" s="22" t="s">
        <v>459</v>
      </c>
      <c r="J99" s="22" t="s">
        <v>463</v>
      </c>
      <c r="N99" s="22" t="s">
        <v>464</v>
      </c>
      <c r="O99" s="22" t="s">
        <v>158</v>
      </c>
      <c r="P99" s="21">
        <v>10959</v>
      </c>
      <c r="Q99" s="21">
        <v>10</v>
      </c>
      <c r="R99" s="21">
        <v>1.8</v>
      </c>
      <c r="S99" s="21">
        <v>1.8</v>
      </c>
      <c r="T99" s="21" t="s">
        <v>160</v>
      </c>
      <c r="U99" s="21">
        <v>1</v>
      </c>
      <c r="V99" s="21">
        <v>1</v>
      </c>
      <c r="W99" s="24">
        <f t="shared" si="20"/>
        <v>61.606800000000007</v>
      </c>
      <c r="X99" s="25">
        <f t="shared" si="21"/>
        <v>25.434000000000001</v>
      </c>
      <c r="Y99" s="21">
        <v>10</v>
      </c>
      <c r="Z99" s="24">
        <f t="shared" si="13"/>
        <v>616.0680000000001</v>
      </c>
      <c r="AA99" s="24">
        <f t="shared" si="14"/>
        <v>254.34</v>
      </c>
      <c r="AB99" s="21">
        <v>100</v>
      </c>
      <c r="AC99" s="21">
        <v>1.8</v>
      </c>
      <c r="AD99" s="21">
        <v>1.8</v>
      </c>
      <c r="AE99" s="21" t="s">
        <v>160</v>
      </c>
      <c r="AF99" s="21">
        <v>1</v>
      </c>
      <c r="AG99" s="21">
        <v>1</v>
      </c>
      <c r="AH99" s="24">
        <f t="shared" si="22"/>
        <v>570.28680000000008</v>
      </c>
      <c r="AI99" s="25">
        <f t="shared" si="23"/>
        <v>254.34</v>
      </c>
      <c r="AJ99" s="21">
        <v>254.34</v>
      </c>
      <c r="AK99" s="21">
        <v>100</v>
      </c>
      <c r="AL99" s="22" t="s">
        <v>161</v>
      </c>
      <c r="AM99" s="22">
        <v>0.22</v>
      </c>
      <c r="AO99" s="22" t="s">
        <v>388</v>
      </c>
      <c r="AP99" s="22" t="s">
        <v>169</v>
      </c>
      <c r="AQ99" s="22" t="str">
        <f t="shared" si="15"/>
        <v>Microphytoplankton</v>
      </c>
      <c r="AR99" s="22">
        <v>0</v>
      </c>
      <c r="AS99" s="22">
        <v>0</v>
      </c>
      <c r="AT99" s="22">
        <v>0</v>
      </c>
      <c r="AU99" s="22">
        <v>1</v>
      </c>
      <c r="AV99" s="22">
        <v>1</v>
      </c>
      <c r="AW99" s="22">
        <v>0</v>
      </c>
      <c r="AX99" s="22">
        <v>0</v>
      </c>
      <c r="AY99" s="22">
        <v>1</v>
      </c>
    </row>
    <row r="100" spans="1:57" ht="14">
      <c r="A100" s="21" t="s">
        <v>465</v>
      </c>
      <c r="B100" s="22" t="s">
        <v>149</v>
      </c>
      <c r="C100" s="22" t="s">
        <v>150</v>
      </c>
      <c r="D100" s="23" t="s">
        <v>151</v>
      </c>
      <c r="E100" s="22" t="s">
        <v>61</v>
      </c>
      <c r="F100" s="22" t="s">
        <v>152</v>
      </c>
      <c r="G100" s="20" t="s">
        <v>153</v>
      </c>
      <c r="H100" s="22" t="s">
        <v>154</v>
      </c>
      <c r="I100" s="22" t="s">
        <v>459</v>
      </c>
      <c r="J100" s="22" t="s">
        <v>209</v>
      </c>
      <c r="N100" s="22" t="s">
        <v>466</v>
      </c>
      <c r="O100" s="22" t="s">
        <v>158</v>
      </c>
      <c r="P100" s="21">
        <v>10961</v>
      </c>
      <c r="Q100" s="21">
        <v>8</v>
      </c>
      <c r="R100" s="21">
        <v>2</v>
      </c>
      <c r="S100" s="21">
        <v>2</v>
      </c>
      <c r="T100" s="21" t="s">
        <v>160</v>
      </c>
      <c r="U100" s="21">
        <v>1</v>
      </c>
      <c r="V100" s="21">
        <v>1</v>
      </c>
      <c r="W100" s="24">
        <f t="shared" si="20"/>
        <v>56.52</v>
      </c>
      <c r="X100" s="25">
        <f t="shared" si="21"/>
        <v>25.12</v>
      </c>
      <c r="Y100" s="21">
        <f t="shared" ref="Y100:Y106" si="24">AB100/Q100</f>
        <v>12.5</v>
      </c>
      <c r="Z100" s="24">
        <f t="shared" si="13"/>
        <v>706.5</v>
      </c>
      <c r="AA100" s="24">
        <f t="shared" si="14"/>
        <v>314</v>
      </c>
      <c r="AB100" s="21">
        <v>100</v>
      </c>
      <c r="AC100" s="21">
        <v>2</v>
      </c>
      <c r="AD100" s="21">
        <v>2</v>
      </c>
      <c r="AE100" s="21" t="s">
        <v>160</v>
      </c>
      <c r="AF100" s="21">
        <v>1</v>
      </c>
      <c r="AG100" s="21">
        <v>1</v>
      </c>
      <c r="AH100" s="24">
        <f t="shared" si="22"/>
        <v>634.28</v>
      </c>
      <c r="AI100" s="25">
        <f t="shared" si="23"/>
        <v>314</v>
      </c>
      <c r="AJ100" s="21">
        <v>314</v>
      </c>
      <c r="AK100" s="21">
        <v>100</v>
      </c>
      <c r="AL100" s="22" t="s">
        <v>467</v>
      </c>
      <c r="AM100" s="22">
        <v>0.22</v>
      </c>
      <c r="AO100" s="22" t="s">
        <v>388</v>
      </c>
      <c r="AP100" s="22" t="s">
        <v>169</v>
      </c>
      <c r="AQ100" s="22" t="str">
        <f t="shared" si="15"/>
        <v>Microphytoplankton</v>
      </c>
      <c r="AR100" s="22">
        <v>0</v>
      </c>
      <c r="AS100" s="22">
        <v>0</v>
      </c>
      <c r="AT100" s="22">
        <v>0</v>
      </c>
      <c r="AU100" s="22">
        <v>1</v>
      </c>
      <c r="AV100" s="22">
        <v>1</v>
      </c>
      <c r="AW100" s="22">
        <v>0</v>
      </c>
      <c r="AX100" s="22">
        <v>0</v>
      </c>
      <c r="AY100" s="22">
        <v>1</v>
      </c>
    </row>
    <row r="101" spans="1:57" ht="14">
      <c r="A101" s="21" t="s">
        <v>468</v>
      </c>
      <c r="B101" s="22" t="s">
        <v>149</v>
      </c>
      <c r="C101" s="22" t="s">
        <v>150</v>
      </c>
      <c r="D101" s="23" t="s">
        <v>151</v>
      </c>
      <c r="E101" s="22" t="s">
        <v>61</v>
      </c>
      <c r="F101" s="22" t="s">
        <v>152</v>
      </c>
      <c r="G101" s="20" t="s">
        <v>153</v>
      </c>
      <c r="H101" s="22" t="s">
        <v>154</v>
      </c>
      <c r="I101" s="22" t="s">
        <v>459</v>
      </c>
      <c r="J101" s="22" t="s">
        <v>469</v>
      </c>
      <c r="N101" s="22" t="s">
        <v>470</v>
      </c>
      <c r="O101" s="22" t="s">
        <v>158</v>
      </c>
      <c r="P101" s="21">
        <v>10960</v>
      </c>
      <c r="Q101" s="21">
        <v>6</v>
      </c>
      <c r="R101" s="21">
        <v>1.5</v>
      </c>
      <c r="S101" s="21">
        <v>1.5</v>
      </c>
      <c r="T101" s="21" t="s">
        <v>160</v>
      </c>
      <c r="U101" s="21">
        <v>1</v>
      </c>
      <c r="V101" s="21">
        <v>1</v>
      </c>
      <c r="W101" s="24">
        <f t="shared" si="20"/>
        <v>31.792499999999997</v>
      </c>
      <c r="X101" s="25">
        <f t="shared" si="21"/>
        <v>10.5975</v>
      </c>
      <c r="Y101" s="21">
        <f t="shared" si="24"/>
        <v>16.666666666666668</v>
      </c>
      <c r="Z101" s="24">
        <f t="shared" si="13"/>
        <v>529.875</v>
      </c>
      <c r="AA101" s="24">
        <f t="shared" si="14"/>
        <v>176.62500000000003</v>
      </c>
      <c r="AB101" s="21">
        <v>100</v>
      </c>
      <c r="AC101" s="21">
        <v>1.5</v>
      </c>
      <c r="AD101" s="21">
        <v>1.5</v>
      </c>
      <c r="AE101" s="21" t="s">
        <v>160</v>
      </c>
      <c r="AF101" s="21">
        <v>1</v>
      </c>
      <c r="AG101" s="21">
        <v>1</v>
      </c>
      <c r="AH101" s="24">
        <f t="shared" si="22"/>
        <v>474.53250000000003</v>
      </c>
      <c r="AI101" s="25">
        <f t="shared" si="23"/>
        <v>176.625</v>
      </c>
      <c r="AJ101" s="21">
        <v>176.7</v>
      </c>
      <c r="AK101" s="21">
        <v>100</v>
      </c>
      <c r="AL101" s="22" t="s">
        <v>161</v>
      </c>
      <c r="AM101" s="22">
        <v>0.22</v>
      </c>
      <c r="AN101" s="22" t="s">
        <v>388</v>
      </c>
      <c r="AO101" s="22" t="s">
        <v>388</v>
      </c>
      <c r="AP101" s="22" t="s">
        <v>169</v>
      </c>
      <c r="AQ101" s="22" t="str">
        <f t="shared" si="15"/>
        <v>Microphytoplankton</v>
      </c>
      <c r="AR101" s="22">
        <v>0</v>
      </c>
      <c r="AS101" s="22">
        <v>0</v>
      </c>
      <c r="AT101" s="22">
        <v>0</v>
      </c>
      <c r="AU101" s="22">
        <v>1</v>
      </c>
      <c r="AV101" s="22">
        <v>1</v>
      </c>
      <c r="AW101" s="22">
        <v>0</v>
      </c>
      <c r="AX101" s="22">
        <v>0</v>
      </c>
      <c r="AY101" s="22">
        <v>1</v>
      </c>
      <c r="AZ101" s="22">
        <v>0</v>
      </c>
      <c r="BA101" s="22">
        <v>0</v>
      </c>
      <c r="BB101" s="22">
        <v>0</v>
      </c>
      <c r="BC101" s="22">
        <v>0</v>
      </c>
      <c r="BD101" s="22">
        <v>2</v>
      </c>
      <c r="BE101" s="22">
        <v>8</v>
      </c>
    </row>
    <row r="102" spans="1:57" ht="14">
      <c r="A102" s="22" t="s">
        <v>471</v>
      </c>
      <c r="B102" s="22" t="s">
        <v>149</v>
      </c>
      <c r="C102" s="22" t="s">
        <v>150</v>
      </c>
      <c r="D102" s="23" t="s">
        <v>151</v>
      </c>
      <c r="E102" s="22" t="s">
        <v>61</v>
      </c>
      <c r="F102" s="22" t="s">
        <v>152</v>
      </c>
      <c r="G102" s="20" t="s">
        <v>153</v>
      </c>
      <c r="H102" s="22" t="s">
        <v>154</v>
      </c>
      <c r="I102" s="22" t="s">
        <v>459</v>
      </c>
      <c r="J102" s="22" t="s">
        <v>211</v>
      </c>
      <c r="M102" s="22" t="s">
        <v>1</v>
      </c>
      <c r="N102" s="22" t="s">
        <v>472</v>
      </c>
      <c r="O102" s="22" t="s">
        <v>158</v>
      </c>
      <c r="P102" s="21">
        <v>10962</v>
      </c>
      <c r="Q102" s="22">
        <v>8</v>
      </c>
      <c r="R102" s="22">
        <v>2</v>
      </c>
      <c r="S102" s="22">
        <v>2</v>
      </c>
      <c r="T102" s="21" t="s">
        <v>160</v>
      </c>
      <c r="U102" s="21">
        <v>1</v>
      </c>
      <c r="V102" s="21">
        <v>1</v>
      </c>
      <c r="W102" s="24">
        <f t="shared" si="20"/>
        <v>56.52</v>
      </c>
      <c r="X102" s="25">
        <f t="shared" si="21"/>
        <v>25.12</v>
      </c>
      <c r="Y102" s="21">
        <f t="shared" si="24"/>
        <v>12.5</v>
      </c>
      <c r="Z102" s="24">
        <f t="shared" si="13"/>
        <v>706.5</v>
      </c>
      <c r="AA102" s="24">
        <f t="shared" si="14"/>
        <v>314</v>
      </c>
      <c r="AB102" s="22">
        <v>100</v>
      </c>
      <c r="AC102" s="22">
        <v>2</v>
      </c>
      <c r="AD102" s="22">
        <v>2</v>
      </c>
      <c r="AE102" s="21" t="s">
        <v>160</v>
      </c>
      <c r="AF102" s="21">
        <v>1</v>
      </c>
      <c r="AG102" s="21">
        <v>1</v>
      </c>
      <c r="AH102" s="24">
        <f t="shared" si="22"/>
        <v>634.28</v>
      </c>
      <c r="AI102" s="25">
        <f t="shared" si="23"/>
        <v>314</v>
      </c>
      <c r="AJ102" s="21">
        <v>314</v>
      </c>
      <c r="AK102" s="21">
        <v>100</v>
      </c>
      <c r="AL102" s="22" t="s">
        <v>161</v>
      </c>
      <c r="AM102" s="22">
        <v>0.22</v>
      </c>
      <c r="AO102" s="22" t="s">
        <v>388</v>
      </c>
      <c r="AP102" s="22" t="s">
        <v>169</v>
      </c>
      <c r="AQ102" s="22" t="str">
        <f t="shared" si="15"/>
        <v>Microphytoplankton</v>
      </c>
      <c r="AR102" s="22">
        <v>0</v>
      </c>
      <c r="AS102" s="22">
        <v>0</v>
      </c>
      <c r="AT102" s="22">
        <v>0</v>
      </c>
      <c r="AU102" s="22">
        <v>1</v>
      </c>
      <c r="AV102" s="22">
        <v>1</v>
      </c>
      <c r="AW102" s="22">
        <v>0</v>
      </c>
      <c r="AX102" s="22">
        <v>0</v>
      </c>
      <c r="AY102" s="22">
        <v>1</v>
      </c>
    </row>
    <row r="103" spans="1:57" ht="14">
      <c r="A103" s="22" t="s">
        <v>473</v>
      </c>
      <c r="B103" s="22" t="s">
        <v>149</v>
      </c>
      <c r="C103" s="22" t="s">
        <v>150</v>
      </c>
      <c r="D103" s="23" t="s">
        <v>151</v>
      </c>
      <c r="E103" s="22" t="s">
        <v>61</v>
      </c>
      <c r="F103" s="22" t="s">
        <v>152</v>
      </c>
      <c r="G103" s="20" t="s">
        <v>153</v>
      </c>
      <c r="H103" s="22" t="s">
        <v>154</v>
      </c>
      <c r="I103" s="22" t="s">
        <v>459</v>
      </c>
      <c r="J103" s="22" t="s">
        <v>209</v>
      </c>
      <c r="N103" s="22" t="s">
        <v>466</v>
      </c>
      <c r="O103" s="22" t="s">
        <v>158</v>
      </c>
      <c r="P103" s="21">
        <v>10963</v>
      </c>
      <c r="Q103" s="22">
        <v>8</v>
      </c>
      <c r="R103" s="22">
        <v>2</v>
      </c>
      <c r="S103" s="22">
        <v>2</v>
      </c>
      <c r="T103" s="21" t="s">
        <v>160</v>
      </c>
      <c r="U103" s="21">
        <v>1</v>
      </c>
      <c r="V103" s="21">
        <v>1</v>
      </c>
      <c r="W103" s="24">
        <f t="shared" si="20"/>
        <v>56.52</v>
      </c>
      <c r="X103" s="25">
        <f t="shared" si="21"/>
        <v>25.12</v>
      </c>
      <c r="Y103" s="21">
        <f t="shared" si="24"/>
        <v>12.5</v>
      </c>
      <c r="Z103" s="24">
        <f t="shared" si="13"/>
        <v>706.5</v>
      </c>
      <c r="AA103" s="24">
        <f t="shared" si="14"/>
        <v>314</v>
      </c>
      <c r="AB103" s="22">
        <v>100</v>
      </c>
      <c r="AC103" s="22">
        <v>2</v>
      </c>
      <c r="AD103" s="22">
        <v>2</v>
      </c>
      <c r="AE103" s="21" t="s">
        <v>160</v>
      </c>
      <c r="AF103" s="21">
        <v>1</v>
      </c>
      <c r="AG103" s="21">
        <v>1</v>
      </c>
      <c r="AH103" s="24">
        <f t="shared" si="22"/>
        <v>634.28</v>
      </c>
      <c r="AI103" s="25">
        <f t="shared" si="23"/>
        <v>314</v>
      </c>
      <c r="AJ103" s="21">
        <v>314</v>
      </c>
      <c r="AK103" s="21">
        <v>100</v>
      </c>
      <c r="AL103" s="22" t="s">
        <v>161</v>
      </c>
      <c r="AM103" s="22">
        <v>0.22</v>
      </c>
      <c r="AO103" s="22" t="s">
        <v>388</v>
      </c>
      <c r="AP103" s="22" t="s">
        <v>169</v>
      </c>
      <c r="AQ103" s="22" t="str">
        <f t="shared" si="15"/>
        <v>Microphytoplankton</v>
      </c>
      <c r="AR103" s="22">
        <v>0</v>
      </c>
      <c r="AS103" s="22">
        <v>0</v>
      </c>
      <c r="AT103" s="22">
        <v>0</v>
      </c>
      <c r="AU103" s="22">
        <v>1</v>
      </c>
      <c r="AV103" s="22">
        <v>1</v>
      </c>
      <c r="AW103" s="22">
        <v>0</v>
      </c>
      <c r="AX103" s="22">
        <v>0</v>
      </c>
      <c r="AY103" s="22">
        <v>1</v>
      </c>
    </row>
    <row r="104" spans="1:57" ht="14">
      <c r="A104" s="22" t="s">
        <v>474</v>
      </c>
      <c r="B104" s="22" t="s">
        <v>149</v>
      </c>
      <c r="C104" s="22" t="s">
        <v>150</v>
      </c>
      <c r="D104" s="23" t="s">
        <v>151</v>
      </c>
      <c r="E104" s="22" t="s">
        <v>61</v>
      </c>
      <c r="F104" s="22" t="s">
        <v>152</v>
      </c>
      <c r="G104" s="20" t="s">
        <v>153</v>
      </c>
      <c r="H104" s="22" t="s">
        <v>317</v>
      </c>
      <c r="I104" s="22" t="s">
        <v>38</v>
      </c>
      <c r="J104" s="22" t="s">
        <v>211</v>
      </c>
      <c r="M104" s="22" t="s">
        <v>1</v>
      </c>
      <c r="N104" s="22" t="s">
        <v>475</v>
      </c>
      <c r="O104" s="22" t="s">
        <v>158</v>
      </c>
      <c r="P104" s="21">
        <v>10964</v>
      </c>
      <c r="Q104" s="22">
        <v>5</v>
      </c>
      <c r="R104" s="22">
        <v>8</v>
      </c>
      <c r="S104" s="22">
        <v>8</v>
      </c>
      <c r="T104" s="21" t="s">
        <v>160</v>
      </c>
      <c r="U104" s="21">
        <v>1</v>
      </c>
      <c r="V104" s="21">
        <v>1</v>
      </c>
      <c r="W104" s="24">
        <f t="shared" si="20"/>
        <v>226.08</v>
      </c>
      <c r="X104" s="25">
        <f t="shared" si="21"/>
        <v>251.20000000000002</v>
      </c>
      <c r="Y104" s="21">
        <f t="shared" si="24"/>
        <v>20</v>
      </c>
      <c r="Z104" s="24">
        <f t="shared" si="13"/>
        <v>4521.6000000000004</v>
      </c>
      <c r="AA104" s="24">
        <f t="shared" si="14"/>
        <v>5024</v>
      </c>
      <c r="AB104" s="22">
        <v>100</v>
      </c>
      <c r="AC104" s="22">
        <v>8</v>
      </c>
      <c r="AD104" s="22">
        <v>8</v>
      </c>
      <c r="AE104" s="21" t="s">
        <v>160</v>
      </c>
      <c r="AF104" s="21">
        <v>1</v>
      </c>
      <c r="AG104" s="21">
        <v>1</v>
      </c>
      <c r="AH104" s="24">
        <f t="shared" si="22"/>
        <v>2612.48</v>
      </c>
      <c r="AI104" s="25">
        <f t="shared" si="23"/>
        <v>5024</v>
      </c>
      <c r="AJ104" s="21">
        <v>5024</v>
      </c>
      <c r="AK104" s="21">
        <v>100</v>
      </c>
      <c r="AL104" s="22" t="s">
        <v>161</v>
      </c>
      <c r="AM104" s="22">
        <v>0.22</v>
      </c>
      <c r="AO104" s="22" t="s">
        <v>476</v>
      </c>
      <c r="AP104" s="22" t="s">
        <v>169</v>
      </c>
      <c r="AQ104" s="22" t="str">
        <f t="shared" si="15"/>
        <v>Microphytoplankton</v>
      </c>
      <c r="AR104" s="22">
        <v>0</v>
      </c>
      <c r="AS104" s="22">
        <v>0</v>
      </c>
      <c r="AT104" s="22">
        <v>0</v>
      </c>
      <c r="AU104" s="22">
        <v>1</v>
      </c>
      <c r="AV104" s="22">
        <v>1</v>
      </c>
      <c r="AW104" s="22">
        <v>0</v>
      </c>
      <c r="AX104" s="22">
        <v>0</v>
      </c>
      <c r="AY104" s="22">
        <v>1</v>
      </c>
    </row>
    <row r="105" spans="1:57" ht="14">
      <c r="A105" s="21" t="s">
        <v>477</v>
      </c>
      <c r="B105" s="22" t="s">
        <v>149</v>
      </c>
      <c r="C105" s="22" t="s">
        <v>150</v>
      </c>
      <c r="D105" s="23" t="s">
        <v>151</v>
      </c>
      <c r="E105" s="22" t="s">
        <v>61</v>
      </c>
      <c r="F105" s="22" t="s">
        <v>152</v>
      </c>
      <c r="G105" s="20" t="s">
        <v>153</v>
      </c>
      <c r="H105" s="22" t="s">
        <v>317</v>
      </c>
      <c r="I105" s="22" t="s">
        <v>38</v>
      </c>
      <c r="J105" s="22" t="s">
        <v>478</v>
      </c>
      <c r="M105" s="22" t="s">
        <v>1</v>
      </c>
      <c r="N105" s="22" t="s">
        <v>479</v>
      </c>
      <c r="O105" s="22" t="s">
        <v>158</v>
      </c>
      <c r="P105" s="21">
        <v>11300</v>
      </c>
      <c r="Q105" s="21">
        <v>2</v>
      </c>
      <c r="R105" s="21">
        <v>6</v>
      </c>
      <c r="S105" s="21">
        <v>6</v>
      </c>
      <c r="T105" s="21" t="s">
        <v>160</v>
      </c>
      <c r="U105" s="21">
        <v>1</v>
      </c>
      <c r="V105" s="21">
        <v>1</v>
      </c>
      <c r="W105" s="24">
        <f t="shared" si="20"/>
        <v>94.2</v>
      </c>
      <c r="X105" s="25">
        <f t="shared" si="21"/>
        <v>56.52</v>
      </c>
      <c r="Y105" s="21">
        <f t="shared" si="24"/>
        <v>50</v>
      </c>
      <c r="Z105" s="24">
        <f t="shared" si="13"/>
        <v>4710</v>
      </c>
      <c r="AA105" s="24">
        <f t="shared" si="14"/>
        <v>2826</v>
      </c>
      <c r="AB105" s="22">
        <v>100</v>
      </c>
      <c r="AC105" s="21">
        <v>6</v>
      </c>
      <c r="AD105" s="21">
        <v>6</v>
      </c>
      <c r="AE105" s="21" t="s">
        <v>160</v>
      </c>
      <c r="AF105" s="21">
        <v>1</v>
      </c>
      <c r="AG105" s="21">
        <v>1</v>
      </c>
      <c r="AH105" s="24">
        <f t="shared" si="22"/>
        <v>1940.52</v>
      </c>
      <c r="AI105" s="25">
        <f t="shared" si="23"/>
        <v>2826</v>
      </c>
      <c r="AJ105" s="21">
        <v>2827.4</v>
      </c>
      <c r="AK105" s="21">
        <v>100</v>
      </c>
      <c r="AL105" s="22" t="s">
        <v>161</v>
      </c>
      <c r="AM105" s="22">
        <v>0.22</v>
      </c>
      <c r="AO105" s="22" t="s">
        <v>476</v>
      </c>
      <c r="AP105" s="22" t="s">
        <v>169</v>
      </c>
      <c r="AQ105" s="22" t="str">
        <f t="shared" si="15"/>
        <v>Microphytoplankton</v>
      </c>
      <c r="AR105" s="22">
        <v>0</v>
      </c>
      <c r="AS105" s="22">
        <v>0</v>
      </c>
      <c r="AT105" s="22">
        <v>0</v>
      </c>
      <c r="AU105" s="22">
        <v>1</v>
      </c>
      <c r="AV105" s="22">
        <v>1</v>
      </c>
      <c r="AW105" s="22">
        <v>0</v>
      </c>
      <c r="AX105" s="22">
        <v>0</v>
      </c>
      <c r="AY105" s="22">
        <v>1</v>
      </c>
    </row>
    <row r="106" spans="1:57" ht="14">
      <c r="A106" s="21" t="s">
        <v>480</v>
      </c>
      <c r="B106" s="22" t="s">
        <v>149</v>
      </c>
      <c r="C106" s="22" t="s">
        <v>150</v>
      </c>
      <c r="D106" s="23" t="s">
        <v>151</v>
      </c>
      <c r="E106" s="22" t="s">
        <v>61</v>
      </c>
      <c r="F106" s="22" t="s">
        <v>152</v>
      </c>
      <c r="G106" s="20" t="s">
        <v>153</v>
      </c>
      <c r="H106" s="22" t="s">
        <v>317</v>
      </c>
      <c r="I106" s="22" t="s">
        <v>38</v>
      </c>
      <c r="J106" s="22" t="s">
        <v>481</v>
      </c>
      <c r="N106" s="22" t="s">
        <v>482</v>
      </c>
      <c r="O106" s="22" t="s">
        <v>158</v>
      </c>
      <c r="P106" s="21">
        <v>11301</v>
      </c>
      <c r="Q106" s="21">
        <v>5</v>
      </c>
      <c r="R106" s="21">
        <v>15</v>
      </c>
      <c r="S106" s="21">
        <v>15</v>
      </c>
      <c r="T106" s="21" t="s">
        <v>160</v>
      </c>
      <c r="U106" s="21">
        <v>1</v>
      </c>
      <c r="V106" s="21">
        <v>1</v>
      </c>
      <c r="W106" s="24">
        <f t="shared" si="20"/>
        <v>588.75</v>
      </c>
      <c r="X106" s="25">
        <f t="shared" si="21"/>
        <v>883.125</v>
      </c>
      <c r="Y106" s="21">
        <f t="shared" si="24"/>
        <v>20</v>
      </c>
      <c r="Z106" s="24">
        <f t="shared" si="13"/>
        <v>11775</v>
      </c>
      <c r="AA106" s="24">
        <f t="shared" si="14"/>
        <v>17662.5</v>
      </c>
      <c r="AB106" s="22">
        <v>100</v>
      </c>
      <c r="AC106" s="21">
        <v>15</v>
      </c>
      <c r="AD106" s="21">
        <v>15</v>
      </c>
      <c r="AE106" s="21" t="s">
        <v>160</v>
      </c>
      <c r="AF106" s="21">
        <v>1</v>
      </c>
      <c r="AG106" s="21">
        <v>1</v>
      </c>
      <c r="AH106" s="24">
        <f t="shared" si="22"/>
        <v>5063.25</v>
      </c>
      <c r="AI106" s="25">
        <f t="shared" si="23"/>
        <v>17662.5</v>
      </c>
      <c r="AJ106" s="21">
        <v>17671</v>
      </c>
      <c r="AK106" s="21">
        <v>100</v>
      </c>
      <c r="AL106" s="22" t="s">
        <v>161</v>
      </c>
      <c r="AM106" s="22">
        <v>0.22</v>
      </c>
      <c r="AO106" s="22" t="s">
        <v>476</v>
      </c>
      <c r="AP106" s="22" t="s">
        <v>169</v>
      </c>
      <c r="AQ106" s="22" t="str">
        <f t="shared" si="15"/>
        <v>Microphytoplankton</v>
      </c>
      <c r="AR106" s="22">
        <v>0</v>
      </c>
      <c r="AS106" s="22">
        <v>0</v>
      </c>
      <c r="AT106" s="22">
        <v>0</v>
      </c>
      <c r="AU106" s="22">
        <v>1</v>
      </c>
      <c r="AV106" s="22">
        <v>1</v>
      </c>
      <c r="AW106" s="22">
        <v>0</v>
      </c>
      <c r="AX106" s="22">
        <v>0</v>
      </c>
      <c r="AY106" s="22">
        <v>1</v>
      </c>
    </row>
    <row r="107" spans="1:57">
      <c r="A107" s="21" t="s">
        <v>483</v>
      </c>
      <c r="B107" s="22" t="s">
        <v>149</v>
      </c>
      <c r="C107" s="22" t="s">
        <v>150</v>
      </c>
      <c r="D107" s="23" t="s">
        <v>151</v>
      </c>
      <c r="E107" s="22" t="s">
        <v>61</v>
      </c>
      <c r="F107" s="22" t="s">
        <v>152</v>
      </c>
      <c r="G107" s="22" t="s">
        <v>60</v>
      </c>
      <c r="H107" s="22" t="s">
        <v>226</v>
      </c>
      <c r="I107" s="22" t="s">
        <v>484</v>
      </c>
      <c r="J107" s="22" t="s">
        <v>485</v>
      </c>
      <c r="N107" s="22" t="s">
        <v>486</v>
      </c>
      <c r="O107" s="22" t="s">
        <v>158</v>
      </c>
      <c r="P107" s="21">
        <v>10130</v>
      </c>
      <c r="Q107" s="21">
        <v>3</v>
      </c>
      <c r="R107" s="21">
        <v>3</v>
      </c>
      <c r="S107" s="21">
        <v>3</v>
      </c>
      <c r="T107" s="21" t="s">
        <v>281</v>
      </c>
      <c r="U107" s="21">
        <v>1</v>
      </c>
      <c r="V107" s="21">
        <v>1</v>
      </c>
      <c r="W107" s="24">
        <f t="shared" ref="W107:W115" si="25">(4*3.14*(((Q107^1.6*R107^1.6+Q107^1.6*S107^1.6+R107^1.6+S107^1.6)/3)^(1/1.6)))*(1/V107)</f>
        <v>96.906701245925348</v>
      </c>
      <c r="X107" s="24">
        <f t="shared" ref="X107:X115" si="26">3.14/6*Q107*R107*S107*U107</f>
        <v>14.129999999999997</v>
      </c>
      <c r="Y107" s="21">
        <v>16</v>
      </c>
      <c r="Z107" s="24">
        <f t="shared" si="13"/>
        <v>1550.5072199348056</v>
      </c>
      <c r="AA107" s="24">
        <f t="shared" si="14"/>
        <v>226.07999999999996</v>
      </c>
      <c r="AB107" s="21">
        <v>60</v>
      </c>
      <c r="AC107" s="21">
        <v>60</v>
      </c>
      <c r="AD107" s="21">
        <v>9</v>
      </c>
      <c r="AE107" s="21" t="s">
        <v>330</v>
      </c>
      <c r="AF107" s="21">
        <v>0.4</v>
      </c>
      <c r="AG107" s="21">
        <v>1</v>
      </c>
      <c r="AH107" s="25">
        <f t="shared" ref="AH107:AH115" si="27">(AB107*AC107*2+AB107*AD107*2+AC107*AD107*2)/AG107</f>
        <v>9360</v>
      </c>
      <c r="AI107" s="25">
        <f t="shared" ref="AI107:AI115" si="28">AB107*AC107*AD107*AF107</f>
        <v>12960</v>
      </c>
      <c r="AJ107" s="21">
        <v>226</v>
      </c>
      <c r="AK107" s="21">
        <v>20</v>
      </c>
      <c r="AL107" s="22" t="s">
        <v>161</v>
      </c>
      <c r="AM107" s="22">
        <v>0.22</v>
      </c>
      <c r="AN107" s="22" t="s">
        <v>331</v>
      </c>
      <c r="AO107" s="22" t="s">
        <v>331</v>
      </c>
      <c r="AP107" s="22" t="s">
        <v>230</v>
      </c>
      <c r="AQ107" s="22" t="str">
        <f t="shared" si="15"/>
        <v>Microphytoplankton</v>
      </c>
      <c r="AR107" s="22">
        <v>0</v>
      </c>
      <c r="AS107" s="22">
        <v>0</v>
      </c>
      <c r="AT107" s="22">
        <v>0</v>
      </c>
      <c r="AU107" s="22">
        <v>1</v>
      </c>
      <c r="AV107" s="22">
        <v>0</v>
      </c>
      <c r="AW107" s="22">
        <v>0</v>
      </c>
      <c r="AX107" s="22">
        <v>0</v>
      </c>
      <c r="AY107" s="22">
        <v>1</v>
      </c>
    </row>
    <row r="108" spans="1:57">
      <c r="A108" s="21" t="s">
        <v>487</v>
      </c>
      <c r="B108" s="22" t="s">
        <v>149</v>
      </c>
      <c r="C108" s="22" t="s">
        <v>150</v>
      </c>
      <c r="D108" s="23" t="s">
        <v>151</v>
      </c>
      <c r="E108" s="22" t="s">
        <v>61</v>
      </c>
      <c r="F108" s="22" t="s">
        <v>152</v>
      </c>
      <c r="G108" s="22" t="s">
        <v>60</v>
      </c>
      <c r="H108" s="22" t="s">
        <v>226</v>
      </c>
      <c r="I108" s="22" t="s">
        <v>484</v>
      </c>
      <c r="J108" s="22" t="s">
        <v>216</v>
      </c>
      <c r="N108" s="22" t="s">
        <v>488</v>
      </c>
      <c r="O108" s="22" t="s">
        <v>158</v>
      </c>
      <c r="P108" s="21">
        <v>10120</v>
      </c>
      <c r="Q108" s="21">
        <v>0.8</v>
      </c>
      <c r="R108" s="21">
        <v>0.8</v>
      </c>
      <c r="S108" s="21">
        <v>0.8</v>
      </c>
      <c r="T108" s="21" t="s">
        <v>281</v>
      </c>
      <c r="U108" s="21">
        <v>1</v>
      </c>
      <c r="V108" s="21">
        <v>1</v>
      </c>
      <c r="W108" s="24">
        <f t="shared" si="25"/>
        <v>10.864594492940718</v>
      </c>
      <c r="X108" s="24">
        <f t="shared" si="26"/>
        <v>0.26794666666666672</v>
      </c>
      <c r="Y108" s="21">
        <v>32</v>
      </c>
      <c r="Z108" s="24">
        <f t="shared" si="13"/>
        <v>347.66702377410297</v>
      </c>
      <c r="AA108" s="24">
        <f t="shared" si="14"/>
        <v>8.5742933333333351</v>
      </c>
      <c r="AB108" s="21">
        <v>35</v>
      </c>
      <c r="AC108" s="21">
        <v>17</v>
      </c>
      <c r="AD108" s="21">
        <v>4</v>
      </c>
      <c r="AE108" s="21" t="s">
        <v>330</v>
      </c>
      <c r="AF108" s="21">
        <v>0.4</v>
      </c>
      <c r="AG108" s="21">
        <v>1</v>
      </c>
      <c r="AH108" s="25">
        <f t="shared" si="27"/>
        <v>1606</v>
      </c>
      <c r="AI108" s="25">
        <f t="shared" si="28"/>
        <v>952</v>
      </c>
      <c r="AJ108" s="21">
        <v>9</v>
      </c>
      <c r="AK108" s="21">
        <v>20</v>
      </c>
      <c r="AL108" s="22" t="s">
        <v>161</v>
      </c>
      <c r="AM108" s="22">
        <v>0.22</v>
      </c>
      <c r="AN108" s="22" t="s">
        <v>331</v>
      </c>
      <c r="AO108" s="22" t="s">
        <v>331</v>
      </c>
      <c r="AP108" s="22" t="s">
        <v>230</v>
      </c>
      <c r="AQ108" s="22" t="str">
        <f t="shared" si="15"/>
        <v>Microphytoplankton</v>
      </c>
      <c r="AR108" s="22">
        <v>0</v>
      </c>
      <c r="AS108" s="22">
        <v>0</v>
      </c>
      <c r="AT108" s="22">
        <v>0</v>
      </c>
      <c r="AU108" s="22">
        <v>1</v>
      </c>
      <c r="AV108" s="22">
        <v>0</v>
      </c>
      <c r="AW108" s="22">
        <v>0</v>
      </c>
      <c r="AX108" s="22">
        <v>0</v>
      </c>
      <c r="AY108" s="22">
        <v>1</v>
      </c>
    </row>
    <row r="109" spans="1:57">
      <c r="A109" s="21" t="s">
        <v>489</v>
      </c>
      <c r="B109" s="22" t="s">
        <v>149</v>
      </c>
      <c r="C109" s="22" t="s">
        <v>150</v>
      </c>
      <c r="D109" s="23" t="s">
        <v>151</v>
      </c>
      <c r="E109" s="22" t="s">
        <v>61</v>
      </c>
      <c r="F109" s="22" t="s">
        <v>152</v>
      </c>
      <c r="G109" s="22" t="s">
        <v>60</v>
      </c>
      <c r="H109" s="22" t="s">
        <v>226</v>
      </c>
      <c r="I109" s="22" t="s">
        <v>484</v>
      </c>
      <c r="J109" s="22" t="s">
        <v>490</v>
      </c>
      <c r="N109" s="22" t="s">
        <v>491</v>
      </c>
      <c r="O109" s="22" t="s">
        <v>158</v>
      </c>
      <c r="P109" s="21">
        <v>10116</v>
      </c>
      <c r="Q109" s="21">
        <v>3</v>
      </c>
      <c r="R109" s="21">
        <v>3</v>
      </c>
      <c r="S109" s="21">
        <v>3</v>
      </c>
      <c r="T109" s="21" t="s">
        <v>281</v>
      </c>
      <c r="U109" s="21">
        <v>1</v>
      </c>
      <c r="V109" s="21">
        <v>1</v>
      </c>
      <c r="W109" s="24">
        <f t="shared" si="25"/>
        <v>96.906701245925348</v>
      </c>
      <c r="X109" s="24">
        <f t="shared" si="26"/>
        <v>14.129999999999997</v>
      </c>
      <c r="Y109" s="21">
        <v>8</v>
      </c>
      <c r="Z109" s="24">
        <f t="shared" si="13"/>
        <v>775.25360996740278</v>
      </c>
      <c r="AA109" s="24">
        <f t="shared" si="14"/>
        <v>113.03999999999998</v>
      </c>
      <c r="AB109" s="21">
        <v>12</v>
      </c>
      <c r="AC109" s="21">
        <v>12</v>
      </c>
      <c r="AD109" s="21">
        <v>12</v>
      </c>
      <c r="AE109" s="21" t="s">
        <v>330</v>
      </c>
      <c r="AF109" s="21">
        <v>1</v>
      </c>
      <c r="AG109" s="21">
        <v>1</v>
      </c>
      <c r="AH109" s="25">
        <f t="shared" si="27"/>
        <v>864</v>
      </c>
      <c r="AI109" s="25">
        <f t="shared" si="28"/>
        <v>1728</v>
      </c>
      <c r="AJ109" s="21">
        <v>450</v>
      </c>
      <c r="AK109" s="21">
        <v>12</v>
      </c>
      <c r="AL109" s="22" t="s">
        <v>161</v>
      </c>
      <c r="AM109" s="22">
        <v>0.22</v>
      </c>
      <c r="AN109" s="22" t="s">
        <v>331</v>
      </c>
      <c r="AO109" s="22" t="s">
        <v>331</v>
      </c>
      <c r="AP109" s="22" t="s">
        <v>230</v>
      </c>
      <c r="AQ109" s="22" t="str">
        <f t="shared" si="15"/>
        <v>Nanophytoplankton</v>
      </c>
      <c r="AR109" s="22">
        <v>0</v>
      </c>
      <c r="AS109" s="22">
        <v>0</v>
      </c>
      <c r="AT109" s="22">
        <v>0</v>
      </c>
      <c r="AU109" s="22">
        <v>1</v>
      </c>
      <c r="AV109" s="22">
        <v>0</v>
      </c>
      <c r="AW109" s="22">
        <v>0</v>
      </c>
      <c r="AX109" s="22">
        <v>0</v>
      </c>
      <c r="AY109" s="22">
        <v>1</v>
      </c>
    </row>
    <row r="110" spans="1:57">
      <c r="A110" s="21" t="s">
        <v>492</v>
      </c>
      <c r="B110" s="22" t="s">
        <v>149</v>
      </c>
      <c r="C110" s="22" t="s">
        <v>150</v>
      </c>
      <c r="D110" s="23" t="s">
        <v>151</v>
      </c>
      <c r="E110" s="22" t="s">
        <v>61</v>
      </c>
      <c r="F110" s="22" t="s">
        <v>152</v>
      </c>
      <c r="G110" s="22" t="s">
        <v>60</v>
      </c>
      <c r="H110" s="22" t="s">
        <v>226</v>
      </c>
      <c r="I110" s="22" t="s">
        <v>484</v>
      </c>
      <c r="J110" s="22" t="s">
        <v>493</v>
      </c>
      <c r="N110" s="22" t="s">
        <v>494</v>
      </c>
      <c r="O110" s="22" t="s">
        <v>158</v>
      </c>
      <c r="P110" s="21">
        <v>10117</v>
      </c>
      <c r="Q110" s="21">
        <v>3.5</v>
      </c>
      <c r="R110" s="21">
        <v>3.5</v>
      </c>
      <c r="S110" s="21">
        <v>3.5</v>
      </c>
      <c r="T110" s="21" t="s">
        <v>281</v>
      </c>
      <c r="U110" s="21">
        <v>1</v>
      </c>
      <c r="V110" s="21">
        <v>1</v>
      </c>
      <c r="W110" s="24">
        <f t="shared" si="25"/>
        <v>129.23451491074422</v>
      </c>
      <c r="X110" s="24">
        <f t="shared" si="26"/>
        <v>22.437916666666666</v>
      </c>
      <c r="Y110" s="21">
        <v>8</v>
      </c>
      <c r="Z110" s="24">
        <f t="shared" si="13"/>
        <v>1033.8761192859538</v>
      </c>
      <c r="AA110" s="24">
        <f t="shared" si="14"/>
        <v>179.50333333333333</v>
      </c>
      <c r="AB110" s="21">
        <v>15</v>
      </c>
      <c r="AC110" s="21">
        <v>15</v>
      </c>
      <c r="AD110" s="21">
        <v>5</v>
      </c>
      <c r="AE110" s="21" t="s">
        <v>330</v>
      </c>
      <c r="AF110" s="21">
        <v>1</v>
      </c>
      <c r="AG110" s="21">
        <v>1</v>
      </c>
      <c r="AH110" s="25">
        <f t="shared" si="27"/>
        <v>750</v>
      </c>
      <c r="AI110" s="25">
        <f t="shared" si="28"/>
        <v>1125</v>
      </c>
      <c r="AJ110" s="21">
        <v>179.50333333333333</v>
      </c>
      <c r="AK110" s="21">
        <v>15</v>
      </c>
      <c r="AL110" s="22" t="s">
        <v>161</v>
      </c>
      <c r="AM110" s="22">
        <v>0.22</v>
      </c>
      <c r="AN110" s="22" t="s">
        <v>331</v>
      </c>
      <c r="AO110" s="22" t="s">
        <v>331</v>
      </c>
      <c r="AP110" s="22" t="s">
        <v>230</v>
      </c>
      <c r="AQ110" s="22" t="str">
        <f t="shared" si="15"/>
        <v>Nanophytoplankton</v>
      </c>
      <c r="AR110" s="22">
        <v>0</v>
      </c>
      <c r="AS110" s="22">
        <v>0</v>
      </c>
      <c r="AT110" s="22">
        <v>0</v>
      </c>
      <c r="AU110" s="22">
        <v>1</v>
      </c>
      <c r="AV110" s="22">
        <v>0</v>
      </c>
      <c r="AW110" s="22">
        <v>0</v>
      </c>
      <c r="AX110" s="22">
        <v>0</v>
      </c>
      <c r="AY110" s="22">
        <v>1</v>
      </c>
    </row>
    <row r="111" spans="1:57">
      <c r="A111" s="21" t="s">
        <v>495</v>
      </c>
      <c r="B111" s="22" t="s">
        <v>149</v>
      </c>
      <c r="C111" s="22" t="s">
        <v>150</v>
      </c>
      <c r="D111" s="23" t="s">
        <v>151</v>
      </c>
      <c r="E111" s="22" t="s">
        <v>61</v>
      </c>
      <c r="F111" s="22" t="s">
        <v>152</v>
      </c>
      <c r="G111" s="22" t="s">
        <v>60</v>
      </c>
      <c r="H111" s="22" t="s">
        <v>226</v>
      </c>
      <c r="I111" s="22" t="s">
        <v>484</v>
      </c>
      <c r="J111" s="22" t="s">
        <v>496</v>
      </c>
      <c r="N111" s="22" t="s">
        <v>497</v>
      </c>
      <c r="O111" s="22" t="s">
        <v>158</v>
      </c>
      <c r="P111" s="21">
        <v>10115</v>
      </c>
      <c r="Q111" s="21">
        <v>7</v>
      </c>
      <c r="R111" s="21">
        <v>6</v>
      </c>
      <c r="S111" s="21">
        <v>6</v>
      </c>
      <c r="T111" s="21" t="s">
        <v>281</v>
      </c>
      <c r="U111" s="21">
        <v>1</v>
      </c>
      <c r="V111" s="21">
        <v>1</v>
      </c>
      <c r="W111" s="24">
        <f t="shared" si="25"/>
        <v>420.71298392618877</v>
      </c>
      <c r="X111" s="24">
        <f t="shared" si="26"/>
        <v>131.88</v>
      </c>
      <c r="Y111" s="21">
        <f>16*8</f>
        <v>128</v>
      </c>
      <c r="Z111" s="24">
        <f t="shared" si="13"/>
        <v>53851.261942552163</v>
      </c>
      <c r="AA111" s="24">
        <f t="shared" si="14"/>
        <v>16880.64</v>
      </c>
      <c r="AB111" s="21">
        <v>35</v>
      </c>
      <c r="AC111" s="21">
        <v>35</v>
      </c>
      <c r="AD111" s="21">
        <v>6</v>
      </c>
      <c r="AE111" s="21" t="s">
        <v>330</v>
      </c>
      <c r="AF111" s="21">
        <v>0.75</v>
      </c>
      <c r="AG111" s="21">
        <v>1</v>
      </c>
      <c r="AH111" s="25">
        <f t="shared" si="27"/>
        <v>3290</v>
      </c>
      <c r="AI111" s="25">
        <f t="shared" si="28"/>
        <v>5512.5</v>
      </c>
      <c r="AJ111" s="21">
        <v>5500</v>
      </c>
      <c r="AK111" s="21">
        <v>70</v>
      </c>
      <c r="AL111" s="22" t="s">
        <v>161</v>
      </c>
      <c r="AM111" s="22">
        <v>0.22</v>
      </c>
      <c r="AN111" s="22" t="s">
        <v>331</v>
      </c>
      <c r="AO111" s="22" t="s">
        <v>331</v>
      </c>
      <c r="AP111" s="22" t="s">
        <v>230</v>
      </c>
      <c r="AQ111" s="22" t="str">
        <f t="shared" si="15"/>
        <v>Microphytoplankton</v>
      </c>
      <c r="AR111" s="22">
        <v>0</v>
      </c>
      <c r="AS111" s="22">
        <v>0</v>
      </c>
      <c r="AT111" s="22">
        <v>0</v>
      </c>
      <c r="AU111" s="22">
        <v>1</v>
      </c>
      <c r="AV111" s="22">
        <v>0</v>
      </c>
      <c r="AW111" s="22">
        <v>0</v>
      </c>
      <c r="AX111" s="22">
        <v>0</v>
      </c>
      <c r="AY111" s="22">
        <v>1</v>
      </c>
    </row>
    <row r="112" spans="1:57">
      <c r="A112" s="21" t="s">
        <v>498</v>
      </c>
      <c r="B112" s="22" t="s">
        <v>149</v>
      </c>
      <c r="C112" s="22" t="s">
        <v>150</v>
      </c>
      <c r="D112" s="23" t="s">
        <v>151</v>
      </c>
      <c r="E112" s="22" t="s">
        <v>61</v>
      </c>
      <c r="F112" s="22" t="s">
        <v>152</v>
      </c>
      <c r="G112" s="22" t="s">
        <v>60</v>
      </c>
      <c r="H112" s="22" t="s">
        <v>226</v>
      </c>
      <c r="I112" s="22" t="s">
        <v>484</v>
      </c>
      <c r="J112" s="22" t="s">
        <v>499</v>
      </c>
      <c r="N112" s="22" t="s">
        <v>486</v>
      </c>
      <c r="O112" s="22" t="s">
        <v>158</v>
      </c>
      <c r="P112" s="21">
        <v>10110</v>
      </c>
      <c r="Q112" s="21">
        <v>4.5</v>
      </c>
      <c r="R112" s="21">
        <v>4.5</v>
      </c>
      <c r="S112" s="21">
        <v>4.5</v>
      </c>
      <c r="T112" s="21" t="s">
        <v>281</v>
      </c>
      <c r="U112" s="21">
        <v>1</v>
      </c>
      <c r="V112" s="21">
        <v>1</v>
      </c>
      <c r="W112" s="24">
        <f t="shared" si="25"/>
        <v>208.34403784441878</v>
      </c>
      <c r="X112" s="24">
        <f t="shared" si="26"/>
        <v>47.688749999999999</v>
      </c>
      <c r="Y112" s="21">
        <v>32</v>
      </c>
      <c r="Z112" s="24">
        <f t="shared" si="13"/>
        <v>6667.0092110214009</v>
      </c>
      <c r="AA112" s="24">
        <f t="shared" si="14"/>
        <v>1526.04</v>
      </c>
      <c r="AB112" s="21">
        <v>35</v>
      </c>
      <c r="AC112" s="21">
        <v>35</v>
      </c>
      <c r="AD112" s="21">
        <v>4.5</v>
      </c>
      <c r="AE112" s="21" t="s">
        <v>330</v>
      </c>
      <c r="AF112" s="21">
        <v>0.4</v>
      </c>
      <c r="AG112" s="21">
        <v>1</v>
      </c>
      <c r="AH112" s="25">
        <f t="shared" si="27"/>
        <v>3080</v>
      </c>
      <c r="AI112" s="25">
        <f t="shared" si="28"/>
        <v>2205</v>
      </c>
      <c r="AJ112" s="21">
        <v>1526.8</v>
      </c>
      <c r="AK112" s="21">
        <v>120</v>
      </c>
      <c r="AL112" s="22" t="s">
        <v>161</v>
      </c>
      <c r="AM112" s="22">
        <v>0.22</v>
      </c>
      <c r="AN112" s="22" t="s">
        <v>331</v>
      </c>
      <c r="AO112" s="22" t="s">
        <v>331</v>
      </c>
      <c r="AP112" s="22" t="s">
        <v>230</v>
      </c>
      <c r="AQ112" s="22" t="str">
        <f t="shared" si="15"/>
        <v>Microphytoplankton</v>
      </c>
      <c r="AR112" s="22">
        <v>0</v>
      </c>
      <c r="AS112" s="22">
        <v>0</v>
      </c>
      <c r="AT112" s="22">
        <v>0</v>
      </c>
      <c r="AU112" s="22">
        <v>1</v>
      </c>
      <c r="AV112" s="22">
        <v>0</v>
      </c>
      <c r="AW112" s="22">
        <v>0</v>
      </c>
      <c r="AX112" s="22">
        <v>0</v>
      </c>
      <c r="AY112" s="22">
        <v>1</v>
      </c>
    </row>
    <row r="113" spans="1:57">
      <c r="A113" s="21" t="s">
        <v>500</v>
      </c>
      <c r="B113" s="22" t="s">
        <v>149</v>
      </c>
      <c r="C113" s="22" t="s">
        <v>150</v>
      </c>
      <c r="D113" s="23" t="s">
        <v>151</v>
      </c>
      <c r="E113" s="22" t="s">
        <v>61</v>
      </c>
      <c r="F113" s="22" t="s">
        <v>152</v>
      </c>
      <c r="G113" s="22" t="s">
        <v>60</v>
      </c>
      <c r="H113" s="22" t="s">
        <v>226</v>
      </c>
      <c r="I113" s="22" t="s">
        <v>484</v>
      </c>
      <c r="J113" s="22" t="s">
        <v>490</v>
      </c>
      <c r="N113" s="22" t="s">
        <v>501</v>
      </c>
      <c r="O113" s="22" t="s">
        <v>158</v>
      </c>
      <c r="P113" s="21">
        <v>10111</v>
      </c>
      <c r="Q113" s="21">
        <v>3</v>
      </c>
      <c r="R113" s="21">
        <v>3</v>
      </c>
      <c r="S113" s="21">
        <v>3</v>
      </c>
      <c r="T113" s="21" t="s">
        <v>281</v>
      </c>
      <c r="U113" s="21">
        <v>1</v>
      </c>
      <c r="V113" s="21">
        <v>1</v>
      </c>
      <c r="W113" s="24">
        <f t="shared" si="25"/>
        <v>96.906701245925348</v>
      </c>
      <c r="X113" s="24">
        <f t="shared" si="26"/>
        <v>14.129999999999997</v>
      </c>
      <c r="Y113" s="21">
        <v>32</v>
      </c>
      <c r="Z113" s="24">
        <f t="shared" si="13"/>
        <v>3101.0144398696111</v>
      </c>
      <c r="AA113" s="24">
        <f t="shared" si="14"/>
        <v>452.15999999999991</v>
      </c>
      <c r="AB113" s="21">
        <v>35</v>
      </c>
      <c r="AC113" s="21">
        <v>35</v>
      </c>
      <c r="AD113" s="21">
        <v>3</v>
      </c>
      <c r="AE113" s="21" t="s">
        <v>330</v>
      </c>
      <c r="AF113" s="21">
        <v>0.4</v>
      </c>
      <c r="AG113" s="21">
        <v>1</v>
      </c>
      <c r="AH113" s="25">
        <f t="shared" si="27"/>
        <v>2870</v>
      </c>
      <c r="AI113" s="25">
        <f t="shared" si="28"/>
        <v>1470</v>
      </c>
      <c r="AJ113" s="21">
        <v>452.15999999999991</v>
      </c>
      <c r="AK113" s="21">
        <v>96</v>
      </c>
      <c r="AL113" s="22" t="s">
        <v>161</v>
      </c>
      <c r="AM113" s="22">
        <v>0.22</v>
      </c>
      <c r="AN113" s="22" t="s">
        <v>331</v>
      </c>
      <c r="AO113" s="22" t="s">
        <v>331</v>
      </c>
      <c r="AP113" s="22" t="s">
        <v>230</v>
      </c>
      <c r="AQ113" s="22" t="str">
        <f t="shared" si="15"/>
        <v>Microphytoplankton</v>
      </c>
      <c r="AR113" s="22">
        <v>0</v>
      </c>
      <c r="AS113" s="22">
        <v>0</v>
      </c>
      <c r="AT113" s="22">
        <v>0</v>
      </c>
      <c r="AU113" s="22">
        <v>1</v>
      </c>
      <c r="AV113" s="22">
        <v>0</v>
      </c>
      <c r="AW113" s="22">
        <v>0</v>
      </c>
      <c r="AX113" s="22">
        <v>0</v>
      </c>
      <c r="AY113" s="22">
        <v>1</v>
      </c>
    </row>
    <row r="114" spans="1:57">
      <c r="A114" s="21" t="s">
        <v>502</v>
      </c>
      <c r="B114" s="22" t="s">
        <v>149</v>
      </c>
      <c r="C114" s="22" t="s">
        <v>150</v>
      </c>
      <c r="D114" s="23" t="s">
        <v>151</v>
      </c>
      <c r="E114" s="22" t="s">
        <v>61</v>
      </c>
      <c r="F114" s="22" t="s">
        <v>152</v>
      </c>
      <c r="G114" s="22" t="s">
        <v>60</v>
      </c>
      <c r="H114" s="22" t="s">
        <v>226</v>
      </c>
      <c r="I114" s="22" t="s">
        <v>484</v>
      </c>
      <c r="J114" s="22" t="s">
        <v>211</v>
      </c>
      <c r="M114" s="22" t="s">
        <v>1</v>
      </c>
      <c r="N114" s="22" t="s">
        <v>501</v>
      </c>
      <c r="O114" s="22" t="s">
        <v>158</v>
      </c>
      <c r="P114" s="21">
        <v>10100</v>
      </c>
      <c r="Q114" s="22">
        <v>2</v>
      </c>
      <c r="R114" s="22">
        <v>2</v>
      </c>
      <c r="S114" s="22">
        <v>2</v>
      </c>
      <c r="T114" s="21" t="s">
        <v>281</v>
      </c>
      <c r="U114" s="21">
        <v>1</v>
      </c>
      <c r="V114" s="21">
        <v>1</v>
      </c>
      <c r="W114" s="24">
        <f t="shared" si="25"/>
        <v>46.59880302207403</v>
      </c>
      <c r="X114" s="24">
        <f t="shared" si="26"/>
        <v>4.1866666666666665</v>
      </c>
      <c r="Y114" s="22">
        <v>32</v>
      </c>
      <c r="Z114" s="24">
        <f t="shared" si="13"/>
        <v>1491.161696706369</v>
      </c>
      <c r="AA114" s="24">
        <f t="shared" si="14"/>
        <v>133.97333333333333</v>
      </c>
      <c r="AB114" s="22">
        <v>30</v>
      </c>
      <c r="AC114" s="22">
        <v>30</v>
      </c>
      <c r="AD114" s="22">
        <v>2</v>
      </c>
      <c r="AE114" s="21" t="s">
        <v>330</v>
      </c>
      <c r="AF114" s="21">
        <v>0.4</v>
      </c>
      <c r="AG114" s="21">
        <v>1</v>
      </c>
      <c r="AH114" s="25">
        <f t="shared" si="27"/>
        <v>2040</v>
      </c>
      <c r="AI114" s="25">
        <f t="shared" si="28"/>
        <v>720</v>
      </c>
      <c r="AJ114" s="21">
        <v>134</v>
      </c>
      <c r="AK114" s="21">
        <v>50</v>
      </c>
      <c r="AL114" s="22" t="s">
        <v>161</v>
      </c>
      <c r="AM114" s="22">
        <v>0.22</v>
      </c>
      <c r="AN114" s="22" t="s">
        <v>331</v>
      </c>
      <c r="AO114" s="22" t="s">
        <v>331</v>
      </c>
      <c r="AP114" s="22" t="s">
        <v>230</v>
      </c>
      <c r="AQ114" s="22" t="str">
        <f t="shared" si="15"/>
        <v>Microphytoplankton</v>
      </c>
      <c r="AR114" s="22">
        <v>0</v>
      </c>
      <c r="AS114" s="22">
        <v>0</v>
      </c>
      <c r="AT114" s="22">
        <v>0</v>
      </c>
      <c r="AU114" s="22">
        <v>1</v>
      </c>
      <c r="AV114" s="22">
        <v>0</v>
      </c>
      <c r="AW114" s="22">
        <v>0</v>
      </c>
      <c r="AX114" s="22">
        <v>0</v>
      </c>
      <c r="AY114" s="22">
        <v>1</v>
      </c>
    </row>
    <row r="115" spans="1:57">
      <c r="A115" s="21" t="s">
        <v>503</v>
      </c>
      <c r="B115" s="22" t="s">
        <v>149</v>
      </c>
      <c r="C115" s="22" t="s">
        <v>150</v>
      </c>
      <c r="D115" s="23" t="s">
        <v>151</v>
      </c>
      <c r="E115" s="22" t="s">
        <v>61</v>
      </c>
      <c r="F115" s="22" t="s">
        <v>152</v>
      </c>
      <c r="G115" s="22" t="s">
        <v>60</v>
      </c>
      <c r="H115" s="22" t="s">
        <v>226</v>
      </c>
      <c r="I115" s="22" t="s">
        <v>484</v>
      </c>
      <c r="J115" s="22" t="s">
        <v>504</v>
      </c>
      <c r="N115" s="22" t="s">
        <v>167</v>
      </c>
      <c r="O115" s="22" t="s">
        <v>158</v>
      </c>
      <c r="P115" s="21">
        <v>10140</v>
      </c>
      <c r="Q115" s="21">
        <v>1</v>
      </c>
      <c r="R115" s="21">
        <v>1</v>
      </c>
      <c r="S115" s="21">
        <v>1</v>
      </c>
      <c r="T115" s="21" t="s">
        <v>281</v>
      </c>
      <c r="U115" s="21">
        <v>1</v>
      </c>
      <c r="V115" s="21">
        <v>1</v>
      </c>
      <c r="W115" s="24">
        <f t="shared" si="25"/>
        <v>15.034062444858044</v>
      </c>
      <c r="X115" s="24">
        <f t="shared" si="26"/>
        <v>0.52333333333333332</v>
      </c>
      <c r="Y115" s="21">
        <v>32</v>
      </c>
      <c r="Z115" s="24">
        <f t="shared" si="13"/>
        <v>481.08999823545741</v>
      </c>
      <c r="AA115" s="24">
        <f t="shared" si="14"/>
        <v>16.746666666666666</v>
      </c>
      <c r="AB115" s="21">
        <v>20</v>
      </c>
      <c r="AC115" s="21">
        <v>20</v>
      </c>
      <c r="AD115" s="21">
        <v>1</v>
      </c>
      <c r="AE115" s="21" t="s">
        <v>330</v>
      </c>
      <c r="AF115" s="21">
        <v>0.4</v>
      </c>
      <c r="AG115" s="21">
        <v>1</v>
      </c>
      <c r="AH115" s="25">
        <f t="shared" si="27"/>
        <v>880</v>
      </c>
      <c r="AI115" s="25">
        <f t="shared" si="28"/>
        <v>160</v>
      </c>
      <c r="AJ115" s="21">
        <v>16.746666666666666</v>
      </c>
      <c r="AK115" s="21">
        <v>20</v>
      </c>
      <c r="AL115" s="22" t="s">
        <v>505</v>
      </c>
      <c r="AM115" s="22">
        <v>0.22</v>
      </c>
      <c r="AN115" s="22" t="s">
        <v>331</v>
      </c>
      <c r="AO115" s="22" t="s">
        <v>331</v>
      </c>
      <c r="AP115" s="22" t="s">
        <v>230</v>
      </c>
      <c r="AQ115" s="22" t="str">
        <f t="shared" si="15"/>
        <v>Microphytoplankton</v>
      </c>
      <c r="AR115" s="22">
        <v>0</v>
      </c>
      <c r="AS115" s="22">
        <v>0</v>
      </c>
      <c r="AT115" s="22">
        <v>0</v>
      </c>
      <c r="AU115" s="22">
        <v>1</v>
      </c>
      <c r="AV115" s="22">
        <v>0</v>
      </c>
      <c r="AW115" s="22">
        <v>0</v>
      </c>
      <c r="AX115" s="22">
        <v>0</v>
      </c>
      <c r="AY115" s="22">
        <v>1</v>
      </c>
    </row>
    <row r="116" spans="1:57">
      <c r="A116" s="21" t="s">
        <v>506</v>
      </c>
      <c r="B116" s="22" t="s">
        <v>149</v>
      </c>
      <c r="C116" s="22" t="s">
        <v>150</v>
      </c>
      <c r="D116" s="23" t="s">
        <v>151</v>
      </c>
      <c r="E116" s="22" t="s">
        <v>61</v>
      </c>
      <c r="F116" s="22" t="s">
        <v>152</v>
      </c>
      <c r="G116" s="22" t="s">
        <v>60</v>
      </c>
      <c r="H116" s="22" t="s">
        <v>507</v>
      </c>
      <c r="I116" s="22" t="s">
        <v>39</v>
      </c>
      <c r="J116" s="22" t="s">
        <v>508</v>
      </c>
      <c r="N116" s="22" t="s">
        <v>413</v>
      </c>
      <c r="O116" s="22" t="s">
        <v>158</v>
      </c>
      <c r="P116" s="21">
        <v>10210</v>
      </c>
      <c r="Q116" s="21">
        <v>5</v>
      </c>
      <c r="R116" s="21">
        <v>5</v>
      </c>
      <c r="S116" s="21">
        <v>5</v>
      </c>
      <c r="T116" s="21" t="s">
        <v>246</v>
      </c>
      <c r="U116" s="21">
        <v>1</v>
      </c>
      <c r="V116" s="22">
        <v>1</v>
      </c>
      <c r="W116" s="25">
        <f t="shared" ref="W116:W121" si="29">4*3.14*(R116/2)*(Q116/2)/V116</f>
        <v>78.5</v>
      </c>
      <c r="X116" s="25">
        <f t="shared" ref="X116:X121" si="30">(3.14/6*(Q116*S116*R116))*U116</f>
        <v>65.416666666666671</v>
      </c>
      <c r="Y116" s="21">
        <v>80</v>
      </c>
      <c r="Z116" s="24">
        <f t="shared" si="13"/>
        <v>6280</v>
      </c>
      <c r="AA116" s="24">
        <f t="shared" si="14"/>
        <v>5233.3333333333339</v>
      </c>
      <c r="AB116" s="21">
        <v>100</v>
      </c>
      <c r="AC116" s="21">
        <v>100</v>
      </c>
      <c r="AD116" s="21">
        <v>100</v>
      </c>
      <c r="AE116" s="21" t="s">
        <v>246</v>
      </c>
      <c r="AF116" s="21">
        <v>0.01</v>
      </c>
      <c r="AG116" s="21">
        <v>1</v>
      </c>
      <c r="AH116" s="25">
        <f>4*3.14*(AC116/2)*(AB116/2)/AG116</f>
        <v>31400</v>
      </c>
      <c r="AI116" s="25">
        <f>(3.14/6*(AD116*AB116*AC116))*AF116</f>
        <v>5233.333333333333</v>
      </c>
      <c r="AJ116" s="21">
        <v>5236</v>
      </c>
      <c r="AK116" s="21">
        <v>100</v>
      </c>
      <c r="AL116" s="22" t="s">
        <v>161</v>
      </c>
      <c r="AM116" s="22">
        <v>0.22</v>
      </c>
      <c r="AN116" s="22" t="s">
        <v>509</v>
      </c>
      <c r="AO116" s="22" t="s">
        <v>509</v>
      </c>
      <c r="AP116" s="22" t="s">
        <v>230</v>
      </c>
      <c r="AQ116" s="22" t="str">
        <f t="shared" si="15"/>
        <v>Microphytoplankton</v>
      </c>
      <c r="AR116" s="22">
        <v>0</v>
      </c>
      <c r="AS116" s="22">
        <v>0</v>
      </c>
      <c r="AT116" s="22">
        <v>0</v>
      </c>
      <c r="AU116" s="22">
        <v>1</v>
      </c>
      <c r="AV116" s="22">
        <v>0</v>
      </c>
      <c r="AW116" s="22">
        <v>0</v>
      </c>
      <c r="AX116" s="22">
        <v>0</v>
      </c>
      <c r="AY116" s="22">
        <v>1</v>
      </c>
    </row>
    <row r="117" spans="1:57">
      <c r="A117" s="21" t="s">
        <v>510</v>
      </c>
      <c r="B117" s="22" t="s">
        <v>149</v>
      </c>
      <c r="C117" s="22" t="s">
        <v>150</v>
      </c>
      <c r="D117" s="23" t="s">
        <v>151</v>
      </c>
      <c r="E117" s="22" t="s">
        <v>61</v>
      </c>
      <c r="F117" s="22" t="s">
        <v>152</v>
      </c>
      <c r="G117" s="22" t="s">
        <v>60</v>
      </c>
      <c r="H117" s="22" t="s">
        <v>507</v>
      </c>
      <c r="I117" s="22" t="s">
        <v>39</v>
      </c>
      <c r="J117" s="22" t="s">
        <v>508</v>
      </c>
      <c r="K117" s="22" t="s">
        <v>184</v>
      </c>
      <c r="L117" s="22" t="s">
        <v>245</v>
      </c>
      <c r="N117" s="22" t="s">
        <v>511</v>
      </c>
      <c r="O117" s="22" t="s">
        <v>158</v>
      </c>
      <c r="P117" s="21">
        <v>10211</v>
      </c>
      <c r="Q117" s="21">
        <v>5</v>
      </c>
      <c r="R117" s="21">
        <v>5</v>
      </c>
      <c r="S117" s="21">
        <v>5</v>
      </c>
      <c r="T117" s="21" t="s">
        <v>246</v>
      </c>
      <c r="U117" s="21">
        <v>1</v>
      </c>
      <c r="V117" s="22">
        <v>1</v>
      </c>
      <c r="W117" s="25">
        <f t="shared" si="29"/>
        <v>78.5</v>
      </c>
      <c r="X117" s="25">
        <f t="shared" si="30"/>
        <v>65.416666666666671</v>
      </c>
      <c r="Y117" s="21">
        <v>1</v>
      </c>
      <c r="Z117" s="24">
        <f t="shared" si="13"/>
        <v>78.5</v>
      </c>
      <c r="AA117" s="24">
        <f t="shared" si="14"/>
        <v>65.416666666666671</v>
      </c>
      <c r="AB117" s="21"/>
      <c r="AC117" s="21"/>
      <c r="AD117" s="21"/>
      <c r="AE117" s="21"/>
      <c r="AF117" s="21" t="s">
        <v>247</v>
      </c>
      <c r="AG117" s="21"/>
      <c r="AH117" s="24"/>
      <c r="AI117" s="24"/>
      <c r="AJ117" s="21">
        <v>65.45</v>
      </c>
      <c r="AK117" s="21">
        <v>5</v>
      </c>
      <c r="AL117" s="22" t="s">
        <v>161</v>
      </c>
      <c r="AM117" s="22">
        <v>0.22</v>
      </c>
      <c r="AN117" s="22" t="s">
        <v>509</v>
      </c>
      <c r="AO117" s="22" t="s">
        <v>509</v>
      </c>
      <c r="AP117" s="22" t="s">
        <v>230</v>
      </c>
      <c r="AQ117" s="22" t="str">
        <f t="shared" si="15"/>
        <v>Nanophytoplankton</v>
      </c>
      <c r="AR117" s="22">
        <v>0</v>
      </c>
      <c r="AS117" s="22">
        <v>0</v>
      </c>
      <c r="AT117" s="22">
        <v>0</v>
      </c>
      <c r="AU117" s="22">
        <v>1</v>
      </c>
      <c r="AV117" s="22">
        <v>0</v>
      </c>
      <c r="AW117" s="22">
        <v>0</v>
      </c>
      <c r="AX117" s="22">
        <v>0</v>
      </c>
      <c r="AY117" s="22">
        <v>1</v>
      </c>
    </row>
    <row r="118" spans="1:57" s="29" customFormat="1">
      <c r="A118" s="21" t="s">
        <v>512</v>
      </c>
      <c r="B118" s="22" t="s">
        <v>149</v>
      </c>
      <c r="C118" s="22" t="s">
        <v>150</v>
      </c>
      <c r="D118" s="23" t="s">
        <v>151</v>
      </c>
      <c r="E118" s="22" t="s">
        <v>61</v>
      </c>
      <c r="F118" s="22" t="s">
        <v>152</v>
      </c>
      <c r="G118" s="22" t="s">
        <v>60</v>
      </c>
      <c r="H118" s="22" t="s">
        <v>507</v>
      </c>
      <c r="I118" s="22" t="s">
        <v>39</v>
      </c>
      <c r="J118" s="21" t="s">
        <v>188</v>
      </c>
      <c r="K118" s="22"/>
      <c r="L118" s="22" t="s">
        <v>513</v>
      </c>
      <c r="M118" s="22"/>
      <c r="N118" s="22" t="s">
        <v>514</v>
      </c>
      <c r="O118" s="22" t="s">
        <v>158</v>
      </c>
      <c r="P118" s="21">
        <v>10265</v>
      </c>
      <c r="Q118" s="22">
        <v>4</v>
      </c>
      <c r="R118" s="22">
        <v>4</v>
      </c>
      <c r="S118" s="22">
        <v>4</v>
      </c>
      <c r="T118" s="21" t="s">
        <v>246</v>
      </c>
      <c r="U118" s="21">
        <v>1</v>
      </c>
      <c r="V118" s="22">
        <v>1</v>
      </c>
      <c r="W118" s="25">
        <f t="shared" si="29"/>
        <v>50.24</v>
      </c>
      <c r="X118" s="25">
        <f t="shared" si="30"/>
        <v>33.493333333333332</v>
      </c>
      <c r="Y118" s="21">
        <v>700</v>
      </c>
      <c r="Z118" s="24">
        <f t="shared" si="13"/>
        <v>35168</v>
      </c>
      <c r="AA118" s="24">
        <f t="shared" si="14"/>
        <v>23445.333333333332</v>
      </c>
      <c r="AB118" s="22">
        <v>170</v>
      </c>
      <c r="AC118" s="22">
        <v>65</v>
      </c>
      <c r="AD118" s="22">
        <v>40</v>
      </c>
      <c r="AE118" s="22" t="s">
        <v>159</v>
      </c>
      <c r="AF118" s="21">
        <v>0.1</v>
      </c>
      <c r="AG118" s="21">
        <v>1</v>
      </c>
      <c r="AH118" s="24">
        <f>(4*3.14*(((AB118^1.6*AC118^1.6+AB118^1.6*AD118^1.6+AC118^1.6+AD118^1.6)/3)^(1/1.6)))*(1/AG118)</f>
        <v>88495.394668262117</v>
      </c>
      <c r="AI118" s="24">
        <f>3.14/6*AB118*AC118*AD118*AF118</f>
        <v>23131.333333333332</v>
      </c>
      <c r="AJ118" s="21">
        <v>23140</v>
      </c>
      <c r="AK118" s="21">
        <v>170</v>
      </c>
      <c r="AL118" s="22" t="s">
        <v>161</v>
      </c>
      <c r="AM118" s="22">
        <v>0.22</v>
      </c>
      <c r="AN118" s="22" t="s">
        <v>509</v>
      </c>
      <c r="AO118" s="22" t="s">
        <v>509</v>
      </c>
      <c r="AP118" s="22" t="s">
        <v>230</v>
      </c>
      <c r="AQ118" s="22" t="str">
        <f t="shared" si="15"/>
        <v>Microphytoplankton</v>
      </c>
      <c r="AR118" s="22">
        <v>0</v>
      </c>
      <c r="AS118" s="22">
        <v>0</v>
      </c>
      <c r="AT118" s="22">
        <v>0</v>
      </c>
      <c r="AU118" s="22">
        <v>1</v>
      </c>
      <c r="AV118" s="22">
        <v>0</v>
      </c>
      <c r="AW118" s="22">
        <v>0</v>
      </c>
      <c r="AX118" s="22">
        <v>0</v>
      </c>
      <c r="AY118" s="22">
        <v>1</v>
      </c>
      <c r="AZ118" s="22"/>
      <c r="BA118" s="22"/>
      <c r="BB118" s="22"/>
      <c r="BC118" s="22"/>
      <c r="BD118" s="22"/>
      <c r="BE118" s="22"/>
    </row>
    <row r="119" spans="1:57">
      <c r="A119" s="22" t="s">
        <v>515</v>
      </c>
      <c r="B119" s="22" t="s">
        <v>149</v>
      </c>
      <c r="C119" s="22" t="s">
        <v>150</v>
      </c>
      <c r="D119" s="23" t="s">
        <v>151</v>
      </c>
      <c r="E119" s="22" t="s">
        <v>61</v>
      </c>
      <c r="F119" s="22" t="s">
        <v>152</v>
      </c>
      <c r="G119" s="22" t="s">
        <v>60</v>
      </c>
      <c r="H119" s="22" t="s">
        <v>507</v>
      </c>
      <c r="I119" s="22" t="s">
        <v>39</v>
      </c>
      <c r="J119" s="22" t="s">
        <v>516</v>
      </c>
      <c r="N119" s="22" t="s">
        <v>413</v>
      </c>
      <c r="O119" s="22" t="s">
        <v>158</v>
      </c>
      <c r="P119" s="21">
        <v>10266</v>
      </c>
      <c r="Q119" s="22">
        <v>2.5</v>
      </c>
      <c r="R119" s="22">
        <v>2.5</v>
      </c>
      <c r="S119" s="22">
        <v>2.5</v>
      </c>
      <c r="T119" s="22" t="s">
        <v>246</v>
      </c>
      <c r="U119" s="21">
        <v>1</v>
      </c>
      <c r="V119" s="21">
        <v>1</v>
      </c>
      <c r="W119" s="25">
        <f t="shared" si="29"/>
        <v>19.625</v>
      </c>
      <c r="X119" s="25">
        <f t="shared" si="30"/>
        <v>8.1770833333333339</v>
      </c>
      <c r="Y119" s="22">
        <v>50</v>
      </c>
      <c r="Z119" s="24">
        <f t="shared" si="13"/>
        <v>981.25</v>
      </c>
      <c r="AA119" s="24">
        <f t="shared" si="14"/>
        <v>408.85416666666669</v>
      </c>
      <c r="AB119" s="22">
        <v>30</v>
      </c>
      <c r="AC119" s="22">
        <v>30</v>
      </c>
      <c r="AD119" s="22">
        <v>20</v>
      </c>
      <c r="AE119" s="22" t="s">
        <v>159</v>
      </c>
      <c r="AF119" s="21">
        <v>0.2</v>
      </c>
      <c r="AG119" s="22">
        <v>1</v>
      </c>
      <c r="AH119" s="24">
        <f>(4*3.14*(((AB119^1.6*AC119^1.6+AB119^1.6*AD119^1.6+AC119^1.6+AD119^1.6)/3)^(1/1.6)))*(1/AG119)</f>
        <v>7418.8867424725249</v>
      </c>
      <c r="AI119" s="24">
        <f>3.14/6*AB119*AC119*AD119*AF119</f>
        <v>1884</v>
      </c>
      <c r="AJ119" s="21">
        <v>408.85416666666669</v>
      </c>
      <c r="AK119" s="21">
        <v>100</v>
      </c>
      <c r="AL119" s="22" t="s">
        <v>161</v>
      </c>
      <c r="AM119" s="22">
        <v>0.22</v>
      </c>
      <c r="AN119" s="22" t="s">
        <v>509</v>
      </c>
      <c r="AO119" s="22" t="s">
        <v>509</v>
      </c>
      <c r="AP119" s="22" t="s">
        <v>230</v>
      </c>
      <c r="AQ119" s="22" t="str">
        <f t="shared" si="15"/>
        <v>Microphytoplankton</v>
      </c>
      <c r="AR119" s="22">
        <v>0</v>
      </c>
      <c r="AS119" s="22">
        <v>0</v>
      </c>
      <c r="AT119" s="22">
        <v>0</v>
      </c>
      <c r="AU119" s="22">
        <v>1</v>
      </c>
      <c r="AV119" s="22">
        <v>0</v>
      </c>
      <c r="AW119" s="22">
        <v>0</v>
      </c>
      <c r="AX119" s="22">
        <v>0</v>
      </c>
      <c r="AY119" s="22">
        <v>1</v>
      </c>
    </row>
    <row r="120" spans="1:57">
      <c r="A120" s="21" t="s">
        <v>517</v>
      </c>
      <c r="B120" s="22" t="s">
        <v>149</v>
      </c>
      <c r="C120" s="22" t="s">
        <v>150</v>
      </c>
      <c r="D120" s="23" t="s">
        <v>151</v>
      </c>
      <c r="E120" s="22" t="s">
        <v>61</v>
      </c>
      <c r="F120" s="22" t="s">
        <v>152</v>
      </c>
      <c r="G120" s="22" t="s">
        <v>60</v>
      </c>
      <c r="H120" s="22" t="s">
        <v>507</v>
      </c>
      <c r="I120" s="22" t="s">
        <v>39</v>
      </c>
      <c r="J120" s="22" t="s">
        <v>211</v>
      </c>
      <c r="M120" s="22" t="s">
        <v>1</v>
      </c>
      <c r="N120" s="22" t="s">
        <v>413</v>
      </c>
      <c r="O120" s="22" t="s">
        <v>158</v>
      </c>
      <c r="P120" s="21">
        <v>10200</v>
      </c>
      <c r="Q120" s="21">
        <v>2.5</v>
      </c>
      <c r="R120" s="21">
        <v>2.5</v>
      </c>
      <c r="S120" s="21">
        <v>2.5</v>
      </c>
      <c r="T120" s="21" t="s">
        <v>246</v>
      </c>
      <c r="U120" s="21">
        <v>1</v>
      </c>
      <c r="V120" s="22">
        <v>1</v>
      </c>
      <c r="W120" s="25">
        <f t="shared" si="29"/>
        <v>19.625</v>
      </c>
      <c r="X120" s="25">
        <f t="shared" si="30"/>
        <v>8.1770833333333339</v>
      </c>
      <c r="Y120" s="21">
        <v>640</v>
      </c>
      <c r="Z120" s="24">
        <f t="shared" si="13"/>
        <v>12560</v>
      </c>
      <c r="AA120" s="24">
        <f t="shared" si="14"/>
        <v>5233.3333333333339</v>
      </c>
      <c r="AB120" s="21">
        <v>100</v>
      </c>
      <c r="AC120" s="21">
        <v>100</v>
      </c>
      <c r="AD120" s="21">
        <v>100</v>
      </c>
      <c r="AE120" s="22" t="s">
        <v>159</v>
      </c>
      <c r="AF120" s="21">
        <v>0.01</v>
      </c>
      <c r="AG120" s="21">
        <v>1</v>
      </c>
      <c r="AH120" s="24">
        <f>(4*3.14*(((AB120^1.6*AC120^1.6+AB120^1.6*AD120^1.6+AC120^1.6+AD120^1.6)/3)^(1/1.6)))*(1/AG120)</f>
        <v>97522.272269543319</v>
      </c>
      <c r="AI120" s="24">
        <f>3.14/6*AB120*AC120*AD120*AF120</f>
        <v>5233.333333333333</v>
      </c>
      <c r="AJ120" s="21">
        <v>5236</v>
      </c>
      <c r="AK120" s="21">
        <v>100</v>
      </c>
      <c r="AL120" s="22" t="s">
        <v>161</v>
      </c>
      <c r="AM120" s="22">
        <v>0.22</v>
      </c>
      <c r="AN120" s="22" t="s">
        <v>509</v>
      </c>
      <c r="AO120" s="22" t="s">
        <v>509</v>
      </c>
      <c r="AP120" s="22" t="s">
        <v>230</v>
      </c>
      <c r="AQ120" s="22" t="str">
        <f t="shared" si="15"/>
        <v>Microphytoplankton</v>
      </c>
      <c r="AR120" s="22">
        <v>0</v>
      </c>
      <c r="AS120" s="22">
        <v>0</v>
      </c>
      <c r="AT120" s="22">
        <v>0</v>
      </c>
      <c r="AU120" s="22">
        <v>1</v>
      </c>
      <c r="AV120" s="22">
        <v>0</v>
      </c>
      <c r="AW120" s="22">
        <v>0</v>
      </c>
      <c r="AX120" s="22">
        <v>0</v>
      </c>
      <c r="AY120" s="22">
        <v>1</v>
      </c>
    </row>
    <row r="121" spans="1:57">
      <c r="A121" s="22" t="s">
        <v>518</v>
      </c>
      <c r="B121" s="22" t="s">
        <v>149</v>
      </c>
      <c r="C121" s="22" t="s">
        <v>150</v>
      </c>
      <c r="D121" s="23" t="s">
        <v>151</v>
      </c>
      <c r="E121" s="22" t="s">
        <v>61</v>
      </c>
      <c r="F121" s="22" t="s">
        <v>152</v>
      </c>
      <c r="G121" s="22" t="s">
        <v>60</v>
      </c>
      <c r="H121" s="22" t="s">
        <v>507</v>
      </c>
      <c r="I121" s="22" t="s">
        <v>39</v>
      </c>
      <c r="J121" s="22" t="s">
        <v>519</v>
      </c>
      <c r="N121" s="22" t="s">
        <v>520</v>
      </c>
      <c r="O121" s="22" t="s">
        <v>158</v>
      </c>
      <c r="P121" s="21">
        <v>10201</v>
      </c>
      <c r="Q121" s="22">
        <v>5</v>
      </c>
      <c r="R121" s="22">
        <v>5</v>
      </c>
      <c r="S121" s="22">
        <v>5</v>
      </c>
      <c r="T121" s="22" t="s">
        <v>246</v>
      </c>
      <c r="U121" s="21">
        <v>1</v>
      </c>
      <c r="V121" s="21">
        <v>1</v>
      </c>
      <c r="W121" s="25">
        <f t="shared" si="29"/>
        <v>78.5</v>
      </c>
      <c r="X121" s="25">
        <f t="shared" si="30"/>
        <v>65.416666666666671</v>
      </c>
      <c r="Y121" s="22">
        <v>50</v>
      </c>
      <c r="Z121" s="24">
        <f t="shared" si="13"/>
        <v>3925</v>
      </c>
      <c r="AA121" s="24">
        <f t="shared" si="14"/>
        <v>3270.8333333333335</v>
      </c>
      <c r="AB121" s="22">
        <v>15</v>
      </c>
      <c r="AC121" s="22">
        <v>15</v>
      </c>
      <c r="AD121" s="22">
        <v>15</v>
      </c>
      <c r="AE121" s="22" t="s">
        <v>159</v>
      </c>
      <c r="AF121" s="21">
        <v>0.2</v>
      </c>
      <c r="AG121" s="22">
        <v>1</v>
      </c>
      <c r="AH121" s="24">
        <f>(4*3.14*(((AB121^1.6*AC121^1.6+AB121^1.6*AD121^1.6+AC121^1.6+AD121^1.6)/3)^(1/1.6)))*(1/AG121)</f>
        <v>2211.3412553863004</v>
      </c>
      <c r="AI121" s="24">
        <f>3.14/6*AB121*AC121*AD121*AF121</f>
        <v>353.25</v>
      </c>
      <c r="AJ121" s="21">
        <v>3270.8333333333335</v>
      </c>
      <c r="AK121" s="21">
        <v>100</v>
      </c>
      <c r="AL121" s="22" t="s">
        <v>161</v>
      </c>
      <c r="AM121" s="22">
        <v>0.22</v>
      </c>
      <c r="AN121" s="22" t="s">
        <v>509</v>
      </c>
      <c r="AO121" s="22" t="s">
        <v>509</v>
      </c>
      <c r="AP121" s="22" t="s">
        <v>230</v>
      </c>
      <c r="AQ121" s="22" t="str">
        <f t="shared" si="15"/>
        <v>Microphytoplankton</v>
      </c>
      <c r="AR121" s="22">
        <v>0</v>
      </c>
      <c r="AS121" s="22">
        <v>0</v>
      </c>
      <c r="AT121" s="22">
        <v>0</v>
      </c>
      <c r="AU121" s="22">
        <v>1</v>
      </c>
      <c r="AV121" s="22">
        <v>0</v>
      </c>
      <c r="AW121" s="22">
        <v>0</v>
      </c>
      <c r="AX121" s="22">
        <v>0</v>
      </c>
      <c r="AY121" s="22">
        <v>1</v>
      </c>
    </row>
    <row r="122" spans="1:57" ht="14">
      <c r="A122" s="21" t="s">
        <v>521</v>
      </c>
      <c r="B122" s="22" t="s">
        <v>149</v>
      </c>
      <c r="C122" s="22" t="s">
        <v>150</v>
      </c>
      <c r="D122" s="23" t="s">
        <v>151</v>
      </c>
      <c r="E122" s="22" t="s">
        <v>61</v>
      </c>
      <c r="F122" s="22" t="s">
        <v>152</v>
      </c>
      <c r="G122" s="20" t="s">
        <v>153</v>
      </c>
      <c r="H122" s="22" t="s">
        <v>317</v>
      </c>
      <c r="I122" s="22" t="s">
        <v>522</v>
      </c>
      <c r="J122" s="22" t="s">
        <v>523</v>
      </c>
      <c r="N122" s="22" t="s">
        <v>524</v>
      </c>
      <c r="O122" s="22" t="s">
        <v>158</v>
      </c>
      <c r="P122" s="21">
        <v>10920</v>
      </c>
      <c r="Q122" s="21">
        <v>5</v>
      </c>
      <c r="R122" s="21">
        <v>6</v>
      </c>
      <c r="S122" s="21">
        <v>6</v>
      </c>
      <c r="T122" s="21" t="s">
        <v>160</v>
      </c>
      <c r="U122" s="21">
        <v>1</v>
      </c>
      <c r="V122" s="21">
        <v>1</v>
      </c>
      <c r="W122" s="24">
        <f t="shared" ref="W122:W128" si="31">3.14*R122*Q122+2*3.14*(S122/2)^2/V122</f>
        <v>150.72</v>
      </c>
      <c r="X122" s="25">
        <f t="shared" ref="X122:X128" si="32">(3.14/4*R122^2*Q122)*U122</f>
        <v>141.30000000000001</v>
      </c>
      <c r="Y122" s="21">
        <v>20</v>
      </c>
      <c r="Z122" s="24">
        <f t="shared" si="13"/>
        <v>3014.4</v>
      </c>
      <c r="AA122" s="24">
        <f t="shared" si="14"/>
        <v>2826</v>
      </c>
      <c r="AB122" s="21">
        <v>100</v>
      </c>
      <c r="AC122" s="21">
        <v>5</v>
      </c>
      <c r="AD122" s="21">
        <v>5</v>
      </c>
      <c r="AE122" s="21" t="s">
        <v>160</v>
      </c>
      <c r="AF122" s="21">
        <v>1</v>
      </c>
      <c r="AG122" s="21">
        <v>1</v>
      </c>
      <c r="AH122" s="24">
        <f t="shared" ref="AH122:AH128" si="33">3.14*AC122*AB122+2*3.14*(AD122/2)^2/AG122</f>
        <v>1609.25</v>
      </c>
      <c r="AI122" s="25">
        <f t="shared" ref="AI122:AI128" si="34">(3.14/4*AC122^2*AB122)*AF122</f>
        <v>1962.5</v>
      </c>
      <c r="AJ122" s="21">
        <v>2827.4</v>
      </c>
      <c r="AK122" s="21">
        <v>100</v>
      </c>
      <c r="AL122" s="22" t="s">
        <v>161</v>
      </c>
      <c r="AM122" s="22">
        <v>0.22</v>
      </c>
      <c r="AO122" s="22" t="s">
        <v>383</v>
      </c>
      <c r="AP122" s="22" t="s">
        <v>169</v>
      </c>
      <c r="AQ122" s="22" t="str">
        <f t="shared" si="15"/>
        <v>Microphytoplankton</v>
      </c>
      <c r="AR122" s="22">
        <v>0</v>
      </c>
      <c r="AS122" s="22">
        <v>0</v>
      </c>
      <c r="AT122" s="22">
        <v>0</v>
      </c>
      <c r="AU122" s="22">
        <v>1</v>
      </c>
      <c r="AV122" s="22">
        <v>1</v>
      </c>
      <c r="AW122" s="22">
        <v>0</v>
      </c>
      <c r="AX122" s="22">
        <v>0</v>
      </c>
      <c r="AY122" s="22">
        <v>1</v>
      </c>
    </row>
    <row r="123" spans="1:57" ht="14">
      <c r="A123" s="21" t="s">
        <v>525</v>
      </c>
      <c r="B123" s="22" t="s">
        <v>149</v>
      </c>
      <c r="C123" s="22" t="s">
        <v>150</v>
      </c>
      <c r="D123" s="23" t="s">
        <v>151</v>
      </c>
      <c r="E123" s="22" t="s">
        <v>61</v>
      </c>
      <c r="F123" s="22" t="s">
        <v>152</v>
      </c>
      <c r="G123" s="20" t="s">
        <v>153</v>
      </c>
      <c r="H123" s="22" t="s">
        <v>317</v>
      </c>
      <c r="I123" s="22" t="s">
        <v>522</v>
      </c>
      <c r="J123" s="22" t="s">
        <v>526</v>
      </c>
      <c r="L123" s="22" t="s">
        <v>513</v>
      </c>
      <c r="N123" s="22" t="s">
        <v>157</v>
      </c>
      <c r="O123" s="22" t="s">
        <v>158</v>
      </c>
      <c r="P123" s="21">
        <v>10825</v>
      </c>
      <c r="Q123" s="21">
        <v>6</v>
      </c>
      <c r="R123" s="21">
        <v>2.1</v>
      </c>
      <c r="S123" s="21">
        <v>2.1</v>
      </c>
      <c r="T123" s="21" t="s">
        <v>160</v>
      </c>
      <c r="U123" s="21">
        <v>1</v>
      </c>
      <c r="V123" s="21">
        <v>1</v>
      </c>
      <c r="W123" s="24">
        <f t="shared" si="31"/>
        <v>46.487700000000004</v>
      </c>
      <c r="X123" s="25">
        <f t="shared" si="32"/>
        <v>20.771100000000001</v>
      </c>
      <c r="Y123" s="21">
        <v>16.7</v>
      </c>
      <c r="Z123" s="24">
        <f t="shared" si="13"/>
        <v>776.34459000000004</v>
      </c>
      <c r="AA123" s="24">
        <f t="shared" si="14"/>
        <v>346.87736999999998</v>
      </c>
      <c r="AB123" s="21">
        <v>100</v>
      </c>
      <c r="AC123" s="21">
        <v>2.1</v>
      </c>
      <c r="AD123" s="21">
        <v>2.1</v>
      </c>
      <c r="AE123" s="21" t="s">
        <v>160</v>
      </c>
      <c r="AF123" s="21">
        <v>1</v>
      </c>
      <c r="AG123" s="21">
        <v>1</v>
      </c>
      <c r="AH123" s="24">
        <f t="shared" si="33"/>
        <v>666.32370000000003</v>
      </c>
      <c r="AI123" s="25">
        <f t="shared" si="34"/>
        <v>346.185</v>
      </c>
      <c r="AJ123" s="21">
        <v>346.4</v>
      </c>
      <c r="AK123" s="21">
        <v>100</v>
      </c>
      <c r="AL123" s="22" t="s">
        <v>161</v>
      </c>
      <c r="AM123" s="22">
        <v>0.22</v>
      </c>
      <c r="AO123" s="22" t="s">
        <v>383</v>
      </c>
      <c r="AP123" s="22" t="s">
        <v>162</v>
      </c>
      <c r="AQ123" s="22" t="str">
        <f t="shared" si="15"/>
        <v>Microphytoplankton</v>
      </c>
      <c r="AR123" s="22">
        <v>0</v>
      </c>
      <c r="AS123" s="22">
        <v>0</v>
      </c>
      <c r="AT123" s="22">
        <v>0</v>
      </c>
      <c r="AU123" s="22">
        <v>1</v>
      </c>
      <c r="AV123" s="22">
        <v>1</v>
      </c>
      <c r="AW123" s="22">
        <v>0</v>
      </c>
      <c r="AX123" s="22">
        <v>0</v>
      </c>
      <c r="AY123" s="22">
        <v>1</v>
      </c>
    </row>
    <row r="124" spans="1:57" ht="14">
      <c r="A124" s="21" t="s">
        <v>527</v>
      </c>
      <c r="B124" s="22" t="s">
        <v>149</v>
      </c>
      <c r="C124" s="22" t="s">
        <v>150</v>
      </c>
      <c r="D124" s="23" t="s">
        <v>151</v>
      </c>
      <c r="E124" s="22" t="s">
        <v>61</v>
      </c>
      <c r="F124" s="22" t="s">
        <v>152</v>
      </c>
      <c r="G124" s="20" t="s">
        <v>153</v>
      </c>
      <c r="H124" s="22" t="s">
        <v>317</v>
      </c>
      <c r="I124" s="22" t="s">
        <v>522</v>
      </c>
      <c r="J124" s="22" t="s">
        <v>528</v>
      </c>
      <c r="L124" s="22" t="s">
        <v>513</v>
      </c>
      <c r="N124" s="22" t="s">
        <v>167</v>
      </c>
      <c r="O124" s="22" t="s">
        <v>158</v>
      </c>
      <c r="P124" s="22">
        <v>10942</v>
      </c>
      <c r="Q124" s="21">
        <v>2</v>
      </c>
      <c r="R124" s="21">
        <v>2</v>
      </c>
      <c r="S124" s="21">
        <v>2</v>
      </c>
      <c r="T124" s="21" t="s">
        <v>160</v>
      </c>
      <c r="U124" s="21">
        <v>1</v>
      </c>
      <c r="V124" s="21">
        <v>1</v>
      </c>
      <c r="W124" s="24">
        <f t="shared" si="31"/>
        <v>18.84</v>
      </c>
      <c r="X124" s="25">
        <f t="shared" si="32"/>
        <v>6.28</v>
      </c>
      <c r="Y124" s="21">
        <v>50</v>
      </c>
      <c r="Z124" s="24">
        <f t="shared" si="13"/>
        <v>942</v>
      </c>
      <c r="AA124" s="24">
        <f t="shared" si="14"/>
        <v>314</v>
      </c>
      <c r="AB124" s="21">
        <v>100</v>
      </c>
      <c r="AC124" s="21">
        <v>2</v>
      </c>
      <c r="AD124" s="21">
        <v>2</v>
      </c>
      <c r="AE124" s="21" t="s">
        <v>160</v>
      </c>
      <c r="AF124" s="21">
        <v>100</v>
      </c>
      <c r="AG124" s="21">
        <v>1</v>
      </c>
      <c r="AH124" s="24">
        <f t="shared" si="33"/>
        <v>634.28</v>
      </c>
      <c r="AI124" s="25">
        <f t="shared" si="34"/>
        <v>31400</v>
      </c>
      <c r="AJ124" s="21">
        <v>314.10000000000002</v>
      </c>
      <c r="AK124" s="21">
        <v>100</v>
      </c>
      <c r="AL124" s="22" t="s">
        <v>161</v>
      </c>
      <c r="AM124" s="22">
        <v>0.22</v>
      </c>
      <c r="AO124" s="22" t="s">
        <v>383</v>
      </c>
      <c r="AP124" s="22" t="s">
        <v>162</v>
      </c>
      <c r="AQ124" s="22" t="str">
        <f t="shared" si="15"/>
        <v>Microphytoplankton</v>
      </c>
      <c r="AR124" s="22">
        <v>0</v>
      </c>
      <c r="AS124" s="22">
        <v>0</v>
      </c>
      <c r="AT124" s="22">
        <v>0</v>
      </c>
      <c r="AU124" s="22">
        <v>1</v>
      </c>
      <c r="AV124" s="22">
        <v>1</v>
      </c>
      <c r="AW124" s="22">
        <v>0</v>
      </c>
      <c r="AX124" s="22">
        <v>0</v>
      </c>
      <c r="AY124" s="22">
        <v>1</v>
      </c>
    </row>
    <row r="125" spans="1:57" ht="14">
      <c r="A125" s="21" t="s">
        <v>529</v>
      </c>
      <c r="B125" s="22" t="s">
        <v>149</v>
      </c>
      <c r="C125" s="22" t="s">
        <v>150</v>
      </c>
      <c r="D125" s="23" t="s">
        <v>151</v>
      </c>
      <c r="E125" s="22" t="s">
        <v>61</v>
      </c>
      <c r="F125" s="22" t="s">
        <v>152</v>
      </c>
      <c r="G125" s="20" t="s">
        <v>153</v>
      </c>
      <c r="H125" s="22" t="s">
        <v>317</v>
      </c>
      <c r="I125" s="22" t="s">
        <v>522</v>
      </c>
      <c r="J125" s="22" t="s">
        <v>530</v>
      </c>
      <c r="L125" s="22" t="s">
        <v>513</v>
      </c>
      <c r="N125" s="22" t="s">
        <v>531</v>
      </c>
      <c r="O125" s="22" t="s">
        <v>158</v>
      </c>
      <c r="P125" s="21">
        <v>10970</v>
      </c>
      <c r="Q125" s="21">
        <v>4</v>
      </c>
      <c r="R125" s="21">
        <v>6</v>
      </c>
      <c r="S125" s="21">
        <v>6</v>
      </c>
      <c r="T125" s="21" t="s">
        <v>160</v>
      </c>
      <c r="U125" s="21">
        <v>1</v>
      </c>
      <c r="V125" s="21">
        <v>1</v>
      </c>
      <c r="W125" s="24">
        <f t="shared" si="31"/>
        <v>131.88</v>
      </c>
      <c r="X125" s="25">
        <f t="shared" si="32"/>
        <v>113.04</v>
      </c>
      <c r="Y125" s="21">
        <v>25</v>
      </c>
      <c r="Z125" s="24">
        <f t="shared" si="13"/>
        <v>3297</v>
      </c>
      <c r="AA125" s="24">
        <f t="shared" si="14"/>
        <v>2826</v>
      </c>
      <c r="AB125" s="21">
        <v>100</v>
      </c>
      <c r="AC125" s="21">
        <v>6</v>
      </c>
      <c r="AD125" s="21">
        <v>6</v>
      </c>
      <c r="AE125" s="21" t="s">
        <v>160</v>
      </c>
      <c r="AF125" s="21">
        <v>1</v>
      </c>
      <c r="AG125" s="21">
        <v>1</v>
      </c>
      <c r="AH125" s="24">
        <f t="shared" si="33"/>
        <v>1940.52</v>
      </c>
      <c r="AI125" s="25">
        <f t="shared" si="34"/>
        <v>2826</v>
      </c>
      <c r="AJ125" s="21">
        <v>2827.4</v>
      </c>
      <c r="AK125" s="21">
        <v>100</v>
      </c>
      <c r="AL125" s="22" t="s">
        <v>161</v>
      </c>
      <c r="AM125" s="22">
        <v>0.22</v>
      </c>
      <c r="AO125" s="22" t="s">
        <v>383</v>
      </c>
      <c r="AP125" s="22" t="s">
        <v>169</v>
      </c>
      <c r="AQ125" s="22" t="str">
        <f t="shared" si="15"/>
        <v>Microphytoplankton</v>
      </c>
      <c r="AR125" s="22">
        <v>0</v>
      </c>
      <c r="AS125" s="22">
        <v>0</v>
      </c>
      <c r="AT125" s="22">
        <v>0</v>
      </c>
      <c r="AU125" s="22">
        <v>1</v>
      </c>
      <c r="AV125" s="22">
        <v>1</v>
      </c>
      <c r="AW125" s="22">
        <v>0</v>
      </c>
      <c r="AX125" s="22">
        <v>0</v>
      </c>
      <c r="AY125" s="22">
        <v>1</v>
      </c>
    </row>
    <row r="126" spans="1:57" ht="14">
      <c r="A126" s="22" t="s">
        <v>532</v>
      </c>
      <c r="B126" s="22" t="s">
        <v>149</v>
      </c>
      <c r="C126" s="22" t="s">
        <v>150</v>
      </c>
      <c r="D126" s="23" t="s">
        <v>151</v>
      </c>
      <c r="E126" s="22" t="s">
        <v>61</v>
      </c>
      <c r="F126" s="22" t="s">
        <v>152</v>
      </c>
      <c r="G126" s="20" t="s">
        <v>153</v>
      </c>
      <c r="H126" s="22" t="s">
        <v>317</v>
      </c>
      <c r="I126" s="22" t="s">
        <v>522</v>
      </c>
      <c r="J126" s="22" t="s">
        <v>185</v>
      </c>
      <c r="L126" s="22" t="s">
        <v>513</v>
      </c>
      <c r="N126" s="22" t="s">
        <v>479</v>
      </c>
      <c r="O126" s="22" t="s">
        <v>158</v>
      </c>
      <c r="P126" s="21">
        <v>10971</v>
      </c>
      <c r="Q126" s="22">
        <v>5</v>
      </c>
      <c r="R126" s="22">
        <v>8.5</v>
      </c>
      <c r="S126" s="22">
        <v>8.5</v>
      </c>
      <c r="T126" s="21" t="s">
        <v>160</v>
      </c>
      <c r="U126" s="21">
        <v>1</v>
      </c>
      <c r="V126" s="21">
        <v>1</v>
      </c>
      <c r="W126" s="24">
        <f t="shared" si="31"/>
        <v>246.88250000000002</v>
      </c>
      <c r="X126" s="25">
        <f t="shared" si="32"/>
        <v>283.58125000000001</v>
      </c>
      <c r="Y126" s="22">
        <v>20</v>
      </c>
      <c r="Z126" s="24">
        <f t="shared" si="13"/>
        <v>4937.6500000000005</v>
      </c>
      <c r="AA126" s="24">
        <f t="shared" si="14"/>
        <v>5671.625</v>
      </c>
      <c r="AB126" s="22">
        <v>100</v>
      </c>
      <c r="AC126" s="22">
        <v>8.5</v>
      </c>
      <c r="AD126" s="22">
        <v>8.5</v>
      </c>
      <c r="AE126" s="21" t="s">
        <v>160</v>
      </c>
      <c r="AF126" s="21">
        <v>1</v>
      </c>
      <c r="AG126" s="21">
        <v>1</v>
      </c>
      <c r="AH126" s="24">
        <f t="shared" si="33"/>
        <v>2782.4324999999999</v>
      </c>
      <c r="AI126" s="25">
        <f t="shared" si="34"/>
        <v>5671.625</v>
      </c>
      <c r="AJ126" s="21">
        <v>5671.625</v>
      </c>
      <c r="AK126" s="21">
        <v>100</v>
      </c>
      <c r="AL126" s="22" t="s">
        <v>161</v>
      </c>
      <c r="AM126" s="22">
        <v>0.22</v>
      </c>
      <c r="AO126" s="22" t="s">
        <v>383</v>
      </c>
      <c r="AP126" s="22" t="s">
        <v>169</v>
      </c>
      <c r="AQ126" s="22" t="str">
        <f t="shared" si="15"/>
        <v>Microphytoplankton</v>
      </c>
      <c r="AR126" s="22">
        <v>0</v>
      </c>
      <c r="AS126" s="22">
        <v>0</v>
      </c>
      <c r="AT126" s="22">
        <v>0</v>
      </c>
      <c r="AU126" s="22">
        <v>1</v>
      </c>
      <c r="AV126" s="22">
        <v>1</v>
      </c>
      <c r="AW126" s="22">
        <v>0</v>
      </c>
      <c r="AX126" s="22">
        <v>0</v>
      </c>
      <c r="AY126" s="22">
        <v>1</v>
      </c>
    </row>
    <row r="127" spans="1:57" ht="14">
      <c r="A127" s="21" t="s">
        <v>533</v>
      </c>
      <c r="B127" s="22" t="s">
        <v>149</v>
      </c>
      <c r="C127" s="22" t="s">
        <v>150</v>
      </c>
      <c r="D127" s="23" t="s">
        <v>151</v>
      </c>
      <c r="E127" s="22" t="s">
        <v>61</v>
      </c>
      <c r="F127" s="22" t="s">
        <v>152</v>
      </c>
      <c r="G127" s="20" t="s">
        <v>153</v>
      </c>
      <c r="H127" s="22" t="s">
        <v>317</v>
      </c>
      <c r="I127" s="22" t="s">
        <v>522</v>
      </c>
      <c r="J127" s="22" t="s">
        <v>534</v>
      </c>
      <c r="N127" s="22" t="s">
        <v>535</v>
      </c>
      <c r="O127" s="22" t="s">
        <v>158</v>
      </c>
      <c r="P127" s="21">
        <v>10950</v>
      </c>
      <c r="Q127" s="21">
        <v>3.5</v>
      </c>
      <c r="R127" s="21">
        <v>17</v>
      </c>
      <c r="S127" s="21">
        <v>17</v>
      </c>
      <c r="T127" s="21" t="s">
        <v>160</v>
      </c>
      <c r="U127" s="21">
        <v>1</v>
      </c>
      <c r="V127" s="21">
        <v>1</v>
      </c>
      <c r="W127" s="24">
        <f t="shared" si="31"/>
        <v>640.56000000000006</v>
      </c>
      <c r="X127" s="25">
        <f t="shared" si="32"/>
        <v>794.02750000000003</v>
      </c>
      <c r="Y127" s="21">
        <v>28.6</v>
      </c>
      <c r="Z127" s="24">
        <f t="shared" si="13"/>
        <v>18320.016000000003</v>
      </c>
      <c r="AA127" s="24">
        <f t="shared" si="14"/>
        <v>22709.186500000003</v>
      </c>
      <c r="AB127" s="21">
        <v>100</v>
      </c>
      <c r="AC127" s="21">
        <v>17</v>
      </c>
      <c r="AD127" s="21">
        <v>17</v>
      </c>
      <c r="AE127" s="21" t="s">
        <v>160</v>
      </c>
      <c r="AF127" s="21">
        <v>1</v>
      </c>
      <c r="AG127" s="21">
        <v>1</v>
      </c>
      <c r="AH127" s="24">
        <f t="shared" si="33"/>
        <v>5791.73</v>
      </c>
      <c r="AI127" s="25">
        <f t="shared" si="34"/>
        <v>22686.5</v>
      </c>
      <c r="AJ127" s="21">
        <v>22698</v>
      </c>
      <c r="AK127" s="21">
        <v>100</v>
      </c>
      <c r="AL127" s="22" t="s">
        <v>161</v>
      </c>
      <c r="AM127" s="22">
        <v>0.22</v>
      </c>
      <c r="AO127" s="22" t="s">
        <v>383</v>
      </c>
      <c r="AP127" s="22" t="s">
        <v>169</v>
      </c>
      <c r="AQ127" s="22" t="str">
        <f t="shared" si="15"/>
        <v>Microphytoplankton</v>
      </c>
      <c r="AR127" s="22">
        <v>0</v>
      </c>
      <c r="AS127" s="22">
        <v>0</v>
      </c>
      <c r="AT127" s="22">
        <v>0</v>
      </c>
      <c r="AU127" s="22">
        <v>1</v>
      </c>
      <c r="AV127" s="22">
        <v>1</v>
      </c>
      <c r="AW127" s="22">
        <v>0</v>
      </c>
      <c r="AX127" s="22">
        <v>0</v>
      </c>
      <c r="AY127" s="22">
        <v>1</v>
      </c>
    </row>
    <row r="128" spans="1:57" ht="14">
      <c r="A128" s="21" t="s">
        <v>536</v>
      </c>
      <c r="B128" s="22" t="s">
        <v>149</v>
      </c>
      <c r="C128" s="22" t="s">
        <v>150</v>
      </c>
      <c r="D128" s="23" t="s">
        <v>151</v>
      </c>
      <c r="E128" s="22" t="s">
        <v>61</v>
      </c>
      <c r="F128" s="22" t="s">
        <v>152</v>
      </c>
      <c r="G128" s="20" t="s">
        <v>153</v>
      </c>
      <c r="H128" s="22" t="s">
        <v>317</v>
      </c>
      <c r="I128" s="22" t="s">
        <v>522</v>
      </c>
      <c r="J128" s="22" t="s">
        <v>211</v>
      </c>
      <c r="M128" s="22" t="s">
        <v>1</v>
      </c>
      <c r="N128" s="22" t="s">
        <v>537</v>
      </c>
      <c r="O128" s="22" t="s">
        <v>158</v>
      </c>
      <c r="P128" s="21">
        <v>10900</v>
      </c>
      <c r="Q128" s="21">
        <v>3</v>
      </c>
      <c r="R128" s="21">
        <v>6</v>
      </c>
      <c r="S128" s="21">
        <v>6</v>
      </c>
      <c r="T128" s="21" t="s">
        <v>160</v>
      </c>
      <c r="U128" s="21">
        <v>1</v>
      </c>
      <c r="V128" s="21">
        <v>1</v>
      </c>
      <c r="W128" s="24">
        <f t="shared" si="31"/>
        <v>113.03999999999999</v>
      </c>
      <c r="X128" s="25">
        <f t="shared" si="32"/>
        <v>84.78</v>
      </c>
      <c r="Y128" s="21">
        <v>33.33</v>
      </c>
      <c r="Z128" s="24">
        <f t="shared" si="13"/>
        <v>3767.6231999999995</v>
      </c>
      <c r="AA128" s="24">
        <f t="shared" si="14"/>
        <v>2825.7174</v>
      </c>
      <c r="AB128" s="21">
        <v>100</v>
      </c>
      <c r="AC128" s="21">
        <v>6</v>
      </c>
      <c r="AD128" s="21">
        <v>6</v>
      </c>
      <c r="AE128" s="21" t="s">
        <v>160</v>
      </c>
      <c r="AF128" s="21">
        <v>1</v>
      </c>
      <c r="AG128" s="21">
        <v>1</v>
      </c>
      <c r="AH128" s="24">
        <f t="shared" si="33"/>
        <v>1940.52</v>
      </c>
      <c r="AI128" s="25">
        <f t="shared" si="34"/>
        <v>2826</v>
      </c>
      <c r="AJ128" s="21">
        <v>2827.4</v>
      </c>
      <c r="AK128" s="21">
        <v>100</v>
      </c>
      <c r="AL128" s="22" t="s">
        <v>161</v>
      </c>
      <c r="AM128" s="22">
        <v>0.22</v>
      </c>
      <c r="AO128" s="22" t="s">
        <v>383</v>
      </c>
      <c r="AP128" s="22" t="s">
        <v>169</v>
      </c>
      <c r="AQ128" s="22" t="str">
        <f t="shared" si="15"/>
        <v>Microphytoplankton</v>
      </c>
      <c r="AR128" s="22">
        <v>0</v>
      </c>
      <c r="AS128" s="22">
        <v>0</v>
      </c>
      <c r="AT128" s="22">
        <v>0</v>
      </c>
      <c r="AU128" s="22">
        <v>1</v>
      </c>
      <c r="AV128" s="22">
        <v>1</v>
      </c>
      <c r="AW128" s="22">
        <v>0</v>
      </c>
      <c r="AX128" s="22">
        <v>0</v>
      </c>
      <c r="AY128" s="22">
        <v>1</v>
      </c>
    </row>
    <row r="129" spans="1:57">
      <c r="A129" s="21" t="s">
        <v>538</v>
      </c>
      <c r="B129" s="22" t="s">
        <v>149</v>
      </c>
      <c r="C129" s="22" t="s">
        <v>150</v>
      </c>
      <c r="D129" s="23" t="s">
        <v>151</v>
      </c>
      <c r="E129" s="22" t="s">
        <v>61</v>
      </c>
      <c r="F129" s="22" t="s">
        <v>152</v>
      </c>
      <c r="G129" s="22" t="s">
        <v>60</v>
      </c>
      <c r="H129" s="22" t="s">
        <v>226</v>
      </c>
      <c r="I129" s="22" t="s">
        <v>539</v>
      </c>
      <c r="J129" s="22" t="s">
        <v>540</v>
      </c>
      <c r="N129" s="22" t="s">
        <v>541</v>
      </c>
      <c r="O129" s="22" t="s">
        <v>158</v>
      </c>
      <c r="P129" s="21">
        <v>11510</v>
      </c>
      <c r="Q129" s="21">
        <v>1</v>
      </c>
      <c r="R129" s="21">
        <v>1</v>
      </c>
      <c r="S129" s="21">
        <v>1</v>
      </c>
      <c r="T129" s="21" t="s">
        <v>281</v>
      </c>
      <c r="U129" s="21">
        <v>1</v>
      </c>
      <c r="V129" s="21">
        <v>1</v>
      </c>
      <c r="W129" s="24">
        <f>(4*3.14*(((Q129^1.6*R129^1.6+Q129^1.6*S129^1.6+R129^1.6+S129^1.6)/3)^(1/1.6)))*(1/V129)</f>
        <v>15.034062444858044</v>
      </c>
      <c r="X129" s="24">
        <f>3.14/6*Q129*R129*S129*U129</f>
        <v>0.52333333333333332</v>
      </c>
      <c r="Y129" s="21">
        <v>6500</v>
      </c>
      <c r="Z129" s="24">
        <f t="shared" si="13"/>
        <v>97721.405891577291</v>
      </c>
      <c r="AA129" s="24">
        <f t="shared" si="14"/>
        <v>3401.6666666666665</v>
      </c>
      <c r="AB129" s="21">
        <v>100</v>
      </c>
      <c r="AC129" s="21">
        <v>100</v>
      </c>
      <c r="AD129" s="21">
        <v>100</v>
      </c>
      <c r="AE129" s="21" t="s">
        <v>330</v>
      </c>
      <c r="AF129" s="21">
        <v>0.05</v>
      </c>
      <c r="AG129" s="21">
        <v>1</v>
      </c>
      <c r="AH129" s="25">
        <f>(AB129*AC129*2+AB129*AD129*2+AC129*AD129*2)/AG129</f>
        <v>60000</v>
      </c>
      <c r="AI129" s="25">
        <f>AB129*AC129*AD129*AF129</f>
        <v>50000</v>
      </c>
      <c r="AJ129" s="21">
        <v>5400</v>
      </c>
      <c r="AK129" s="21">
        <v>100</v>
      </c>
      <c r="AL129" s="22" t="s">
        <v>161</v>
      </c>
      <c r="AM129" s="22">
        <v>0.22</v>
      </c>
      <c r="AP129" s="22" t="s">
        <v>230</v>
      </c>
      <c r="AQ129" s="22" t="str">
        <f t="shared" si="15"/>
        <v>Microphytoplankton</v>
      </c>
      <c r="AR129" s="22">
        <v>0</v>
      </c>
      <c r="AS129" s="22">
        <v>0</v>
      </c>
      <c r="AT129" s="22">
        <v>0</v>
      </c>
      <c r="AU129" s="22">
        <v>1</v>
      </c>
      <c r="AV129" s="22">
        <v>0</v>
      </c>
      <c r="AW129" s="22">
        <v>0</v>
      </c>
      <c r="AX129" s="22">
        <v>0</v>
      </c>
      <c r="AY129" s="22">
        <v>1</v>
      </c>
    </row>
    <row r="130" spans="1:57">
      <c r="A130" s="22" t="s">
        <v>542</v>
      </c>
      <c r="B130" s="22" t="s">
        <v>149</v>
      </c>
      <c r="C130" s="22" t="s">
        <v>150</v>
      </c>
      <c r="D130" s="23" t="s">
        <v>151</v>
      </c>
      <c r="E130" s="22" t="s">
        <v>61</v>
      </c>
      <c r="F130" s="22" t="s">
        <v>152</v>
      </c>
      <c r="G130" s="23" t="s">
        <v>153</v>
      </c>
      <c r="H130" s="23" t="s">
        <v>543</v>
      </c>
      <c r="I130" s="22" t="s">
        <v>544</v>
      </c>
      <c r="J130" s="22" t="s">
        <v>545</v>
      </c>
      <c r="N130" s="22" t="s">
        <v>413</v>
      </c>
      <c r="O130" s="22" t="s">
        <v>158</v>
      </c>
      <c r="P130" s="21">
        <v>12101</v>
      </c>
      <c r="Q130" s="22">
        <v>3.5</v>
      </c>
      <c r="R130" s="22">
        <v>4</v>
      </c>
      <c r="S130" s="22">
        <v>4</v>
      </c>
      <c r="T130" s="22" t="s">
        <v>281</v>
      </c>
      <c r="U130" s="21">
        <v>1</v>
      </c>
      <c r="V130" s="22">
        <v>1</v>
      </c>
      <c r="W130" s="24">
        <f>(4*3.14*(((Q130^1.6*R130^1.6+Q130^1.6*S130^1.6+R130^1.6+S130^1.6)/3)^(1/1.6)))*(1/V130)</f>
        <v>147.69658846942187</v>
      </c>
      <c r="X130" s="24">
        <f>3.14/6*Q130*R130*S130*U130</f>
        <v>29.306666666666665</v>
      </c>
      <c r="Y130" s="22">
        <v>28.6</v>
      </c>
      <c r="Z130" s="24">
        <f t="shared" ref="Z130:Z193" si="35">Y130*W130</f>
        <v>4224.1224302254659</v>
      </c>
      <c r="AA130" s="24">
        <f t="shared" ref="AA130:AA193" si="36">Y130*X130</f>
        <v>838.17066666666665</v>
      </c>
      <c r="AB130" s="22">
        <v>100</v>
      </c>
      <c r="AC130" s="22">
        <v>4</v>
      </c>
      <c r="AD130" s="22">
        <v>4</v>
      </c>
      <c r="AE130" s="21" t="s">
        <v>160</v>
      </c>
      <c r="AF130" s="21">
        <v>1</v>
      </c>
      <c r="AG130" s="22">
        <v>1</v>
      </c>
      <c r="AH130" s="24">
        <f t="shared" ref="AH130:AH147" si="37">3.14*AC130*AB130+2*3.14*(AD130/2)^2/AG130</f>
        <v>1281.1199999999999</v>
      </c>
      <c r="AI130" s="25">
        <f t="shared" ref="AI130:AI147" si="38">(3.14/4*AC130^2*AB130)*AF130</f>
        <v>1256</v>
      </c>
      <c r="AJ130" s="21">
        <v>1256</v>
      </c>
      <c r="AK130" s="21">
        <v>100</v>
      </c>
      <c r="AL130" s="22" t="s">
        <v>161</v>
      </c>
      <c r="AM130" s="22">
        <v>0.22</v>
      </c>
      <c r="AO130" s="22" t="s">
        <v>476</v>
      </c>
      <c r="AP130" s="22" t="s">
        <v>162</v>
      </c>
      <c r="AQ130" s="22" t="str">
        <f t="shared" ref="AQ130:AQ193" si="39">IF(AND($AK130&lt;20,AJ130&lt;10000),"Nanophytoplankton","Microphytoplankton")</f>
        <v>Microphytoplankton</v>
      </c>
      <c r="AR130" s="22">
        <v>0</v>
      </c>
      <c r="AS130" s="22">
        <v>0</v>
      </c>
      <c r="AT130" s="22">
        <v>0</v>
      </c>
      <c r="AU130" s="22">
        <v>1</v>
      </c>
      <c r="AV130" s="22">
        <v>1</v>
      </c>
      <c r="AW130" s="22">
        <v>0</v>
      </c>
      <c r="AX130" s="22">
        <v>0</v>
      </c>
      <c r="AY130" s="22">
        <v>1</v>
      </c>
    </row>
    <row r="131" spans="1:57">
      <c r="A131" s="22" t="s">
        <v>546</v>
      </c>
      <c r="B131" s="22" t="s">
        <v>149</v>
      </c>
      <c r="C131" s="22" t="s">
        <v>150</v>
      </c>
      <c r="D131" s="23" t="s">
        <v>151</v>
      </c>
      <c r="E131" s="22" t="s">
        <v>61</v>
      </c>
      <c r="F131" s="22" t="s">
        <v>152</v>
      </c>
      <c r="G131" s="23" t="s">
        <v>153</v>
      </c>
      <c r="H131" s="23" t="s">
        <v>543</v>
      </c>
      <c r="I131" s="22" t="s">
        <v>544</v>
      </c>
      <c r="J131" s="22" t="s">
        <v>211</v>
      </c>
      <c r="M131" s="22" t="s">
        <v>1</v>
      </c>
      <c r="N131" s="22" t="s">
        <v>547</v>
      </c>
      <c r="O131" s="22" t="s">
        <v>158</v>
      </c>
      <c r="P131" s="21">
        <v>12100</v>
      </c>
      <c r="Q131" s="22">
        <v>5</v>
      </c>
      <c r="R131" s="22">
        <v>5</v>
      </c>
      <c r="S131" s="22">
        <v>5</v>
      </c>
      <c r="T131" s="21" t="s">
        <v>160</v>
      </c>
      <c r="U131" s="21">
        <v>1</v>
      </c>
      <c r="V131" s="22">
        <v>1</v>
      </c>
      <c r="W131" s="24">
        <f t="shared" ref="W131:W147" si="40">3.14*R131*Q131+2*3.14*(S131/2)^2/V131</f>
        <v>117.75</v>
      </c>
      <c r="X131" s="25">
        <f t="shared" ref="X131:X147" si="41">(3.14/4*R131^2*Q131)*U131</f>
        <v>98.125</v>
      </c>
      <c r="Y131" s="22">
        <v>20</v>
      </c>
      <c r="Z131" s="24">
        <f t="shared" si="35"/>
        <v>2355</v>
      </c>
      <c r="AA131" s="24">
        <f t="shared" si="36"/>
        <v>1962.5</v>
      </c>
      <c r="AB131" s="22">
        <v>100</v>
      </c>
      <c r="AC131" s="22">
        <v>5</v>
      </c>
      <c r="AD131" s="22">
        <v>5</v>
      </c>
      <c r="AE131" s="21" t="s">
        <v>160</v>
      </c>
      <c r="AF131" s="21">
        <v>1</v>
      </c>
      <c r="AG131" s="22">
        <v>1</v>
      </c>
      <c r="AH131" s="24">
        <f t="shared" si="37"/>
        <v>1609.25</v>
      </c>
      <c r="AI131" s="25">
        <f t="shared" si="38"/>
        <v>1962.5</v>
      </c>
      <c r="AJ131" s="21">
        <v>1962.5</v>
      </c>
      <c r="AK131" s="21">
        <v>100</v>
      </c>
      <c r="AL131" s="22" t="s">
        <v>161</v>
      </c>
      <c r="AM131" s="22">
        <v>0.22</v>
      </c>
      <c r="AO131" s="22" t="s">
        <v>476</v>
      </c>
      <c r="AP131" s="22" t="s">
        <v>169</v>
      </c>
      <c r="AQ131" s="22" t="str">
        <f t="shared" si="39"/>
        <v>Microphytoplankton</v>
      </c>
      <c r="AR131" s="22">
        <v>0</v>
      </c>
      <c r="AS131" s="22">
        <v>0</v>
      </c>
      <c r="AT131" s="22">
        <v>0</v>
      </c>
      <c r="AU131" s="22">
        <v>1</v>
      </c>
      <c r="AV131" s="22">
        <v>1</v>
      </c>
      <c r="AW131" s="22">
        <v>0</v>
      </c>
      <c r="AX131" s="22">
        <v>0</v>
      </c>
      <c r="AY131" s="22">
        <v>1</v>
      </c>
    </row>
    <row r="132" spans="1:57" ht="14">
      <c r="A132" s="21" t="s">
        <v>548</v>
      </c>
      <c r="B132" s="22" t="s">
        <v>149</v>
      </c>
      <c r="C132" s="22" t="s">
        <v>150</v>
      </c>
      <c r="D132" s="23" t="s">
        <v>151</v>
      </c>
      <c r="E132" s="22" t="s">
        <v>61</v>
      </c>
      <c r="F132" s="22" t="s">
        <v>152</v>
      </c>
      <c r="G132" s="20" t="s">
        <v>153</v>
      </c>
      <c r="H132" s="22" t="s">
        <v>154</v>
      </c>
      <c r="I132" s="22" t="s">
        <v>549</v>
      </c>
      <c r="J132" s="22" t="s">
        <v>528</v>
      </c>
      <c r="N132" s="22" t="s">
        <v>550</v>
      </c>
      <c r="O132" s="22" t="s">
        <v>158</v>
      </c>
      <c r="P132" s="21">
        <v>11302</v>
      </c>
      <c r="Q132" s="21">
        <v>5</v>
      </c>
      <c r="R132" s="21">
        <v>1.3</v>
      </c>
      <c r="S132" s="21">
        <v>1.3</v>
      </c>
      <c r="T132" s="21" t="s">
        <v>160</v>
      </c>
      <c r="U132" s="21">
        <v>1</v>
      </c>
      <c r="V132" s="21">
        <v>1</v>
      </c>
      <c r="W132" s="24">
        <f t="shared" si="40"/>
        <v>23.063300000000005</v>
      </c>
      <c r="X132" s="25">
        <f t="shared" si="41"/>
        <v>6.6332500000000003</v>
      </c>
      <c r="Y132" s="21">
        <v>20</v>
      </c>
      <c r="Z132" s="24">
        <f t="shared" si="35"/>
        <v>461.26600000000008</v>
      </c>
      <c r="AA132" s="24">
        <f t="shared" si="36"/>
        <v>132.66500000000002</v>
      </c>
      <c r="AB132" s="21">
        <v>100</v>
      </c>
      <c r="AC132" s="21">
        <v>1.3</v>
      </c>
      <c r="AD132" s="21">
        <v>1.3</v>
      </c>
      <c r="AE132" s="21" t="s">
        <v>160</v>
      </c>
      <c r="AF132" s="21">
        <v>1</v>
      </c>
      <c r="AG132" s="22">
        <v>1</v>
      </c>
      <c r="AH132" s="24">
        <f t="shared" si="37"/>
        <v>410.85330000000005</v>
      </c>
      <c r="AI132" s="25">
        <f t="shared" si="38"/>
        <v>132.66500000000002</v>
      </c>
      <c r="AJ132" s="21">
        <v>132.66500000000005</v>
      </c>
      <c r="AK132" s="21">
        <v>100</v>
      </c>
      <c r="AL132" s="22" t="s">
        <v>551</v>
      </c>
      <c r="AM132" s="22">
        <v>0.22</v>
      </c>
      <c r="AO132" s="22" t="s">
        <v>388</v>
      </c>
      <c r="AP132" s="22" t="s">
        <v>162</v>
      </c>
      <c r="AQ132" s="22" t="str">
        <f t="shared" si="39"/>
        <v>Microphytoplankton</v>
      </c>
      <c r="AR132" s="22">
        <v>0</v>
      </c>
      <c r="AS132" s="22">
        <v>0</v>
      </c>
      <c r="AT132" s="22">
        <v>0</v>
      </c>
      <c r="AU132" s="22">
        <v>1</v>
      </c>
      <c r="AV132" s="22">
        <v>1</v>
      </c>
      <c r="AW132" s="22">
        <v>0</v>
      </c>
      <c r="AX132" s="22">
        <v>0</v>
      </c>
      <c r="AY132" s="22">
        <v>1</v>
      </c>
    </row>
    <row r="133" spans="1:57" ht="14">
      <c r="A133" s="22" t="s">
        <v>552</v>
      </c>
      <c r="B133" s="22" t="s">
        <v>149</v>
      </c>
      <c r="C133" s="22" t="s">
        <v>150</v>
      </c>
      <c r="D133" s="23" t="s">
        <v>151</v>
      </c>
      <c r="E133" s="22" t="s">
        <v>61</v>
      </c>
      <c r="F133" s="22" t="s">
        <v>152</v>
      </c>
      <c r="G133" s="20" t="s">
        <v>153</v>
      </c>
      <c r="H133" s="22" t="s">
        <v>154</v>
      </c>
      <c r="I133" s="22" t="s">
        <v>549</v>
      </c>
      <c r="J133" s="22" t="s">
        <v>211</v>
      </c>
      <c r="M133" s="22" t="s">
        <v>1</v>
      </c>
      <c r="N133" s="22" t="s">
        <v>434</v>
      </c>
      <c r="O133" s="22" t="s">
        <v>158</v>
      </c>
      <c r="P133" s="21">
        <v>11308</v>
      </c>
      <c r="Q133" s="22">
        <v>5</v>
      </c>
      <c r="R133" s="22">
        <v>1.5</v>
      </c>
      <c r="S133" s="22">
        <v>1.5</v>
      </c>
      <c r="T133" s="21" t="s">
        <v>160</v>
      </c>
      <c r="U133" s="21">
        <v>1</v>
      </c>
      <c r="V133" s="22">
        <v>1</v>
      </c>
      <c r="W133" s="24">
        <f t="shared" si="40"/>
        <v>27.0825</v>
      </c>
      <c r="X133" s="25">
        <f t="shared" si="41"/>
        <v>8.8312500000000007</v>
      </c>
      <c r="Y133" s="22">
        <v>20</v>
      </c>
      <c r="Z133" s="24">
        <f t="shared" si="35"/>
        <v>541.65</v>
      </c>
      <c r="AA133" s="24">
        <f t="shared" si="36"/>
        <v>176.625</v>
      </c>
      <c r="AB133" s="22">
        <v>100</v>
      </c>
      <c r="AC133" s="22">
        <v>1.5</v>
      </c>
      <c r="AD133" s="22">
        <v>1.5</v>
      </c>
      <c r="AE133" s="21" t="s">
        <v>160</v>
      </c>
      <c r="AF133" s="21">
        <v>1</v>
      </c>
      <c r="AG133" s="22">
        <v>1</v>
      </c>
      <c r="AH133" s="24">
        <f t="shared" si="37"/>
        <v>474.53250000000003</v>
      </c>
      <c r="AI133" s="25">
        <f t="shared" si="38"/>
        <v>176.625</v>
      </c>
      <c r="AJ133" s="21">
        <v>176.625</v>
      </c>
      <c r="AK133" s="21">
        <v>100</v>
      </c>
      <c r="AL133" s="22" t="s">
        <v>161</v>
      </c>
      <c r="AM133" s="22">
        <v>0.22</v>
      </c>
      <c r="AO133" s="22" t="s">
        <v>388</v>
      </c>
      <c r="AP133" s="22" t="s">
        <v>162</v>
      </c>
      <c r="AQ133" s="22" t="str">
        <f t="shared" si="39"/>
        <v>Microphytoplankton</v>
      </c>
      <c r="AR133" s="22">
        <v>0</v>
      </c>
      <c r="AS133" s="22">
        <v>0</v>
      </c>
      <c r="AT133" s="22">
        <v>0</v>
      </c>
      <c r="AU133" s="22">
        <v>1</v>
      </c>
      <c r="AV133" s="22">
        <v>1</v>
      </c>
      <c r="AW133" s="22">
        <v>0</v>
      </c>
      <c r="AX133" s="22">
        <v>0</v>
      </c>
      <c r="AY133" s="22">
        <v>1</v>
      </c>
    </row>
    <row r="134" spans="1:57" ht="14">
      <c r="A134" s="21" t="s">
        <v>553</v>
      </c>
      <c r="B134" s="22" t="s">
        <v>149</v>
      </c>
      <c r="C134" s="22" t="s">
        <v>150</v>
      </c>
      <c r="D134" s="23" t="s">
        <v>151</v>
      </c>
      <c r="E134" s="22" t="s">
        <v>61</v>
      </c>
      <c r="F134" s="22" t="s">
        <v>152</v>
      </c>
      <c r="G134" s="20" t="s">
        <v>153</v>
      </c>
      <c r="H134" s="22" t="s">
        <v>543</v>
      </c>
      <c r="I134" s="22" t="s">
        <v>554</v>
      </c>
      <c r="J134" s="22" t="s">
        <v>555</v>
      </c>
      <c r="N134" s="22" t="s">
        <v>556</v>
      </c>
      <c r="O134" s="22" t="s">
        <v>158</v>
      </c>
      <c r="P134" s="21">
        <v>10931</v>
      </c>
      <c r="Q134" s="21">
        <v>3</v>
      </c>
      <c r="R134" s="21">
        <v>6</v>
      </c>
      <c r="S134" s="21">
        <v>6</v>
      </c>
      <c r="T134" s="21" t="s">
        <v>160</v>
      </c>
      <c r="U134" s="21">
        <v>1</v>
      </c>
      <c r="V134" s="22">
        <v>1</v>
      </c>
      <c r="W134" s="24">
        <f t="shared" si="40"/>
        <v>113.03999999999999</v>
      </c>
      <c r="X134" s="25">
        <f t="shared" si="41"/>
        <v>84.78</v>
      </c>
      <c r="Y134" s="21">
        <v>33.33</v>
      </c>
      <c r="Z134" s="24">
        <f t="shared" si="35"/>
        <v>3767.6231999999995</v>
      </c>
      <c r="AA134" s="24">
        <f t="shared" si="36"/>
        <v>2825.7174</v>
      </c>
      <c r="AB134" s="21">
        <v>100</v>
      </c>
      <c r="AC134" s="21">
        <v>6</v>
      </c>
      <c r="AD134" s="21">
        <v>6</v>
      </c>
      <c r="AE134" s="21" t="s">
        <v>160</v>
      </c>
      <c r="AF134" s="21">
        <v>1</v>
      </c>
      <c r="AG134" s="22">
        <v>1</v>
      </c>
      <c r="AH134" s="24">
        <f t="shared" si="37"/>
        <v>1940.52</v>
      </c>
      <c r="AI134" s="25">
        <f t="shared" si="38"/>
        <v>2826</v>
      </c>
      <c r="AJ134" s="21">
        <v>461</v>
      </c>
      <c r="AK134" s="21">
        <v>100</v>
      </c>
      <c r="AL134" s="22" t="s">
        <v>161</v>
      </c>
      <c r="AM134" s="22">
        <v>0.22</v>
      </c>
      <c r="AN134" s="22" t="s">
        <v>388</v>
      </c>
      <c r="AO134" s="22" t="s">
        <v>388</v>
      </c>
      <c r="AP134" s="22" t="s">
        <v>169</v>
      </c>
      <c r="AQ134" s="22" t="str">
        <f t="shared" si="39"/>
        <v>Microphytoplankton</v>
      </c>
      <c r="AR134" s="22">
        <v>0</v>
      </c>
      <c r="AS134" s="22">
        <v>0</v>
      </c>
      <c r="AT134" s="22">
        <v>0</v>
      </c>
      <c r="AU134" s="22">
        <v>1</v>
      </c>
      <c r="AV134" s="22">
        <v>1</v>
      </c>
      <c r="AW134" s="22">
        <v>0</v>
      </c>
      <c r="AX134" s="22">
        <v>0</v>
      </c>
      <c r="AY134" s="22">
        <v>1</v>
      </c>
    </row>
    <row r="135" spans="1:57" ht="14">
      <c r="A135" s="21" t="s">
        <v>557</v>
      </c>
      <c r="B135" s="22" t="s">
        <v>149</v>
      </c>
      <c r="C135" s="22" t="s">
        <v>150</v>
      </c>
      <c r="D135" s="23" t="s">
        <v>151</v>
      </c>
      <c r="E135" s="22" t="s">
        <v>61</v>
      </c>
      <c r="F135" s="22" t="s">
        <v>152</v>
      </c>
      <c r="G135" s="20" t="s">
        <v>153</v>
      </c>
      <c r="H135" s="22" t="s">
        <v>543</v>
      </c>
      <c r="I135" s="22" t="s">
        <v>554</v>
      </c>
      <c r="J135" s="22" t="s">
        <v>558</v>
      </c>
      <c r="N135" s="22" t="s">
        <v>559</v>
      </c>
      <c r="O135" s="22" t="s">
        <v>158</v>
      </c>
      <c r="P135" s="21">
        <v>10910</v>
      </c>
      <c r="Q135" s="21">
        <v>3</v>
      </c>
      <c r="R135" s="21">
        <v>6</v>
      </c>
      <c r="S135" s="21">
        <v>6</v>
      </c>
      <c r="T135" s="21" t="s">
        <v>160</v>
      </c>
      <c r="U135" s="21">
        <v>1</v>
      </c>
      <c r="V135" s="22">
        <v>1</v>
      </c>
      <c r="W135" s="24">
        <f t="shared" si="40"/>
        <v>113.03999999999999</v>
      </c>
      <c r="X135" s="25">
        <f t="shared" si="41"/>
        <v>84.78</v>
      </c>
      <c r="Y135" s="21">
        <v>33.33</v>
      </c>
      <c r="Z135" s="24">
        <f t="shared" si="35"/>
        <v>3767.6231999999995</v>
      </c>
      <c r="AA135" s="24">
        <f t="shared" si="36"/>
        <v>2825.7174</v>
      </c>
      <c r="AB135" s="21">
        <v>100</v>
      </c>
      <c r="AC135" s="21">
        <v>6</v>
      </c>
      <c r="AD135" s="21">
        <v>6</v>
      </c>
      <c r="AE135" s="21" t="s">
        <v>160</v>
      </c>
      <c r="AF135" s="21">
        <v>1</v>
      </c>
      <c r="AG135" s="22">
        <v>1</v>
      </c>
      <c r="AH135" s="24">
        <f t="shared" si="37"/>
        <v>1940.52</v>
      </c>
      <c r="AI135" s="25">
        <f t="shared" si="38"/>
        <v>2826</v>
      </c>
      <c r="AJ135" s="21">
        <v>2827.4</v>
      </c>
      <c r="AK135" s="21">
        <v>100</v>
      </c>
      <c r="AL135" s="22" t="s">
        <v>161</v>
      </c>
      <c r="AM135" s="22">
        <v>0.22</v>
      </c>
      <c r="AN135" s="22" t="s">
        <v>560</v>
      </c>
      <c r="AO135" s="22" t="s">
        <v>560</v>
      </c>
      <c r="AP135" s="22" t="s">
        <v>169</v>
      </c>
      <c r="AQ135" s="22" t="str">
        <f t="shared" si="39"/>
        <v>Microphytoplankton</v>
      </c>
      <c r="AR135" s="22">
        <v>0</v>
      </c>
      <c r="AS135" s="22">
        <v>0</v>
      </c>
      <c r="AT135" s="22">
        <v>0</v>
      </c>
      <c r="AU135" s="22">
        <v>1</v>
      </c>
      <c r="AV135" s="22">
        <v>1</v>
      </c>
      <c r="AW135" s="22">
        <v>0</v>
      </c>
      <c r="AX135" s="22">
        <v>0</v>
      </c>
      <c r="AY135" s="22">
        <v>1</v>
      </c>
      <c r="AZ135" s="22">
        <v>1</v>
      </c>
      <c r="BA135" s="22">
        <v>2</v>
      </c>
      <c r="BB135" s="22">
        <v>3</v>
      </c>
      <c r="BC135" s="22">
        <v>4</v>
      </c>
      <c r="BD135" s="22">
        <v>0</v>
      </c>
      <c r="BE135" s="22">
        <v>0</v>
      </c>
    </row>
    <row r="136" spans="1:57" ht="14">
      <c r="A136" s="21" t="s">
        <v>561</v>
      </c>
      <c r="B136" s="22" t="s">
        <v>149</v>
      </c>
      <c r="C136" s="22" t="s">
        <v>150</v>
      </c>
      <c r="D136" s="23" t="s">
        <v>151</v>
      </c>
      <c r="E136" s="22" t="s">
        <v>61</v>
      </c>
      <c r="F136" s="22" t="s">
        <v>152</v>
      </c>
      <c r="G136" s="20" t="s">
        <v>153</v>
      </c>
      <c r="H136" s="22" t="s">
        <v>543</v>
      </c>
      <c r="I136" s="22" t="s">
        <v>554</v>
      </c>
      <c r="J136" s="22" t="s">
        <v>211</v>
      </c>
      <c r="M136" s="22" t="s">
        <v>1</v>
      </c>
      <c r="N136" s="22" t="s">
        <v>434</v>
      </c>
      <c r="O136" s="22" t="s">
        <v>158</v>
      </c>
      <c r="P136" s="21">
        <v>10911</v>
      </c>
      <c r="Q136" s="21">
        <v>3</v>
      </c>
      <c r="R136" s="21">
        <v>5</v>
      </c>
      <c r="S136" s="21">
        <v>5</v>
      </c>
      <c r="T136" s="21" t="s">
        <v>160</v>
      </c>
      <c r="U136" s="21">
        <v>1</v>
      </c>
      <c r="V136" s="22">
        <v>1</v>
      </c>
      <c r="W136" s="24">
        <f t="shared" si="40"/>
        <v>86.35</v>
      </c>
      <c r="X136" s="25">
        <f t="shared" si="41"/>
        <v>58.875</v>
      </c>
      <c r="Y136" s="21">
        <v>33.33</v>
      </c>
      <c r="Z136" s="24">
        <f t="shared" si="35"/>
        <v>2878.0454999999997</v>
      </c>
      <c r="AA136" s="24">
        <f t="shared" si="36"/>
        <v>1962.3037499999998</v>
      </c>
      <c r="AB136" s="21">
        <v>100</v>
      </c>
      <c r="AC136" s="21">
        <v>5</v>
      </c>
      <c r="AD136" s="21">
        <v>5</v>
      </c>
      <c r="AE136" s="21" t="s">
        <v>160</v>
      </c>
      <c r="AF136" s="21">
        <v>1</v>
      </c>
      <c r="AG136" s="22">
        <v>1</v>
      </c>
      <c r="AH136" s="24">
        <f t="shared" si="37"/>
        <v>1609.25</v>
      </c>
      <c r="AI136" s="25">
        <f t="shared" si="38"/>
        <v>1962.5</v>
      </c>
      <c r="AJ136" s="21">
        <v>1962.5</v>
      </c>
      <c r="AK136" s="21">
        <v>100</v>
      </c>
      <c r="AL136" s="22" t="s">
        <v>161</v>
      </c>
      <c r="AM136" s="22">
        <v>0.22</v>
      </c>
      <c r="AO136" s="22" t="s">
        <v>388</v>
      </c>
      <c r="AP136" s="22" t="s">
        <v>169</v>
      </c>
      <c r="AQ136" s="22" t="str">
        <f t="shared" si="39"/>
        <v>Microphytoplankton</v>
      </c>
      <c r="AR136" s="22">
        <v>0</v>
      </c>
      <c r="AS136" s="22">
        <v>0</v>
      </c>
      <c r="AT136" s="22">
        <v>0</v>
      </c>
      <c r="AU136" s="22">
        <v>1</v>
      </c>
      <c r="AV136" s="22">
        <v>1</v>
      </c>
      <c r="AW136" s="22">
        <v>0</v>
      </c>
      <c r="AX136" s="22">
        <v>0</v>
      </c>
      <c r="AY136" s="22">
        <v>1</v>
      </c>
    </row>
    <row r="137" spans="1:57" ht="14">
      <c r="A137" s="21" t="s">
        <v>562</v>
      </c>
      <c r="B137" s="22" t="s">
        <v>149</v>
      </c>
      <c r="C137" s="22" t="s">
        <v>150</v>
      </c>
      <c r="D137" s="23" t="s">
        <v>151</v>
      </c>
      <c r="E137" s="22" t="s">
        <v>61</v>
      </c>
      <c r="F137" s="22" t="s">
        <v>152</v>
      </c>
      <c r="G137" s="20" t="s">
        <v>153</v>
      </c>
      <c r="H137" s="22" t="s">
        <v>154</v>
      </c>
      <c r="I137" s="22" t="s">
        <v>563</v>
      </c>
      <c r="J137" s="22" t="s">
        <v>564</v>
      </c>
      <c r="N137" s="22" t="s">
        <v>565</v>
      </c>
      <c r="O137" s="22" t="s">
        <v>158</v>
      </c>
      <c r="P137" s="22">
        <v>10941</v>
      </c>
      <c r="Q137" s="21">
        <v>10</v>
      </c>
      <c r="R137" s="21">
        <v>1.9</v>
      </c>
      <c r="S137" s="21">
        <v>1.9</v>
      </c>
      <c r="T137" s="21" t="s">
        <v>160</v>
      </c>
      <c r="U137" s="21">
        <v>1</v>
      </c>
      <c r="V137" s="22">
        <v>1</v>
      </c>
      <c r="W137" s="24">
        <f t="shared" si="40"/>
        <v>65.327700000000007</v>
      </c>
      <c r="X137" s="25">
        <f t="shared" si="41"/>
        <v>28.3385</v>
      </c>
      <c r="Y137" s="21">
        <v>10</v>
      </c>
      <c r="Z137" s="24">
        <f t="shared" si="35"/>
        <v>653.27700000000004</v>
      </c>
      <c r="AA137" s="24">
        <f t="shared" si="36"/>
        <v>283.38499999999999</v>
      </c>
      <c r="AB137" s="21">
        <v>100</v>
      </c>
      <c r="AC137" s="21">
        <v>1.9</v>
      </c>
      <c r="AD137" s="21">
        <v>1.9</v>
      </c>
      <c r="AE137" s="21" t="s">
        <v>160</v>
      </c>
      <c r="AF137" s="21">
        <v>1</v>
      </c>
      <c r="AG137" s="22">
        <v>1</v>
      </c>
      <c r="AH137" s="24">
        <f t="shared" si="37"/>
        <v>602.26769999999999</v>
      </c>
      <c r="AI137" s="25">
        <f t="shared" si="38"/>
        <v>283.38499999999999</v>
      </c>
      <c r="AJ137" s="21">
        <v>283.5</v>
      </c>
      <c r="AK137" s="21">
        <v>100</v>
      </c>
      <c r="AL137" s="22" t="s">
        <v>161</v>
      </c>
      <c r="AM137" s="22">
        <v>0.22</v>
      </c>
      <c r="AN137" s="22" t="s">
        <v>388</v>
      </c>
      <c r="AO137" s="22" t="s">
        <v>388</v>
      </c>
      <c r="AP137" s="22" t="s">
        <v>162</v>
      </c>
      <c r="AQ137" s="22" t="str">
        <f t="shared" si="39"/>
        <v>Microphytoplankton</v>
      </c>
      <c r="AR137" s="22">
        <v>0</v>
      </c>
      <c r="AS137" s="22">
        <v>0</v>
      </c>
      <c r="AT137" s="22">
        <v>0</v>
      </c>
      <c r="AU137" s="22">
        <v>1</v>
      </c>
      <c r="AV137" s="22">
        <v>1</v>
      </c>
      <c r="AW137" s="22">
        <v>0</v>
      </c>
      <c r="AX137" s="22">
        <v>0</v>
      </c>
      <c r="AY137" s="22">
        <v>1</v>
      </c>
    </row>
    <row r="138" spans="1:57" ht="14">
      <c r="A138" s="21" t="s">
        <v>566</v>
      </c>
      <c r="B138" s="22" t="s">
        <v>149</v>
      </c>
      <c r="C138" s="22" t="s">
        <v>150</v>
      </c>
      <c r="D138" s="23" t="s">
        <v>151</v>
      </c>
      <c r="E138" s="22" t="s">
        <v>61</v>
      </c>
      <c r="F138" s="22" t="s">
        <v>152</v>
      </c>
      <c r="G138" s="20" t="s">
        <v>153</v>
      </c>
      <c r="H138" s="22" t="s">
        <v>154</v>
      </c>
      <c r="I138" s="22" t="s">
        <v>563</v>
      </c>
      <c r="J138" s="22" t="s">
        <v>567</v>
      </c>
      <c r="N138" s="22" t="s">
        <v>568</v>
      </c>
      <c r="O138" s="22" t="s">
        <v>158</v>
      </c>
      <c r="P138" s="22">
        <v>11111</v>
      </c>
      <c r="Q138" s="21">
        <v>7</v>
      </c>
      <c r="R138" s="21">
        <v>1.5</v>
      </c>
      <c r="S138" s="21">
        <v>1.5</v>
      </c>
      <c r="T138" s="21" t="s">
        <v>160</v>
      </c>
      <c r="U138" s="21">
        <v>1</v>
      </c>
      <c r="V138" s="22">
        <v>1</v>
      </c>
      <c r="W138" s="24">
        <f t="shared" si="40"/>
        <v>36.502499999999998</v>
      </c>
      <c r="X138" s="25">
        <f t="shared" si="41"/>
        <v>12.363750000000001</v>
      </c>
      <c r="Y138" s="21">
        <v>5</v>
      </c>
      <c r="Z138" s="24">
        <f t="shared" si="35"/>
        <v>182.51249999999999</v>
      </c>
      <c r="AA138" s="24">
        <f t="shared" si="36"/>
        <v>61.818750000000009</v>
      </c>
      <c r="AB138" s="21">
        <v>35</v>
      </c>
      <c r="AC138" s="21">
        <v>1.5</v>
      </c>
      <c r="AD138" s="21">
        <v>1.5</v>
      </c>
      <c r="AE138" s="21" t="s">
        <v>160</v>
      </c>
      <c r="AF138" s="21">
        <v>1</v>
      </c>
      <c r="AG138" s="22">
        <v>1</v>
      </c>
      <c r="AH138" s="24">
        <f t="shared" si="37"/>
        <v>168.38249999999999</v>
      </c>
      <c r="AI138" s="25">
        <f t="shared" si="38"/>
        <v>61.818750000000001</v>
      </c>
      <c r="AJ138" s="21">
        <v>61.9</v>
      </c>
      <c r="AK138" s="21">
        <v>35</v>
      </c>
      <c r="AL138" s="22" t="s">
        <v>161</v>
      </c>
      <c r="AM138" s="22">
        <v>0.22</v>
      </c>
      <c r="AN138" s="22" t="s">
        <v>388</v>
      </c>
      <c r="AO138" s="22" t="s">
        <v>388</v>
      </c>
      <c r="AP138" s="22" t="s">
        <v>162</v>
      </c>
      <c r="AQ138" s="22" t="str">
        <f t="shared" si="39"/>
        <v>Microphytoplankton</v>
      </c>
      <c r="AR138" s="22">
        <v>0</v>
      </c>
      <c r="AS138" s="22">
        <v>0</v>
      </c>
      <c r="AT138" s="22">
        <v>0</v>
      </c>
      <c r="AU138" s="22">
        <v>1</v>
      </c>
      <c r="AV138" s="22">
        <v>1</v>
      </c>
      <c r="AW138" s="22">
        <v>0</v>
      </c>
      <c r="AX138" s="22">
        <v>0</v>
      </c>
      <c r="AY138" s="22">
        <v>1</v>
      </c>
    </row>
    <row r="139" spans="1:57" ht="14">
      <c r="A139" s="30" t="s">
        <v>569</v>
      </c>
      <c r="B139" s="22" t="s">
        <v>149</v>
      </c>
      <c r="C139" s="22" t="s">
        <v>150</v>
      </c>
      <c r="D139" s="23" t="s">
        <v>151</v>
      </c>
      <c r="E139" s="22" t="s">
        <v>61</v>
      </c>
      <c r="F139" s="22" t="s">
        <v>152</v>
      </c>
      <c r="G139" s="20" t="s">
        <v>153</v>
      </c>
      <c r="H139" s="22" t="s">
        <v>154</v>
      </c>
      <c r="I139" s="22" t="s">
        <v>563</v>
      </c>
      <c r="J139" s="22" t="s">
        <v>570</v>
      </c>
      <c r="N139" s="22" t="s">
        <v>571</v>
      </c>
      <c r="O139" s="22" t="s">
        <v>158</v>
      </c>
      <c r="P139" s="22">
        <v>11112</v>
      </c>
      <c r="Q139" s="21">
        <v>7</v>
      </c>
      <c r="R139" s="21">
        <v>1.3</v>
      </c>
      <c r="S139" s="21">
        <v>1.3</v>
      </c>
      <c r="T139" s="21" t="s">
        <v>160</v>
      </c>
      <c r="U139" s="21">
        <v>1</v>
      </c>
      <c r="V139" s="22">
        <v>1</v>
      </c>
      <c r="W139" s="24">
        <f t="shared" si="40"/>
        <v>31.227300000000007</v>
      </c>
      <c r="X139" s="25">
        <f t="shared" si="41"/>
        <v>9.2865500000000001</v>
      </c>
      <c r="Y139" s="21">
        <v>14.3</v>
      </c>
      <c r="Z139" s="24">
        <f t="shared" si="35"/>
        <v>446.55039000000011</v>
      </c>
      <c r="AA139" s="24">
        <f t="shared" si="36"/>
        <v>132.79766499999999</v>
      </c>
      <c r="AB139" s="21">
        <v>100</v>
      </c>
      <c r="AC139" s="21">
        <v>1.3</v>
      </c>
      <c r="AD139" s="21">
        <v>1.3</v>
      </c>
      <c r="AE139" s="21" t="s">
        <v>160</v>
      </c>
      <c r="AF139" s="21">
        <v>1</v>
      </c>
      <c r="AG139" s="22">
        <v>1</v>
      </c>
      <c r="AH139" s="24">
        <f t="shared" si="37"/>
        <v>410.85330000000005</v>
      </c>
      <c r="AI139" s="25">
        <f t="shared" si="38"/>
        <v>132.66500000000002</v>
      </c>
      <c r="AJ139" s="21">
        <v>132.66499999999999</v>
      </c>
      <c r="AK139" s="21">
        <v>100</v>
      </c>
      <c r="AL139" s="22" t="s">
        <v>161</v>
      </c>
      <c r="AM139" s="22">
        <v>0.22</v>
      </c>
      <c r="AP139" s="22" t="s">
        <v>162</v>
      </c>
      <c r="AQ139" s="22" t="str">
        <f t="shared" si="39"/>
        <v>Microphytoplankton</v>
      </c>
      <c r="AR139" s="22">
        <v>0</v>
      </c>
      <c r="AS139" s="22">
        <v>0</v>
      </c>
      <c r="AT139" s="22">
        <v>0</v>
      </c>
      <c r="AU139" s="22">
        <v>1</v>
      </c>
      <c r="AV139" s="22">
        <v>1</v>
      </c>
      <c r="AW139" s="22">
        <v>0</v>
      </c>
      <c r="AX139" s="22">
        <v>0</v>
      </c>
      <c r="AY139" s="22">
        <v>1</v>
      </c>
    </row>
    <row r="140" spans="1:57" ht="14">
      <c r="A140" s="21" t="s">
        <v>572</v>
      </c>
      <c r="B140" s="22" t="s">
        <v>149</v>
      </c>
      <c r="C140" s="22" t="s">
        <v>150</v>
      </c>
      <c r="D140" s="23" t="s">
        <v>151</v>
      </c>
      <c r="E140" s="22" t="s">
        <v>61</v>
      </c>
      <c r="F140" s="22" t="s">
        <v>152</v>
      </c>
      <c r="G140" s="20" t="s">
        <v>153</v>
      </c>
      <c r="H140" s="22" t="s">
        <v>154</v>
      </c>
      <c r="I140" s="22" t="s">
        <v>563</v>
      </c>
      <c r="J140" s="22" t="s">
        <v>573</v>
      </c>
      <c r="N140" s="22" t="s">
        <v>574</v>
      </c>
      <c r="O140" s="22" t="s">
        <v>158</v>
      </c>
      <c r="P140" s="21">
        <v>11035</v>
      </c>
      <c r="Q140" s="21">
        <v>4</v>
      </c>
      <c r="R140" s="21">
        <v>1.6</v>
      </c>
      <c r="S140" s="21">
        <v>1.6</v>
      </c>
      <c r="T140" s="21" t="s">
        <v>160</v>
      </c>
      <c r="U140" s="21">
        <v>1</v>
      </c>
      <c r="V140" s="22">
        <v>1</v>
      </c>
      <c r="W140" s="24">
        <f t="shared" si="40"/>
        <v>24.115200000000005</v>
      </c>
      <c r="X140" s="25">
        <f t="shared" si="41"/>
        <v>8.0384000000000011</v>
      </c>
      <c r="Y140" s="21">
        <v>25</v>
      </c>
      <c r="Z140" s="24">
        <f t="shared" si="35"/>
        <v>602.88000000000011</v>
      </c>
      <c r="AA140" s="24">
        <f t="shared" si="36"/>
        <v>200.96000000000004</v>
      </c>
      <c r="AB140" s="21">
        <v>100</v>
      </c>
      <c r="AC140" s="21">
        <v>1.6</v>
      </c>
      <c r="AD140" s="21">
        <v>1.6</v>
      </c>
      <c r="AE140" s="21" t="s">
        <v>160</v>
      </c>
      <c r="AF140" s="21">
        <v>1</v>
      </c>
      <c r="AG140" s="22">
        <v>1</v>
      </c>
      <c r="AH140" s="24">
        <f t="shared" si="37"/>
        <v>506.4192000000001</v>
      </c>
      <c r="AI140" s="25">
        <f t="shared" si="38"/>
        <v>200.96000000000004</v>
      </c>
      <c r="AJ140" s="21">
        <v>201</v>
      </c>
      <c r="AK140" s="21">
        <v>100</v>
      </c>
      <c r="AL140" s="22" t="s">
        <v>161</v>
      </c>
      <c r="AM140" s="22">
        <v>0.22</v>
      </c>
      <c r="AN140" s="22" t="s">
        <v>388</v>
      </c>
      <c r="AO140" s="22" t="s">
        <v>383</v>
      </c>
      <c r="AP140" s="22" t="s">
        <v>162</v>
      </c>
      <c r="AQ140" s="22" t="str">
        <f t="shared" si="39"/>
        <v>Microphytoplankton</v>
      </c>
      <c r="AR140" s="22">
        <v>0</v>
      </c>
      <c r="AS140" s="22">
        <v>0</v>
      </c>
      <c r="AT140" s="22">
        <v>0</v>
      </c>
      <c r="AU140" s="22">
        <v>1</v>
      </c>
      <c r="AV140" s="22">
        <v>1</v>
      </c>
      <c r="AW140" s="22">
        <v>0</v>
      </c>
      <c r="AX140" s="22">
        <v>0</v>
      </c>
      <c r="AY140" s="22">
        <v>1</v>
      </c>
    </row>
    <row r="141" spans="1:57" ht="14">
      <c r="A141" s="21" t="s">
        <v>575</v>
      </c>
      <c r="B141" s="22" t="s">
        <v>149</v>
      </c>
      <c r="C141" s="22" t="s">
        <v>150</v>
      </c>
      <c r="D141" s="23" t="s">
        <v>151</v>
      </c>
      <c r="E141" s="22" t="s">
        <v>61</v>
      </c>
      <c r="F141" s="22" t="s">
        <v>152</v>
      </c>
      <c r="G141" s="20" t="s">
        <v>153</v>
      </c>
      <c r="H141" s="22" t="s">
        <v>154</v>
      </c>
      <c r="I141" s="22" t="s">
        <v>563</v>
      </c>
      <c r="J141" s="22" t="s">
        <v>573</v>
      </c>
      <c r="L141" s="22" t="s">
        <v>576</v>
      </c>
      <c r="N141" s="22" t="s">
        <v>577</v>
      </c>
      <c r="O141" s="22" t="s">
        <v>158</v>
      </c>
      <c r="P141" s="21">
        <v>11036</v>
      </c>
      <c r="Q141" s="21">
        <v>4</v>
      </c>
      <c r="R141" s="21">
        <v>1.6</v>
      </c>
      <c r="S141" s="21">
        <v>1.6</v>
      </c>
      <c r="T141" s="21" t="s">
        <v>160</v>
      </c>
      <c r="U141" s="21">
        <v>1</v>
      </c>
      <c r="V141" s="22">
        <v>1</v>
      </c>
      <c r="W141" s="24">
        <f t="shared" si="40"/>
        <v>24.115200000000005</v>
      </c>
      <c r="X141" s="25">
        <f t="shared" si="41"/>
        <v>8.0384000000000011</v>
      </c>
      <c r="Y141" s="21">
        <v>5</v>
      </c>
      <c r="Z141" s="24">
        <f t="shared" si="35"/>
        <v>120.57600000000002</v>
      </c>
      <c r="AA141" s="24">
        <f t="shared" si="36"/>
        <v>40.192000000000007</v>
      </c>
      <c r="AB141" s="21">
        <v>20</v>
      </c>
      <c r="AC141" s="21">
        <v>1.6</v>
      </c>
      <c r="AD141" s="21">
        <v>1.6</v>
      </c>
      <c r="AE141" s="21" t="s">
        <v>160</v>
      </c>
      <c r="AF141" s="21">
        <v>1</v>
      </c>
      <c r="AG141" s="22">
        <v>1</v>
      </c>
      <c r="AH141" s="24">
        <f t="shared" si="37"/>
        <v>104.49920000000002</v>
      </c>
      <c r="AI141" s="25">
        <f t="shared" si="38"/>
        <v>40.192000000000007</v>
      </c>
      <c r="AJ141" s="21">
        <v>40.192000000000007</v>
      </c>
      <c r="AK141" s="21">
        <v>20</v>
      </c>
      <c r="AL141" s="22" t="s">
        <v>161</v>
      </c>
      <c r="AM141" s="22">
        <v>0.22</v>
      </c>
      <c r="AO141" s="22" t="s">
        <v>388</v>
      </c>
      <c r="AP141" s="22" t="s">
        <v>162</v>
      </c>
      <c r="AQ141" s="22" t="str">
        <f t="shared" si="39"/>
        <v>Microphytoplankton</v>
      </c>
      <c r="AR141" s="22">
        <v>0</v>
      </c>
      <c r="AS141" s="22">
        <v>0</v>
      </c>
      <c r="AT141" s="22">
        <v>0</v>
      </c>
      <c r="AU141" s="22">
        <v>1</v>
      </c>
      <c r="AV141" s="22">
        <v>1</v>
      </c>
      <c r="AW141" s="22">
        <v>0</v>
      </c>
      <c r="AX141" s="22">
        <v>0</v>
      </c>
      <c r="AY141" s="22">
        <v>1</v>
      </c>
    </row>
    <row r="142" spans="1:57" ht="14">
      <c r="A142" s="21" t="s">
        <v>578</v>
      </c>
      <c r="B142" s="22" t="s">
        <v>149</v>
      </c>
      <c r="C142" s="22" t="s">
        <v>150</v>
      </c>
      <c r="D142" s="23" t="s">
        <v>151</v>
      </c>
      <c r="E142" s="22" t="s">
        <v>61</v>
      </c>
      <c r="F142" s="22" t="s">
        <v>152</v>
      </c>
      <c r="G142" s="20" t="s">
        <v>153</v>
      </c>
      <c r="H142" s="22" t="s">
        <v>154</v>
      </c>
      <c r="I142" s="22" t="s">
        <v>563</v>
      </c>
      <c r="J142" s="22" t="s">
        <v>185</v>
      </c>
      <c r="L142" s="22" t="s">
        <v>513</v>
      </c>
      <c r="N142" s="22" t="s">
        <v>579</v>
      </c>
      <c r="O142" s="22" t="s">
        <v>158</v>
      </c>
      <c r="P142" s="22">
        <v>11045</v>
      </c>
      <c r="Q142" s="21">
        <v>5</v>
      </c>
      <c r="R142" s="21">
        <v>1.3</v>
      </c>
      <c r="S142" s="21">
        <v>2</v>
      </c>
      <c r="T142" s="21" t="s">
        <v>160</v>
      </c>
      <c r="U142" s="21">
        <v>1</v>
      </c>
      <c r="V142" s="22">
        <v>1</v>
      </c>
      <c r="W142" s="24">
        <f t="shared" si="40"/>
        <v>26.690000000000005</v>
      </c>
      <c r="X142" s="25">
        <f t="shared" si="41"/>
        <v>6.6332500000000003</v>
      </c>
      <c r="Y142" s="21">
        <v>20</v>
      </c>
      <c r="Z142" s="24">
        <f t="shared" si="35"/>
        <v>533.80000000000007</v>
      </c>
      <c r="AA142" s="24">
        <f t="shared" si="36"/>
        <v>132.66500000000002</v>
      </c>
      <c r="AB142" s="21">
        <v>100</v>
      </c>
      <c r="AC142" s="21">
        <v>1.3</v>
      </c>
      <c r="AD142" s="21">
        <v>2</v>
      </c>
      <c r="AE142" s="21" t="s">
        <v>160</v>
      </c>
      <c r="AF142" s="21">
        <v>1</v>
      </c>
      <c r="AG142" s="22">
        <v>1</v>
      </c>
      <c r="AH142" s="24">
        <f t="shared" si="37"/>
        <v>414.48</v>
      </c>
      <c r="AI142" s="25">
        <f t="shared" si="38"/>
        <v>132.66500000000002</v>
      </c>
      <c r="AJ142" s="21">
        <v>260</v>
      </c>
      <c r="AK142" s="21">
        <v>100</v>
      </c>
      <c r="AL142" s="22" t="s">
        <v>161</v>
      </c>
      <c r="AM142" s="22">
        <v>0.22</v>
      </c>
      <c r="AN142" s="22" t="s">
        <v>388</v>
      </c>
      <c r="AO142" s="22" t="s">
        <v>388</v>
      </c>
      <c r="AP142" s="22" t="s">
        <v>162</v>
      </c>
      <c r="AQ142" s="22" t="str">
        <f t="shared" si="39"/>
        <v>Microphytoplankton</v>
      </c>
      <c r="AR142" s="22">
        <v>0</v>
      </c>
      <c r="AS142" s="22">
        <v>0</v>
      </c>
      <c r="AT142" s="22">
        <v>0</v>
      </c>
      <c r="AU142" s="22">
        <v>1</v>
      </c>
      <c r="AV142" s="22">
        <v>1</v>
      </c>
      <c r="AW142" s="22">
        <v>0</v>
      </c>
      <c r="AX142" s="22">
        <v>0</v>
      </c>
      <c r="AY142" s="22">
        <v>1</v>
      </c>
    </row>
    <row r="143" spans="1:57" ht="14">
      <c r="A143" s="21" t="s">
        <v>580</v>
      </c>
      <c r="B143" s="22" t="s">
        <v>149</v>
      </c>
      <c r="C143" s="22" t="s">
        <v>150</v>
      </c>
      <c r="D143" s="23" t="s">
        <v>151</v>
      </c>
      <c r="E143" s="22" t="s">
        <v>61</v>
      </c>
      <c r="F143" s="22" t="s">
        <v>152</v>
      </c>
      <c r="G143" s="20" t="s">
        <v>153</v>
      </c>
      <c r="H143" s="22" t="s">
        <v>154</v>
      </c>
      <c r="I143" s="22" t="s">
        <v>563</v>
      </c>
      <c r="J143" s="22" t="s">
        <v>581</v>
      </c>
      <c r="N143" s="22" t="s">
        <v>582</v>
      </c>
      <c r="O143" s="22" t="s">
        <v>158</v>
      </c>
      <c r="P143" s="21">
        <v>11010</v>
      </c>
      <c r="Q143" s="21">
        <v>4</v>
      </c>
      <c r="R143" s="21">
        <v>1.9</v>
      </c>
      <c r="S143" s="21">
        <v>1.9</v>
      </c>
      <c r="T143" s="21" t="s">
        <v>160</v>
      </c>
      <c r="U143" s="21">
        <v>1</v>
      </c>
      <c r="V143" s="22">
        <v>1</v>
      </c>
      <c r="W143" s="24">
        <f t="shared" si="40"/>
        <v>29.531700000000001</v>
      </c>
      <c r="X143" s="25">
        <f t="shared" si="41"/>
        <v>11.3354</v>
      </c>
      <c r="Y143" s="21">
        <v>25</v>
      </c>
      <c r="Z143" s="24">
        <f t="shared" si="35"/>
        <v>738.29250000000002</v>
      </c>
      <c r="AA143" s="24">
        <f t="shared" si="36"/>
        <v>283.38499999999999</v>
      </c>
      <c r="AB143" s="21">
        <v>100</v>
      </c>
      <c r="AC143" s="21">
        <v>1.9</v>
      </c>
      <c r="AD143" s="21">
        <v>1.9</v>
      </c>
      <c r="AE143" s="21" t="s">
        <v>160</v>
      </c>
      <c r="AF143" s="21">
        <v>1</v>
      </c>
      <c r="AG143" s="22">
        <v>1</v>
      </c>
      <c r="AH143" s="24">
        <f t="shared" si="37"/>
        <v>602.26769999999999</v>
      </c>
      <c r="AI143" s="25">
        <f t="shared" si="38"/>
        <v>283.38499999999999</v>
      </c>
      <c r="AJ143" s="21">
        <v>283.5</v>
      </c>
      <c r="AK143" s="21">
        <v>100</v>
      </c>
      <c r="AL143" s="22" t="s">
        <v>161</v>
      </c>
      <c r="AM143" s="22">
        <v>0.22</v>
      </c>
      <c r="AN143" s="22" t="s">
        <v>388</v>
      </c>
      <c r="AO143" s="22" t="s">
        <v>383</v>
      </c>
      <c r="AP143" s="22" t="s">
        <v>162</v>
      </c>
      <c r="AQ143" s="22" t="str">
        <f t="shared" si="39"/>
        <v>Microphytoplankton</v>
      </c>
      <c r="AR143" s="22">
        <v>0</v>
      </c>
      <c r="AS143" s="22">
        <v>0</v>
      </c>
      <c r="AT143" s="22">
        <v>0</v>
      </c>
      <c r="AU143" s="22">
        <v>1</v>
      </c>
      <c r="AV143" s="22">
        <v>1</v>
      </c>
      <c r="AW143" s="22">
        <v>0</v>
      </c>
      <c r="AX143" s="22">
        <v>0</v>
      </c>
      <c r="AY143" s="22">
        <v>1</v>
      </c>
    </row>
    <row r="144" spans="1:57" ht="14">
      <c r="A144" s="21" t="s">
        <v>583</v>
      </c>
      <c r="B144" s="22" t="s">
        <v>149</v>
      </c>
      <c r="C144" s="22" t="s">
        <v>150</v>
      </c>
      <c r="D144" s="23" t="s">
        <v>151</v>
      </c>
      <c r="E144" s="22" t="s">
        <v>61</v>
      </c>
      <c r="F144" s="22" t="s">
        <v>152</v>
      </c>
      <c r="G144" s="20" t="s">
        <v>153</v>
      </c>
      <c r="H144" s="22" t="s">
        <v>154</v>
      </c>
      <c r="I144" s="22" t="s">
        <v>563</v>
      </c>
      <c r="J144" s="22" t="s">
        <v>528</v>
      </c>
      <c r="N144" s="22" t="s">
        <v>584</v>
      </c>
      <c r="O144" s="22" t="s">
        <v>158</v>
      </c>
      <c r="P144" s="21">
        <v>10940</v>
      </c>
      <c r="Q144" s="21">
        <v>7</v>
      </c>
      <c r="R144" s="21">
        <v>1.9</v>
      </c>
      <c r="S144" s="21">
        <v>1.9</v>
      </c>
      <c r="T144" s="21" t="s">
        <v>160</v>
      </c>
      <c r="U144" s="21">
        <v>1</v>
      </c>
      <c r="V144" s="22">
        <v>1</v>
      </c>
      <c r="W144" s="24">
        <f t="shared" si="40"/>
        <v>47.429699999999997</v>
      </c>
      <c r="X144" s="25">
        <f t="shared" si="41"/>
        <v>19.836950000000002</v>
      </c>
      <c r="Y144" s="21">
        <v>14.3</v>
      </c>
      <c r="Z144" s="24">
        <f t="shared" si="35"/>
        <v>678.24470999999994</v>
      </c>
      <c r="AA144" s="24">
        <f t="shared" si="36"/>
        <v>283.66838500000006</v>
      </c>
      <c r="AB144" s="21">
        <v>100</v>
      </c>
      <c r="AC144" s="21">
        <v>1.9</v>
      </c>
      <c r="AD144" s="21">
        <v>1.9</v>
      </c>
      <c r="AE144" s="21" t="s">
        <v>160</v>
      </c>
      <c r="AF144" s="21">
        <v>1</v>
      </c>
      <c r="AG144" s="22">
        <v>1</v>
      </c>
      <c r="AH144" s="24">
        <f t="shared" si="37"/>
        <v>602.26769999999999</v>
      </c>
      <c r="AI144" s="25">
        <f t="shared" si="38"/>
        <v>283.38499999999999</v>
      </c>
      <c r="AJ144" s="21">
        <v>283.5</v>
      </c>
      <c r="AK144" s="21">
        <v>100</v>
      </c>
      <c r="AL144" s="22" t="s">
        <v>161</v>
      </c>
      <c r="AM144" s="22">
        <v>0.22</v>
      </c>
      <c r="AN144" s="22" t="s">
        <v>388</v>
      </c>
      <c r="AO144" s="22" t="s">
        <v>388</v>
      </c>
      <c r="AP144" s="22" t="s">
        <v>162</v>
      </c>
      <c r="AQ144" s="22" t="str">
        <f t="shared" si="39"/>
        <v>Microphytoplankton</v>
      </c>
      <c r="AR144" s="22">
        <v>0</v>
      </c>
      <c r="AS144" s="22">
        <v>0</v>
      </c>
      <c r="AT144" s="22">
        <v>0</v>
      </c>
      <c r="AU144" s="22">
        <v>1</v>
      </c>
      <c r="AV144" s="22">
        <v>1</v>
      </c>
      <c r="AW144" s="22">
        <v>0</v>
      </c>
      <c r="AX144" s="22">
        <v>0</v>
      </c>
      <c r="AY144" s="22">
        <v>1</v>
      </c>
    </row>
    <row r="145" spans="1:51" ht="14">
      <c r="A145" s="21" t="s">
        <v>585</v>
      </c>
      <c r="B145" s="22" t="s">
        <v>149</v>
      </c>
      <c r="C145" s="22" t="s">
        <v>150</v>
      </c>
      <c r="D145" s="23" t="s">
        <v>151</v>
      </c>
      <c r="E145" s="22" t="s">
        <v>61</v>
      </c>
      <c r="F145" s="22" t="s">
        <v>152</v>
      </c>
      <c r="G145" s="20" t="s">
        <v>153</v>
      </c>
      <c r="H145" s="22" t="s">
        <v>154</v>
      </c>
      <c r="I145" s="22" t="s">
        <v>563</v>
      </c>
      <c r="J145" s="22" t="s">
        <v>586</v>
      </c>
      <c r="N145" s="22" t="s">
        <v>157</v>
      </c>
      <c r="O145" s="22" t="s">
        <v>158</v>
      </c>
      <c r="P145" s="21">
        <v>11020</v>
      </c>
      <c r="Q145" s="21">
        <v>2.8</v>
      </c>
      <c r="R145" s="21">
        <v>2.8</v>
      </c>
      <c r="S145" s="21">
        <v>2.8</v>
      </c>
      <c r="T145" s="21" t="s">
        <v>160</v>
      </c>
      <c r="U145" s="21">
        <v>1</v>
      </c>
      <c r="V145" s="22">
        <v>1</v>
      </c>
      <c r="W145" s="24">
        <f t="shared" si="40"/>
        <v>36.926400000000001</v>
      </c>
      <c r="X145" s="25">
        <f t="shared" si="41"/>
        <v>17.232319999999998</v>
      </c>
      <c r="Y145" s="21">
        <v>35.700000000000003</v>
      </c>
      <c r="Z145" s="24">
        <f t="shared" si="35"/>
        <v>1318.2724800000001</v>
      </c>
      <c r="AA145" s="24">
        <f t="shared" si="36"/>
        <v>615.19382399999995</v>
      </c>
      <c r="AB145" s="21">
        <v>100</v>
      </c>
      <c r="AC145" s="21">
        <v>2.8</v>
      </c>
      <c r="AD145" s="21">
        <v>2.8</v>
      </c>
      <c r="AE145" s="21" t="s">
        <v>160</v>
      </c>
      <c r="AF145" s="21">
        <v>0.8</v>
      </c>
      <c r="AG145" s="22">
        <v>1</v>
      </c>
      <c r="AH145" s="24">
        <f t="shared" si="37"/>
        <v>891.50879999999995</v>
      </c>
      <c r="AI145" s="25">
        <f t="shared" si="38"/>
        <v>492.35199999999998</v>
      </c>
      <c r="AJ145" s="21">
        <v>492.6</v>
      </c>
      <c r="AK145" s="21">
        <v>100</v>
      </c>
      <c r="AL145" s="22" t="s">
        <v>161</v>
      </c>
      <c r="AM145" s="22">
        <v>0.22</v>
      </c>
      <c r="AN145" s="22" t="s">
        <v>388</v>
      </c>
      <c r="AO145" s="22" t="s">
        <v>388</v>
      </c>
      <c r="AP145" s="22" t="s">
        <v>162</v>
      </c>
      <c r="AQ145" s="22" t="str">
        <f t="shared" si="39"/>
        <v>Microphytoplankton</v>
      </c>
      <c r="AR145" s="22">
        <v>0</v>
      </c>
      <c r="AS145" s="22">
        <v>0</v>
      </c>
      <c r="AT145" s="22">
        <v>0</v>
      </c>
      <c r="AU145" s="22">
        <v>1</v>
      </c>
      <c r="AV145" s="22">
        <v>1</v>
      </c>
      <c r="AW145" s="22">
        <v>0</v>
      </c>
      <c r="AX145" s="22">
        <v>0</v>
      </c>
      <c r="AY145" s="22">
        <v>1</v>
      </c>
    </row>
    <row r="146" spans="1:51" ht="14">
      <c r="A146" s="21" t="s">
        <v>587</v>
      </c>
      <c r="B146" s="22" t="s">
        <v>149</v>
      </c>
      <c r="C146" s="22" t="s">
        <v>150</v>
      </c>
      <c r="D146" s="23" t="s">
        <v>151</v>
      </c>
      <c r="E146" s="22" t="s">
        <v>61</v>
      </c>
      <c r="F146" s="22" t="s">
        <v>152</v>
      </c>
      <c r="G146" s="20" t="s">
        <v>153</v>
      </c>
      <c r="H146" s="22" t="s">
        <v>154</v>
      </c>
      <c r="I146" s="22" t="s">
        <v>563</v>
      </c>
      <c r="J146" s="22" t="s">
        <v>588</v>
      </c>
      <c r="N146" s="22" t="s">
        <v>589</v>
      </c>
      <c r="O146" s="22" t="s">
        <v>158</v>
      </c>
      <c r="P146" s="21">
        <v>11110</v>
      </c>
      <c r="Q146" s="21">
        <v>3</v>
      </c>
      <c r="R146" s="21">
        <v>2</v>
      </c>
      <c r="S146" s="21">
        <v>2</v>
      </c>
      <c r="T146" s="21" t="s">
        <v>160</v>
      </c>
      <c r="U146" s="21">
        <v>1</v>
      </c>
      <c r="V146" s="22">
        <v>1</v>
      </c>
      <c r="W146" s="24">
        <f t="shared" si="40"/>
        <v>25.12</v>
      </c>
      <c r="X146" s="25">
        <f t="shared" si="41"/>
        <v>9.42</v>
      </c>
      <c r="Y146" s="21">
        <v>11.7</v>
      </c>
      <c r="Z146" s="24">
        <f t="shared" si="35"/>
        <v>293.904</v>
      </c>
      <c r="AA146" s="24">
        <f t="shared" si="36"/>
        <v>110.214</v>
      </c>
      <c r="AB146" s="21">
        <v>35</v>
      </c>
      <c r="AC146" s="21">
        <v>2</v>
      </c>
      <c r="AD146" s="21">
        <v>2</v>
      </c>
      <c r="AE146" s="21" t="s">
        <v>160</v>
      </c>
      <c r="AF146" s="21">
        <v>1</v>
      </c>
      <c r="AG146" s="22">
        <v>1</v>
      </c>
      <c r="AH146" s="24">
        <f t="shared" si="37"/>
        <v>226.08</v>
      </c>
      <c r="AI146" s="25">
        <f t="shared" si="38"/>
        <v>109.9</v>
      </c>
      <c r="AJ146" s="21">
        <v>110</v>
      </c>
      <c r="AK146" s="21">
        <v>35</v>
      </c>
      <c r="AL146" s="22" t="s">
        <v>161</v>
      </c>
      <c r="AM146" s="22">
        <v>0.22</v>
      </c>
      <c r="AN146" s="22" t="s">
        <v>388</v>
      </c>
      <c r="AO146" s="22" t="s">
        <v>388</v>
      </c>
      <c r="AP146" s="22" t="s">
        <v>162</v>
      </c>
      <c r="AQ146" s="22" t="str">
        <f t="shared" si="39"/>
        <v>Microphytoplankton</v>
      </c>
      <c r="AR146" s="22">
        <v>0</v>
      </c>
      <c r="AS146" s="22">
        <v>0</v>
      </c>
      <c r="AT146" s="22">
        <v>0</v>
      </c>
      <c r="AU146" s="22">
        <v>1</v>
      </c>
      <c r="AV146" s="22">
        <v>1</v>
      </c>
      <c r="AW146" s="22">
        <v>0</v>
      </c>
      <c r="AX146" s="22">
        <v>0</v>
      </c>
      <c r="AY146" s="22">
        <v>1</v>
      </c>
    </row>
    <row r="147" spans="1:51" ht="14">
      <c r="A147" s="21" t="s">
        <v>590</v>
      </c>
      <c r="B147" s="22" t="s">
        <v>149</v>
      </c>
      <c r="C147" s="22" t="s">
        <v>150</v>
      </c>
      <c r="D147" s="23" t="s">
        <v>151</v>
      </c>
      <c r="E147" s="22" t="s">
        <v>61</v>
      </c>
      <c r="F147" s="22" t="s">
        <v>152</v>
      </c>
      <c r="G147" s="20" t="s">
        <v>153</v>
      </c>
      <c r="H147" s="22" t="s">
        <v>154</v>
      </c>
      <c r="I147" s="22" t="s">
        <v>563</v>
      </c>
      <c r="J147" s="22" t="s">
        <v>211</v>
      </c>
      <c r="M147" s="22" t="s">
        <v>1</v>
      </c>
      <c r="N147" s="22" t="s">
        <v>574</v>
      </c>
      <c r="O147" s="22" t="s">
        <v>158</v>
      </c>
      <c r="P147" s="21">
        <v>11000</v>
      </c>
      <c r="Q147" s="21">
        <v>3</v>
      </c>
      <c r="R147" s="21">
        <v>2</v>
      </c>
      <c r="S147" s="21">
        <v>2</v>
      </c>
      <c r="T147" s="21" t="s">
        <v>160</v>
      </c>
      <c r="U147" s="21">
        <v>1</v>
      </c>
      <c r="V147" s="22">
        <v>1</v>
      </c>
      <c r="W147" s="24">
        <f t="shared" si="40"/>
        <v>25.12</v>
      </c>
      <c r="X147" s="25">
        <f t="shared" si="41"/>
        <v>9.42</v>
      </c>
      <c r="Y147" s="21">
        <v>33.299999999999997</v>
      </c>
      <c r="Z147" s="24">
        <f t="shared" si="35"/>
        <v>836.49599999999998</v>
      </c>
      <c r="AA147" s="24">
        <f t="shared" si="36"/>
        <v>313.68599999999998</v>
      </c>
      <c r="AB147" s="21">
        <v>100</v>
      </c>
      <c r="AC147" s="21">
        <v>2</v>
      </c>
      <c r="AD147" s="21">
        <v>2</v>
      </c>
      <c r="AE147" s="21" t="s">
        <v>160</v>
      </c>
      <c r="AF147" s="21">
        <v>1</v>
      </c>
      <c r="AG147" s="22">
        <v>1</v>
      </c>
      <c r="AH147" s="24">
        <f t="shared" si="37"/>
        <v>634.28</v>
      </c>
      <c r="AI147" s="25">
        <f t="shared" si="38"/>
        <v>314</v>
      </c>
      <c r="AJ147" s="21">
        <v>314.2</v>
      </c>
      <c r="AK147" s="21">
        <v>100</v>
      </c>
      <c r="AL147" s="22" t="s">
        <v>161</v>
      </c>
      <c r="AM147" s="22">
        <v>0.22</v>
      </c>
      <c r="AN147" s="22" t="s">
        <v>388</v>
      </c>
      <c r="AO147" s="22" t="s">
        <v>388</v>
      </c>
      <c r="AP147" s="22" t="s">
        <v>162</v>
      </c>
      <c r="AQ147" s="22" t="str">
        <f t="shared" si="39"/>
        <v>Microphytoplankton</v>
      </c>
      <c r="AR147" s="22">
        <v>0</v>
      </c>
      <c r="AS147" s="22">
        <v>0</v>
      </c>
      <c r="AT147" s="22">
        <v>0</v>
      </c>
      <c r="AU147" s="22">
        <v>1</v>
      </c>
      <c r="AV147" s="22">
        <v>1</v>
      </c>
      <c r="AW147" s="22">
        <v>0</v>
      </c>
      <c r="AX147" s="22">
        <v>0</v>
      </c>
      <c r="AY147" s="22">
        <v>1</v>
      </c>
    </row>
    <row r="148" spans="1:51">
      <c r="A148" s="21" t="s">
        <v>591</v>
      </c>
      <c r="B148" s="22" t="s">
        <v>149</v>
      </c>
      <c r="C148" s="22" t="s">
        <v>150</v>
      </c>
      <c r="D148" s="23" t="s">
        <v>151</v>
      </c>
      <c r="E148" s="22" t="s">
        <v>61</v>
      </c>
      <c r="F148" s="22" t="s">
        <v>152</v>
      </c>
      <c r="G148" s="22" t="s">
        <v>60</v>
      </c>
      <c r="H148" s="22" t="s">
        <v>293</v>
      </c>
      <c r="I148" s="22" t="s">
        <v>41</v>
      </c>
      <c r="J148" s="22" t="s">
        <v>592</v>
      </c>
      <c r="N148" s="22" t="s">
        <v>441</v>
      </c>
      <c r="O148" s="22" t="s">
        <v>158</v>
      </c>
      <c r="P148" s="21">
        <v>11411</v>
      </c>
      <c r="Q148" s="21">
        <v>2.5</v>
      </c>
      <c r="R148" s="21">
        <v>2.5</v>
      </c>
      <c r="S148" s="21">
        <v>2.5</v>
      </c>
      <c r="T148" s="21" t="s">
        <v>281</v>
      </c>
      <c r="U148" s="21">
        <v>1</v>
      </c>
      <c r="V148" s="21">
        <v>1</v>
      </c>
      <c r="W148" s="24">
        <f>(4*3.14*(((Q148^1.6*R148^1.6+Q148^1.6*S148^1.6+R148^1.6+S148^1.6)/3)^(1/1.6)))*(1/V148)</f>
        <v>69.372421357191953</v>
      </c>
      <c r="X148" s="24">
        <f>3.14/6*Q148*R148*S148*U148</f>
        <v>8.1770833333333339</v>
      </c>
      <c r="Y148" s="21">
        <v>20</v>
      </c>
      <c r="Z148" s="24">
        <f t="shared" si="35"/>
        <v>1387.4484271438391</v>
      </c>
      <c r="AA148" s="24">
        <f t="shared" si="36"/>
        <v>163.54166666666669</v>
      </c>
      <c r="AB148" s="21">
        <v>30</v>
      </c>
      <c r="AC148" s="21">
        <v>30</v>
      </c>
      <c r="AD148" s="21">
        <v>30</v>
      </c>
      <c r="AE148" s="21" t="s">
        <v>281</v>
      </c>
      <c r="AF148" s="21">
        <v>0.1</v>
      </c>
      <c r="AG148" s="21">
        <v>1</v>
      </c>
      <c r="AH148" s="24">
        <f>(4*3.14*(((AB148^1.6*AC148^1.6+AB148^1.6*AD148^1.6+AC148^1.6+AD148^1.6)/3)^(1/1.6)))*(1/AG148)</f>
        <v>8797.275695246879</v>
      </c>
      <c r="AI148" s="24">
        <f>3.14/6*AB148*AC148*AD148*AF148</f>
        <v>1413</v>
      </c>
      <c r="AJ148" s="21">
        <v>5484.2062500000002</v>
      </c>
      <c r="AK148" s="21">
        <v>30</v>
      </c>
      <c r="AL148" s="22" t="s">
        <v>161</v>
      </c>
      <c r="AM148" s="22">
        <v>0.22</v>
      </c>
      <c r="AP148" s="22" t="s">
        <v>230</v>
      </c>
      <c r="AQ148" s="22" t="str">
        <f t="shared" si="39"/>
        <v>Microphytoplankton</v>
      </c>
      <c r="AR148" s="22">
        <v>0</v>
      </c>
      <c r="AS148" s="22">
        <v>0</v>
      </c>
      <c r="AT148" s="22">
        <v>0</v>
      </c>
      <c r="AU148" s="22">
        <v>1</v>
      </c>
      <c r="AV148" s="22">
        <v>0</v>
      </c>
      <c r="AW148" s="22">
        <v>0</v>
      </c>
      <c r="AX148" s="22">
        <v>0</v>
      </c>
      <c r="AY148" s="22">
        <v>1</v>
      </c>
    </row>
    <row r="149" spans="1:51">
      <c r="A149" s="21" t="s">
        <v>593</v>
      </c>
      <c r="B149" s="22" t="s">
        <v>149</v>
      </c>
      <c r="C149" s="22" t="s">
        <v>150</v>
      </c>
      <c r="D149" s="23" t="s">
        <v>151</v>
      </c>
      <c r="E149" s="22" t="s">
        <v>61</v>
      </c>
      <c r="F149" s="22" t="s">
        <v>152</v>
      </c>
      <c r="G149" s="22" t="s">
        <v>60</v>
      </c>
      <c r="H149" s="22" t="s">
        <v>293</v>
      </c>
      <c r="I149" s="22" t="s">
        <v>41</v>
      </c>
      <c r="J149" s="22" t="s">
        <v>594</v>
      </c>
      <c r="N149" s="22" t="s">
        <v>157</v>
      </c>
      <c r="O149" s="22" t="s">
        <v>158</v>
      </c>
      <c r="P149" s="21">
        <v>11410</v>
      </c>
      <c r="Q149" s="21">
        <v>4.5</v>
      </c>
      <c r="R149" s="21">
        <v>2.5</v>
      </c>
      <c r="S149" s="21">
        <v>2.5</v>
      </c>
      <c r="T149" s="21" t="s">
        <v>281</v>
      </c>
      <c r="U149" s="21">
        <v>1</v>
      </c>
      <c r="V149" s="21">
        <v>1</v>
      </c>
      <c r="W149" s="24">
        <f>(4*3.14*(((Q149^1.6*R149^1.6+Q149^1.6*S149^1.6+R149^1.6+S149^1.6)/3)^(1/1.6)))*(1/V149)</f>
        <v>115.74668769134369</v>
      </c>
      <c r="X149" s="24">
        <f>3.14/6*Q149*R149*S149*U149</f>
        <v>14.71875</v>
      </c>
      <c r="Y149" s="21">
        <v>115</v>
      </c>
      <c r="Z149" s="24">
        <f t="shared" si="35"/>
        <v>13310.869084504526</v>
      </c>
      <c r="AA149" s="24">
        <f t="shared" si="36"/>
        <v>1692.65625</v>
      </c>
      <c r="AB149" s="21">
        <v>30</v>
      </c>
      <c r="AC149" s="21">
        <v>30</v>
      </c>
      <c r="AD149" s="21">
        <v>30</v>
      </c>
      <c r="AE149" s="21" t="s">
        <v>281</v>
      </c>
      <c r="AF149" s="21">
        <v>0.1</v>
      </c>
      <c r="AG149" s="21">
        <v>1</v>
      </c>
      <c r="AH149" s="24">
        <f>(4*3.14*(((AB149^1.6*AC149^1.6+AB149^1.6*AD149^1.6+AC149^1.6+AD149^1.6)/3)^(1/1.6)))*(1/AG149)</f>
        <v>8797.275695246879</v>
      </c>
      <c r="AI149" s="24">
        <f>3.14/6*AB149*AC149*AD149*AF149</f>
        <v>1413</v>
      </c>
      <c r="AJ149" s="21">
        <v>5484.2062500000002</v>
      </c>
      <c r="AK149" s="21">
        <v>30</v>
      </c>
      <c r="AL149" s="22" t="s">
        <v>161</v>
      </c>
      <c r="AM149" s="22">
        <v>0.22</v>
      </c>
      <c r="AP149" s="22" t="s">
        <v>230</v>
      </c>
      <c r="AQ149" s="22" t="str">
        <f t="shared" si="39"/>
        <v>Microphytoplankton</v>
      </c>
      <c r="AR149" s="22">
        <v>0</v>
      </c>
      <c r="AS149" s="22">
        <v>0</v>
      </c>
      <c r="AT149" s="22">
        <v>0</v>
      </c>
      <c r="AU149" s="22">
        <v>1</v>
      </c>
      <c r="AV149" s="22">
        <v>0</v>
      </c>
      <c r="AW149" s="22">
        <v>0</v>
      </c>
      <c r="AX149" s="22">
        <v>0</v>
      </c>
      <c r="AY149" s="22">
        <v>1</v>
      </c>
    </row>
    <row r="150" spans="1:51">
      <c r="A150" s="21" t="s">
        <v>595</v>
      </c>
      <c r="B150" s="22" t="s">
        <v>149</v>
      </c>
      <c r="C150" s="22" t="s">
        <v>150</v>
      </c>
      <c r="D150" s="23" t="s">
        <v>151</v>
      </c>
      <c r="E150" s="22" t="s">
        <v>61</v>
      </c>
      <c r="F150" s="22" t="s">
        <v>152</v>
      </c>
      <c r="G150" s="22" t="s">
        <v>60</v>
      </c>
      <c r="H150" s="22" t="s">
        <v>293</v>
      </c>
      <c r="I150" s="22" t="s">
        <v>596</v>
      </c>
      <c r="J150" s="22" t="s">
        <v>597</v>
      </c>
      <c r="N150" s="22" t="s">
        <v>598</v>
      </c>
      <c r="O150" s="22" t="s">
        <v>158</v>
      </c>
      <c r="P150" s="21">
        <v>11322</v>
      </c>
      <c r="Q150" s="21">
        <v>2.5</v>
      </c>
      <c r="R150" s="21">
        <v>2.25</v>
      </c>
      <c r="S150" s="21">
        <v>2.25</v>
      </c>
      <c r="T150" s="21" t="s">
        <v>159</v>
      </c>
      <c r="U150" s="21">
        <v>1</v>
      </c>
      <c r="V150" s="22">
        <v>1</v>
      </c>
      <c r="W150" s="24">
        <f>(4*3.14*(((Q150^1.6*R150^1.6+Q150^1.6*S150^1.6+R150^1.6+S150^1.6)/3)^(1/1.6)))*(1/V150)</f>
        <v>62.435179221472758</v>
      </c>
      <c r="X150" s="24">
        <f>3.14/6*Q150*R150*S150*U150</f>
        <v>6.6234375000000005</v>
      </c>
      <c r="Y150" s="21">
        <v>1</v>
      </c>
      <c r="Z150" s="24">
        <f t="shared" si="35"/>
        <v>62.435179221472758</v>
      </c>
      <c r="AA150" s="24">
        <f t="shared" si="36"/>
        <v>6.6234375000000005</v>
      </c>
      <c r="AB150" s="21"/>
      <c r="AC150" s="21"/>
      <c r="AD150" s="21"/>
      <c r="AE150" s="21"/>
      <c r="AF150" s="21" t="s">
        <v>247</v>
      </c>
      <c r="AG150" s="21"/>
      <c r="AH150" s="24"/>
      <c r="AI150" s="24"/>
      <c r="AJ150" s="21">
        <v>6.6234375000000005</v>
      </c>
      <c r="AK150" s="21">
        <v>2.5</v>
      </c>
      <c r="AL150" s="22" t="s">
        <v>599</v>
      </c>
      <c r="AM150" s="22">
        <v>0.22</v>
      </c>
      <c r="AP150" s="22" t="s">
        <v>230</v>
      </c>
      <c r="AQ150" s="22" t="str">
        <f t="shared" si="39"/>
        <v>Nanophytoplankton</v>
      </c>
      <c r="AR150" s="22">
        <v>0</v>
      </c>
      <c r="AS150" s="22">
        <v>0</v>
      </c>
      <c r="AT150" s="22">
        <v>0</v>
      </c>
      <c r="AU150" s="22">
        <v>1</v>
      </c>
      <c r="AV150" s="22">
        <v>0</v>
      </c>
      <c r="AW150" s="22">
        <v>0</v>
      </c>
      <c r="AX150" s="22">
        <v>0</v>
      </c>
      <c r="AY150" s="22">
        <v>1</v>
      </c>
    </row>
    <row r="151" spans="1:51">
      <c r="A151" s="21" t="s">
        <v>600</v>
      </c>
      <c r="B151" s="22" t="s">
        <v>149</v>
      </c>
      <c r="C151" s="22" t="s">
        <v>150</v>
      </c>
      <c r="D151" s="23" t="s">
        <v>151</v>
      </c>
      <c r="E151" s="22" t="s">
        <v>61</v>
      </c>
      <c r="F151" s="22" t="s">
        <v>152</v>
      </c>
      <c r="G151" s="22" t="s">
        <v>60</v>
      </c>
      <c r="H151" s="22" t="s">
        <v>293</v>
      </c>
      <c r="I151" s="22" t="s">
        <v>596</v>
      </c>
      <c r="J151" s="22" t="s">
        <v>601</v>
      </c>
      <c r="N151" s="22" t="s">
        <v>602</v>
      </c>
      <c r="O151" s="22" t="s">
        <v>158</v>
      </c>
      <c r="P151" s="21">
        <v>11326</v>
      </c>
      <c r="Q151" s="21">
        <v>3</v>
      </c>
      <c r="R151" s="21">
        <v>1</v>
      </c>
      <c r="S151" s="21">
        <v>1</v>
      </c>
      <c r="T151" s="21" t="s">
        <v>160</v>
      </c>
      <c r="U151" s="21">
        <v>1</v>
      </c>
      <c r="V151" s="21">
        <v>1</v>
      </c>
      <c r="W151" s="24">
        <f>3.14*R151*Q151+2*3.14*(S151/2)^2/V151</f>
        <v>10.99</v>
      </c>
      <c r="X151" s="25">
        <f>(3.14/4*R151^2*Q151)*U151</f>
        <v>2.355</v>
      </c>
      <c r="Y151" s="21">
        <v>4</v>
      </c>
      <c r="Z151" s="24">
        <f t="shared" si="35"/>
        <v>43.96</v>
      </c>
      <c r="AA151" s="24">
        <f t="shared" si="36"/>
        <v>9.42</v>
      </c>
      <c r="AB151" s="21">
        <v>20</v>
      </c>
      <c r="AC151" s="21">
        <v>5</v>
      </c>
      <c r="AD151" s="21">
        <v>5</v>
      </c>
      <c r="AE151" s="21" t="s">
        <v>160</v>
      </c>
      <c r="AF151" s="21">
        <v>0.8</v>
      </c>
      <c r="AG151" s="21">
        <v>1</v>
      </c>
      <c r="AH151" s="24">
        <f>3.14*AC151*AB151+2*3.14*(AD151/2)^2/AG151</f>
        <v>353.25</v>
      </c>
      <c r="AI151" s="25">
        <f>(3.14/4*AC151^2*AB151)*AF151</f>
        <v>314</v>
      </c>
      <c r="AJ151" s="21">
        <v>9.42</v>
      </c>
      <c r="AK151" s="21">
        <v>20</v>
      </c>
      <c r="AL151" s="22" t="s">
        <v>599</v>
      </c>
      <c r="AM151" s="22">
        <v>0.22</v>
      </c>
      <c r="AP151" s="22" t="s">
        <v>230</v>
      </c>
      <c r="AQ151" s="22" t="str">
        <f t="shared" si="39"/>
        <v>Microphytoplankton</v>
      </c>
      <c r="AR151" s="22">
        <v>0</v>
      </c>
      <c r="AS151" s="22">
        <v>0</v>
      </c>
      <c r="AT151" s="22">
        <v>0</v>
      </c>
      <c r="AU151" s="22">
        <v>1</v>
      </c>
      <c r="AV151" s="22">
        <v>0</v>
      </c>
      <c r="AW151" s="22">
        <v>0</v>
      </c>
      <c r="AX151" s="22">
        <v>0</v>
      </c>
      <c r="AY151" s="22">
        <v>1</v>
      </c>
    </row>
    <row r="152" spans="1:51">
      <c r="A152" s="21" t="s">
        <v>603</v>
      </c>
      <c r="B152" s="22" t="s">
        <v>149</v>
      </c>
      <c r="C152" s="22" t="s">
        <v>150</v>
      </c>
      <c r="D152" s="23" t="s">
        <v>151</v>
      </c>
      <c r="E152" s="22" t="s">
        <v>61</v>
      </c>
      <c r="F152" s="22" t="s">
        <v>152</v>
      </c>
      <c r="G152" s="23" t="s">
        <v>604</v>
      </c>
      <c r="H152" s="23" t="s">
        <v>154</v>
      </c>
      <c r="I152" s="22" t="s">
        <v>605</v>
      </c>
      <c r="J152" s="22" t="s">
        <v>606</v>
      </c>
      <c r="N152" s="22" t="s">
        <v>607</v>
      </c>
      <c r="O152" s="22" t="s">
        <v>158</v>
      </c>
      <c r="P152" s="21">
        <v>12202</v>
      </c>
      <c r="Q152" s="21">
        <v>2.5</v>
      </c>
      <c r="R152" s="21">
        <v>1.5</v>
      </c>
      <c r="S152" s="21">
        <v>1.5</v>
      </c>
      <c r="T152" s="21" t="s">
        <v>160</v>
      </c>
      <c r="U152" s="21">
        <v>1</v>
      </c>
      <c r="V152" s="21">
        <v>1</v>
      </c>
      <c r="W152" s="24">
        <f>3.14*R152*Q152+2*3.14*(S152/2)^2/V152</f>
        <v>15.307500000000001</v>
      </c>
      <c r="X152" s="25">
        <f>(3.14/4*R152^2*Q152)*U152</f>
        <v>4.4156250000000004</v>
      </c>
      <c r="Y152" s="21">
        <v>6</v>
      </c>
      <c r="Z152" s="24">
        <f t="shared" si="35"/>
        <v>91.844999999999999</v>
      </c>
      <c r="AA152" s="24">
        <f t="shared" si="36"/>
        <v>26.493750000000002</v>
      </c>
      <c r="AB152" s="21">
        <v>15</v>
      </c>
      <c r="AC152" s="21">
        <v>1.5</v>
      </c>
      <c r="AD152" s="21">
        <v>1.5</v>
      </c>
      <c r="AE152" s="21" t="s">
        <v>160</v>
      </c>
      <c r="AF152" s="21">
        <v>0.9</v>
      </c>
      <c r="AG152" s="22">
        <v>1.2</v>
      </c>
      <c r="AH152" s="24">
        <f>3.14*AC152*AB152+2*3.14*(AD152/2)^2/AG152</f>
        <v>73.59375</v>
      </c>
      <c r="AI152" s="25">
        <f>(3.14/4*AC152^2*AB152)*AF152</f>
        <v>23.844375000000003</v>
      </c>
      <c r="AJ152" s="21">
        <v>26.49</v>
      </c>
      <c r="AK152" s="21">
        <v>15</v>
      </c>
      <c r="AL152" s="22" t="s">
        <v>161</v>
      </c>
      <c r="AM152" s="22">
        <v>0.22</v>
      </c>
      <c r="AP152" s="22" t="s">
        <v>230</v>
      </c>
      <c r="AQ152" s="22" t="str">
        <f t="shared" si="39"/>
        <v>Nanophytoplankton</v>
      </c>
      <c r="AR152" s="22">
        <v>0</v>
      </c>
      <c r="AS152" s="22">
        <v>0</v>
      </c>
      <c r="AT152" s="22">
        <v>0</v>
      </c>
      <c r="AU152" s="22">
        <v>1</v>
      </c>
      <c r="AV152" s="22">
        <v>1</v>
      </c>
      <c r="AW152" s="22">
        <v>0</v>
      </c>
      <c r="AX152" s="22">
        <v>0</v>
      </c>
      <c r="AY152" s="22">
        <v>1</v>
      </c>
    </row>
    <row r="153" spans="1:51">
      <c r="A153" s="22" t="s">
        <v>608</v>
      </c>
      <c r="B153" s="22" t="s">
        <v>149</v>
      </c>
      <c r="C153" s="22" t="s">
        <v>150</v>
      </c>
      <c r="D153" s="23" t="s">
        <v>151</v>
      </c>
      <c r="E153" s="22" t="s">
        <v>61</v>
      </c>
      <c r="F153" s="22" t="s">
        <v>152</v>
      </c>
      <c r="G153" s="23" t="s">
        <v>604</v>
      </c>
      <c r="H153" s="23" t="s">
        <v>154</v>
      </c>
      <c r="I153" s="22" t="s">
        <v>605</v>
      </c>
      <c r="J153" s="22" t="s">
        <v>609</v>
      </c>
      <c r="N153" s="22" t="s">
        <v>610</v>
      </c>
      <c r="O153" s="22" t="s">
        <v>158</v>
      </c>
      <c r="P153" s="21">
        <v>12201</v>
      </c>
      <c r="Q153" s="22">
        <v>5</v>
      </c>
      <c r="R153" s="22">
        <v>1</v>
      </c>
      <c r="S153" s="22">
        <v>1</v>
      </c>
      <c r="T153" s="21" t="s">
        <v>160</v>
      </c>
      <c r="U153" s="21">
        <v>1</v>
      </c>
      <c r="V153" s="21">
        <v>1</v>
      </c>
      <c r="W153" s="24">
        <f>3.14*R153*Q153+2*3.14*(S153/2)^2/V153</f>
        <v>17.27</v>
      </c>
      <c r="X153" s="25">
        <f>(3.14/4*R153^2*Q153)*U153</f>
        <v>3.9250000000000003</v>
      </c>
      <c r="Y153" s="22">
        <v>10</v>
      </c>
      <c r="Z153" s="24">
        <f t="shared" si="35"/>
        <v>172.7</v>
      </c>
      <c r="AA153" s="24">
        <f t="shared" si="36"/>
        <v>39.25</v>
      </c>
      <c r="AB153" s="22">
        <v>50</v>
      </c>
      <c r="AC153" s="22">
        <v>1</v>
      </c>
      <c r="AD153" s="22">
        <v>1</v>
      </c>
      <c r="AE153" s="21" t="s">
        <v>160</v>
      </c>
      <c r="AF153" s="21">
        <v>0.9</v>
      </c>
      <c r="AG153" s="22">
        <v>1.2</v>
      </c>
      <c r="AH153" s="24">
        <f>3.14*AC153*AB153+2*3.14*(AD153/2)^2/AG153</f>
        <v>158.30833333333334</v>
      </c>
      <c r="AI153" s="25">
        <f>(3.14/4*AC153^2*AB153)*AF153</f>
        <v>35.325000000000003</v>
      </c>
      <c r="AJ153" s="21">
        <v>39.25</v>
      </c>
      <c r="AK153" s="21">
        <v>50</v>
      </c>
      <c r="AL153" s="22" t="s">
        <v>161</v>
      </c>
      <c r="AM153" s="22">
        <v>0.22</v>
      </c>
      <c r="AP153" s="22" t="s">
        <v>230</v>
      </c>
      <c r="AQ153" s="22" t="str">
        <f t="shared" si="39"/>
        <v>Microphytoplankton</v>
      </c>
      <c r="AR153" s="22">
        <v>0</v>
      </c>
      <c r="AS153" s="22">
        <v>0</v>
      </c>
      <c r="AT153" s="22">
        <v>0</v>
      </c>
      <c r="AU153" s="22">
        <v>1</v>
      </c>
      <c r="AV153" s="22">
        <v>1</v>
      </c>
      <c r="AW153" s="22">
        <v>0</v>
      </c>
      <c r="AX153" s="22">
        <v>0</v>
      </c>
      <c r="AY153" s="22">
        <v>1</v>
      </c>
    </row>
    <row r="154" spans="1:51">
      <c r="A154" s="22" t="s">
        <v>611</v>
      </c>
      <c r="B154" s="22" t="s">
        <v>149</v>
      </c>
      <c r="C154" s="22" t="s">
        <v>150</v>
      </c>
      <c r="D154" s="23" t="s">
        <v>151</v>
      </c>
      <c r="E154" s="22" t="s">
        <v>61</v>
      </c>
      <c r="F154" s="22" t="s">
        <v>152</v>
      </c>
      <c r="G154" s="22" t="s">
        <v>60</v>
      </c>
      <c r="H154" s="22" t="s">
        <v>226</v>
      </c>
      <c r="I154" s="22" t="s">
        <v>612</v>
      </c>
      <c r="J154" s="22" t="s">
        <v>613</v>
      </c>
      <c r="N154" s="22" t="s">
        <v>614</v>
      </c>
      <c r="O154" s="22" t="s">
        <v>158</v>
      </c>
      <c r="P154" s="21">
        <v>11604</v>
      </c>
      <c r="Q154" s="22">
        <v>1.8</v>
      </c>
      <c r="R154" s="22">
        <v>1.8</v>
      </c>
      <c r="S154" s="22">
        <v>1.8</v>
      </c>
      <c r="T154" s="22" t="s">
        <v>246</v>
      </c>
      <c r="U154" s="21">
        <v>1</v>
      </c>
      <c r="V154" s="21">
        <v>1</v>
      </c>
      <c r="W154" s="25">
        <f>4*3.14*(R154/2)*(Q154/2)/V154</f>
        <v>10.1736</v>
      </c>
      <c r="X154" s="25">
        <f>(3.14/6*(Q154*S154*R154))*U154</f>
        <v>3.0520800000000001</v>
      </c>
      <c r="Y154" s="22">
        <v>4</v>
      </c>
      <c r="Z154" s="24">
        <f t="shared" si="35"/>
        <v>40.694400000000002</v>
      </c>
      <c r="AA154" s="24">
        <f t="shared" si="36"/>
        <v>12.208320000000001</v>
      </c>
      <c r="AB154" s="22">
        <v>8</v>
      </c>
      <c r="AC154" s="22">
        <v>8</v>
      </c>
      <c r="AD154" s="22">
        <v>8</v>
      </c>
      <c r="AE154" s="22" t="s">
        <v>246</v>
      </c>
      <c r="AF154" s="21">
        <v>0.3</v>
      </c>
      <c r="AG154" s="22">
        <v>1</v>
      </c>
      <c r="AH154" s="24">
        <f>(4*3.14*(((AB154^1.6*AC154^1.6+AB154^1.6*AD154^1.6+AC154^1.6+AD154^1.6)/3)^(1/1.6)))*(1/AG154)</f>
        <v>637.80128491389792</v>
      </c>
      <c r="AI154" s="24">
        <f>3.14/6*AB154*AC154*AD154*AF154</f>
        <v>80.384</v>
      </c>
      <c r="AJ154" s="21">
        <v>12.21</v>
      </c>
      <c r="AK154" s="21">
        <v>8</v>
      </c>
      <c r="AL154" s="22" t="s">
        <v>161</v>
      </c>
      <c r="AM154" s="22">
        <v>0.22</v>
      </c>
      <c r="AO154" s="22" t="s">
        <v>331</v>
      </c>
      <c r="AP154" s="22" t="s">
        <v>230</v>
      </c>
      <c r="AQ154" s="22" t="str">
        <f t="shared" si="39"/>
        <v>Nanophytoplankton</v>
      </c>
      <c r="AR154" s="22">
        <v>0</v>
      </c>
      <c r="AS154" s="22">
        <v>0</v>
      </c>
      <c r="AT154" s="22">
        <v>0</v>
      </c>
      <c r="AU154" s="22">
        <v>1</v>
      </c>
      <c r="AV154" s="22">
        <v>0</v>
      </c>
      <c r="AW154" s="22">
        <v>0</v>
      </c>
      <c r="AX154" s="22">
        <v>0</v>
      </c>
      <c r="AY154" s="22">
        <v>1</v>
      </c>
    </row>
    <row r="155" spans="1:51">
      <c r="A155" s="21" t="s">
        <v>615</v>
      </c>
      <c r="B155" s="22" t="s">
        <v>149</v>
      </c>
      <c r="C155" s="22" t="s">
        <v>150</v>
      </c>
      <c r="D155" s="23" t="s">
        <v>151</v>
      </c>
      <c r="E155" s="22" t="s">
        <v>61</v>
      </c>
      <c r="F155" s="22" t="s">
        <v>152</v>
      </c>
      <c r="G155" s="22" t="s">
        <v>60</v>
      </c>
      <c r="H155" s="22" t="s">
        <v>226</v>
      </c>
      <c r="I155" s="22" t="s">
        <v>612</v>
      </c>
      <c r="J155" s="22" t="s">
        <v>408</v>
      </c>
      <c r="N155" s="22" t="s">
        <v>616</v>
      </c>
      <c r="O155" s="22" t="s">
        <v>158</v>
      </c>
      <c r="P155" s="21">
        <v>11601</v>
      </c>
      <c r="Q155" s="21">
        <v>3.5</v>
      </c>
      <c r="R155" s="21">
        <v>3</v>
      </c>
      <c r="S155" s="21">
        <v>3</v>
      </c>
      <c r="T155" s="21" t="s">
        <v>159</v>
      </c>
      <c r="U155" s="21">
        <v>1</v>
      </c>
      <c r="V155" s="21">
        <v>1</v>
      </c>
      <c r="W155" s="24">
        <f>(4*3.14*(((Q155^1.6*R155^1.6+Q155^1.6*S155^1.6+R155^1.6+S155^1.6)/3)^(1/1.6)))*(1/V155)</f>
        <v>110.77244135206647</v>
      </c>
      <c r="X155" s="24">
        <f>3.14/6*Q155*R155*S155*U155</f>
        <v>16.484999999999999</v>
      </c>
      <c r="Y155" s="21">
        <v>50</v>
      </c>
      <c r="Z155" s="24">
        <f t="shared" si="35"/>
        <v>5538.6220676033236</v>
      </c>
      <c r="AA155" s="24">
        <f t="shared" si="36"/>
        <v>824.25</v>
      </c>
      <c r="AB155" s="21">
        <v>40</v>
      </c>
      <c r="AC155" s="21">
        <v>40</v>
      </c>
      <c r="AD155" s="21">
        <v>40</v>
      </c>
      <c r="AE155" s="21" t="s">
        <v>281</v>
      </c>
      <c r="AF155" s="21">
        <v>1</v>
      </c>
      <c r="AG155" s="21">
        <v>1</v>
      </c>
      <c r="AH155" s="24">
        <f>(4*3.14*(((AB155^1.6*AC155^1.6+AB155^1.6*AD155^1.6+AC155^1.6+AD155^1.6)/3)^(1/1.6)))*(1/AG155)</f>
        <v>15624.046118762988</v>
      </c>
      <c r="AI155" s="24">
        <f>3.14/6*AB155*AC155*AD155*AF155</f>
        <v>33493.333333333336</v>
      </c>
      <c r="AJ155" s="21">
        <v>282.60000000000002</v>
      </c>
      <c r="AK155" s="21">
        <v>40</v>
      </c>
      <c r="AL155" s="22" t="s">
        <v>161</v>
      </c>
      <c r="AM155" s="22">
        <v>0.22</v>
      </c>
      <c r="AO155" s="22" t="s">
        <v>331</v>
      </c>
      <c r="AP155" s="22" t="s">
        <v>230</v>
      </c>
      <c r="AQ155" s="22" t="str">
        <f t="shared" si="39"/>
        <v>Microphytoplankton</v>
      </c>
      <c r="AR155" s="22">
        <v>0</v>
      </c>
      <c r="AS155" s="22">
        <v>0</v>
      </c>
      <c r="AT155" s="22">
        <v>0</v>
      </c>
      <c r="AU155" s="22">
        <v>1</v>
      </c>
      <c r="AV155" s="22">
        <v>0</v>
      </c>
      <c r="AW155" s="22">
        <v>0</v>
      </c>
      <c r="AX155" s="22">
        <v>0</v>
      </c>
      <c r="AY155" s="22">
        <v>1</v>
      </c>
    </row>
    <row r="156" spans="1:51">
      <c r="A156" s="22" t="s">
        <v>617</v>
      </c>
      <c r="B156" s="22" t="s">
        <v>149</v>
      </c>
      <c r="C156" s="22" t="s">
        <v>150</v>
      </c>
      <c r="D156" s="23" t="s">
        <v>151</v>
      </c>
      <c r="E156" s="22" t="s">
        <v>61</v>
      </c>
      <c r="F156" s="22" t="s">
        <v>152</v>
      </c>
      <c r="G156" s="22" t="s">
        <v>60</v>
      </c>
      <c r="H156" s="22" t="s">
        <v>226</v>
      </c>
      <c r="I156" s="22" t="s">
        <v>612</v>
      </c>
      <c r="J156" s="22" t="s">
        <v>298</v>
      </c>
      <c r="N156" s="22" t="s">
        <v>618</v>
      </c>
      <c r="O156" s="22" t="s">
        <v>158</v>
      </c>
      <c r="P156" s="21">
        <v>11602</v>
      </c>
      <c r="Q156" s="21">
        <v>3.5</v>
      </c>
      <c r="R156" s="21">
        <v>3</v>
      </c>
      <c r="S156" s="21">
        <v>3</v>
      </c>
      <c r="T156" s="21" t="s">
        <v>159</v>
      </c>
      <c r="U156" s="21">
        <v>1</v>
      </c>
      <c r="V156" s="21">
        <v>1</v>
      </c>
      <c r="W156" s="24">
        <f>(4*3.14*(((Q156^1.6*R156^1.6+Q156^1.6*S156^1.6+R156^1.6+S156^1.6)/3)^(1/1.6)))*(1/V156)</f>
        <v>110.77244135206647</v>
      </c>
      <c r="X156" s="24">
        <f>3.14/6*Q156*R156*S156*U156</f>
        <v>16.484999999999999</v>
      </c>
      <c r="Y156" s="21">
        <v>20</v>
      </c>
      <c r="Z156" s="24">
        <f t="shared" si="35"/>
        <v>2215.4488270413294</v>
      </c>
      <c r="AA156" s="24">
        <f t="shared" si="36"/>
        <v>329.7</v>
      </c>
      <c r="AB156" s="21">
        <v>40</v>
      </c>
      <c r="AC156" s="21">
        <v>40</v>
      </c>
      <c r="AD156" s="21">
        <v>40</v>
      </c>
      <c r="AE156" s="21" t="s">
        <v>246</v>
      </c>
      <c r="AF156" s="21">
        <v>1</v>
      </c>
      <c r="AG156" s="21">
        <v>1</v>
      </c>
      <c r="AH156" s="25">
        <f>4*3.14*(AC156/2)*(AB156/2)/AG156</f>
        <v>5024</v>
      </c>
      <c r="AI156" s="25">
        <f>(3.14/6*(AD156*AB156*AC156))*AF156</f>
        <v>33493.333333333336</v>
      </c>
      <c r="AJ156" s="21">
        <v>7200</v>
      </c>
      <c r="AK156" s="21">
        <v>60</v>
      </c>
      <c r="AL156" s="22" t="s">
        <v>161</v>
      </c>
      <c r="AM156" s="22">
        <v>0.22</v>
      </c>
      <c r="AP156" s="22" t="s">
        <v>230</v>
      </c>
      <c r="AQ156" s="22" t="str">
        <f t="shared" si="39"/>
        <v>Microphytoplankton</v>
      </c>
      <c r="AR156" s="22">
        <v>0</v>
      </c>
      <c r="AS156" s="22">
        <v>0</v>
      </c>
      <c r="AT156" s="22">
        <v>0</v>
      </c>
      <c r="AU156" s="22">
        <v>1</v>
      </c>
      <c r="AV156" s="22">
        <v>0</v>
      </c>
      <c r="AW156" s="22">
        <v>0</v>
      </c>
      <c r="AX156" s="22">
        <v>0</v>
      </c>
      <c r="AY156" s="22">
        <v>1</v>
      </c>
    </row>
    <row r="157" spans="1:51">
      <c r="A157" s="22" t="s">
        <v>619</v>
      </c>
      <c r="B157" s="22" t="s">
        <v>149</v>
      </c>
      <c r="C157" s="22" t="s">
        <v>150</v>
      </c>
      <c r="D157" s="23" t="s">
        <v>151</v>
      </c>
      <c r="E157" s="22" t="s">
        <v>61</v>
      </c>
      <c r="F157" s="22" t="s">
        <v>152</v>
      </c>
      <c r="G157" s="22" t="s">
        <v>60</v>
      </c>
      <c r="H157" s="22" t="s">
        <v>226</v>
      </c>
      <c r="I157" s="22" t="s">
        <v>612</v>
      </c>
      <c r="J157" s="22" t="s">
        <v>620</v>
      </c>
      <c r="N157" s="22" t="s">
        <v>614</v>
      </c>
      <c r="O157" s="22" t="s">
        <v>158</v>
      </c>
      <c r="P157" s="21">
        <v>11603</v>
      </c>
      <c r="Q157" s="22">
        <v>2</v>
      </c>
      <c r="R157" s="22">
        <v>2</v>
      </c>
      <c r="S157" s="22">
        <v>2</v>
      </c>
      <c r="T157" s="22" t="s">
        <v>246</v>
      </c>
      <c r="U157" s="21">
        <v>1</v>
      </c>
      <c r="V157" s="21">
        <v>1</v>
      </c>
      <c r="W157" s="25">
        <f>4*3.14*(R157/2)*(Q157/2)/V157</f>
        <v>12.56</v>
      </c>
      <c r="X157" s="25">
        <f>(3.14/6*(Q157*S157*R157))*U157</f>
        <v>4.1866666666666665</v>
      </c>
      <c r="Y157" s="22">
        <v>4</v>
      </c>
      <c r="Z157" s="24">
        <f t="shared" si="35"/>
        <v>50.24</v>
      </c>
      <c r="AA157" s="24">
        <f t="shared" si="36"/>
        <v>16.746666666666666</v>
      </c>
      <c r="AB157" s="22">
        <v>10</v>
      </c>
      <c r="AC157" s="22">
        <v>10</v>
      </c>
      <c r="AD157" s="22">
        <v>10</v>
      </c>
      <c r="AE157" s="22" t="s">
        <v>246</v>
      </c>
      <c r="AF157" s="21">
        <v>0.5</v>
      </c>
      <c r="AG157" s="22">
        <v>1</v>
      </c>
      <c r="AH157" s="25">
        <f>4*3.14*(AC157/2)*(AB157/2)/AG157</f>
        <v>314</v>
      </c>
      <c r="AI157" s="25">
        <f>(3.14/6*(AD157*AB157*AC157))*AF157</f>
        <v>261.66666666666669</v>
      </c>
      <c r="AJ157" s="21">
        <v>16.746666666666666</v>
      </c>
      <c r="AK157" s="21">
        <v>8</v>
      </c>
      <c r="AL157" s="22" t="s">
        <v>161</v>
      </c>
      <c r="AM157" s="22">
        <v>0.22</v>
      </c>
      <c r="AP157" s="22" t="s">
        <v>230</v>
      </c>
      <c r="AQ157" s="22" t="str">
        <f t="shared" si="39"/>
        <v>Nanophytoplankton</v>
      </c>
      <c r="AR157" s="22">
        <v>0</v>
      </c>
      <c r="AS157" s="22">
        <v>0</v>
      </c>
      <c r="AT157" s="22">
        <v>0</v>
      </c>
      <c r="AU157" s="22">
        <v>1</v>
      </c>
      <c r="AV157" s="22">
        <v>0</v>
      </c>
      <c r="AW157" s="22">
        <v>0</v>
      </c>
      <c r="AX157" s="22">
        <v>0</v>
      </c>
      <c r="AY157" s="22">
        <v>1</v>
      </c>
    </row>
    <row r="158" spans="1:51">
      <c r="A158" s="21" t="s">
        <v>621</v>
      </c>
      <c r="B158" s="22" t="s">
        <v>149</v>
      </c>
      <c r="C158" s="22" t="s">
        <v>150</v>
      </c>
      <c r="D158" s="23" t="s">
        <v>151</v>
      </c>
      <c r="E158" s="22" t="s">
        <v>61</v>
      </c>
      <c r="F158" s="22" t="s">
        <v>152</v>
      </c>
      <c r="G158" s="22" t="s">
        <v>60</v>
      </c>
      <c r="H158" s="22" t="s">
        <v>226</v>
      </c>
      <c r="I158" s="22" t="s">
        <v>612</v>
      </c>
      <c r="J158" s="22" t="s">
        <v>211</v>
      </c>
      <c r="M158" s="22" t="s">
        <v>1</v>
      </c>
      <c r="N158" s="22" t="s">
        <v>622</v>
      </c>
      <c r="O158" s="22" t="s">
        <v>158</v>
      </c>
      <c r="P158" s="21">
        <v>11600</v>
      </c>
      <c r="Q158" s="22">
        <v>2</v>
      </c>
      <c r="R158" s="22">
        <v>2</v>
      </c>
      <c r="S158" s="22">
        <v>2</v>
      </c>
      <c r="T158" s="22" t="s">
        <v>159</v>
      </c>
      <c r="U158" s="21">
        <v>1</v>
      </c>
      <c r="V158" s="21">
        <v>1</v>
      </c>
      <c r="W158" s="24">
        <f>(4*3.14*(((Q158^1.6*R158^1.6+Q158^1.6*S158^1.6+R158^1.6+S158^1.6)/3)^(1/1.6)))*(1/V158)</f>
        <v>46.59880302207403</v>
      </c>
      <c r="X158" s="24">
        <f>3.14/6*Q158*R158*S158*U158</f>
        <v>4.1866666666666665</v>
      </c>
      <c r="Y158" s="21">
        <v>100</v>
      </c>
      <c r="Z158" s="24">
        <f t="shared" si="35"/>
        <v>4659.8803022074026</v>
      </c>
      <c r="AA158" s="24">
        <f t="shared" si="36"/>
        <v>418.66666666666663</v>
      </c>
      <c r="AB158" s="21">
        <v>12</v>
      </c>
      <c r="AC158" s="21">
        <v>12</v>
      </c>
      <c r="AD158" s="21">
        <v>12</v>
      </c>
      <c r="AE158" s="21" t="s">
        <v>281</v>
      </c>
      <c r="AF158" s="21">
        <v>0.5</v>
      </c>
      <c r="AG158" s="21">
        <v>1</v>
      </c>
      <c r="AH158" s="24">
        <f>(4*3.14*(((AB158^1.6*AC158^1.6+AB158^1.6*AD158^1.6+AC158^1.6+AD158^1.6)/3)^(1/1.6)))*(1/AG158)</f>
        <v>1420.171885313606</v>
      </c>
      <c r="AI158" s="24">
        <f>3.14/6*AB158*AC158*AD158*AF158</f>
        <v>452.15999999999991</v>
      </c>
      <c r="AJ158" s="21">
        <v>452.15999999999991</v>
      </c>
      <c r="AK158" s="21">
        <v>12</v>
      </c>
      <c r="AL158" s="22" t="s">
        <v>161</v>
      </c>
      <c r="AM158" s="22">
        <v>0.22</v>
      </c>
      <c r="AP158" s="22" t="s">
        <v>230</v>
      </c>
      <c r="AQ158" s="22" t="str">
        <f t="shared" si="39"/>
        <v>Nanophytoplankton</v>
      </c>
      <c r="AR158" s="22">
        <v>0</v>
      </c>
      <c r="AS158" s="22">
        <v>0</v>
      </c>
      <c r="AT158" s="22">
        <v>0</v>
      </c>
      <c r="AU158" s="22">
        <v>1</v>
      </c>
      <c r="AV158" s="22">
        <v>0</v>
      </c>
      <c r="AW158" s="22">
        <v>0</v>
      </c>
      <c r="AX158" s="22">
        <v>0</v>
      </c>
      <c r="AY158" s="22">
        <v>1</v>
      </c>
    </row>
    <row r="159" spans="1:51">
      <c r="A159" s="21" t="s">
        <v>623</v>
      </c>
      <c r="B159" s="22" t="s">
        <v>149</v>
      </c>
      <c r="C159" s="22" t="s">
        <v>150</v>
      </c>
      <c r="D159" s="23" t="s">
        <v>151</v>
      </c>
      <c r="E159" s="22" t="s">
        <v>61</v>
      </c>
      <c r="F159" s="22" t="s">
        <v>152</v>
      </c>
      <c r="G159" s="22" t="s">
        <v>60</v>
      </c>
      <c r="H159" s="22" t="s">
        <v>293</v>
      </c>
      <c r="I159" s="22" t="s">
        <v>624</v>
      </c>
      <c r="J159" s="22" t="s">
        <v>625</v>
      </c>
      <c r="N159" s="22" t="s">
        <v>157</v>
      </c>
      <c r="O159" s="22" t="s">
        <v>158</v>
      </c>
      <c r="P159" s="21">
        <v>11313</v>
      </c>
      <c r="Q159" s="21">
        <v>6</v>
      </c>
      <c r="R159" s="21">
        <v>3</v>
      </c>
      <c r="S159" s="21">
        <v>3</v>
      </c>
      <c r="T159" s="21" t="s">
        <v>159</v>
      </c>
      <c r="U159" s="21">
        <v>1</v>
      </c>
      <c r="V159" s="22">
        <v>1</v>
      </c>
      <c r="W159" s="24">
        <f>(4*3.14*(((Q159^1.6*R159^1.6+Q159^1.6*S159^1.6+R159^1.6+S159^1.6)/3)^(1/1.6)))*(1/V159)</f>
        <v>181.64401962190658</v>
      </c>
      <c r="X159" s="24">
        <f>3.14/6*Q159*R159*S159*U159</f>
        <v>28.259999999999994</v>
      </c>
      <c r="Y159" s="21">
        <v>1</v>
      </c>
      <c r="Z159" s="24">
        <f t="shared" si="35"/>
        <v>181.64401962190658</v>
      </c>
      <c r="AA159" s="24">
        <f t="shared" si="36"/>
        <v>28.259999999999994</v>
      </c>
      <c r="AB159" s="21"/>
      <c r="AC159" s="21"/>
      <c r="AD159" s="21"/>
      <c r="AE159" s="21"/>
      <c r="AF159" s="21" t="s">
        <v>247</v>
      </c>
      <c r="AG159" s="21"/>
      <c r="AH159" s="24"/>
      <c r="AI159" s="24"/>
      <c r="AJ159" s="21">
        <v>28.259999999999994</v>
      </c>
      <c r="AK159" s="21">
        <v>6</v>
      </c>
      <c r="AL159" s="22" t="s">
        <v>161</v>
      </c>
      <c r="AM159" s="22">
        <v>0.22</v>
      </c>
      <c r="AO159" s="22" t="s">
        <v>368</v>
      </c>
      <c r="AP159" s="22" t="s">
        <v>626</v>
      </c>
      <c r="AQ159" s="22" t="str">
        <f t="shared" si="39"/>
        <v>Nanophytoplankton</v>
      </c>
      <c r="AR159" s="22">
        <v>0</v>
      </c>
      <c r="AS159" s="22">
        <v>0</v>
      </c>
      <c r="AT159" s="22">
        <v>0</v>
      </c>
      <c r="AU159" s="22">
        <v>0</v>
      </c>
      <c r="AV159" s="22">
        <v>0</v>
      </c>
      <c r="AW159" s="22">
        <v>0</v>
      </c>
      <c r="AX159" s="22">
        <v>0</v>
      </c>
      <c r="AY159" s="22">
        <v>1</v>
      </c>
    </row>
    <row r="160" spans="1:51">
      <c r="A160" s="21" t="s">
        <v>627</v>
      </c>
      <c r="B160" s="22" t="s">
        <v>149</v>
      </c>
      <c r="C160" s="22" t="s">
        <v>150</v>
      </c>
      <c r="D160" s="23" t="s">
        <v>151</v>
      </c>
      <c r="E160" s="22" t="s">
        <v>61</v>
      </c>
      <c r="F160" s="22" t="s">
        <v>152</v>
      </c>
      <c r="G160" s="22" t="s">
        <v>60</v>
      </c>
      <c r="H160" s="22" t="s">
        <v>293</v>
      </c>
      <c r="I160" s="22" t="s">
        <v>624</v>
      </c>
      <c r="J160" s="22" t="s">
        <v>628</v>
      </c>
      <c r="N160" s="22" t="s">
        <v>228</v>
      </c>
      <c r="O160" s="22" t="s">
        <v>158</v>
      </c>
      <c r="P160" s="21">
        <v>11310</v>
      </c>
      <c r="Q160" s="21">
        <v>10</v>
      </c>
      <c r="R160" s="21">
        <v>3</v>
      </c>
      <c r="S160" s="21">
        <v>3</v>
      </c>
      <c r="T160" s="21" t="s">
        <v>160</v>
      </c>
      <c r="U160" s="21">
        <v>1</v>
      </c>
      <c r="V160" s="22">
        <v>1</v>
      </c>
      <c r="W160" s="24">
        <f>3.14*R160*Q160+2*3.14*(S160/2)^2/V160</f>
        <v>108.33</v>
      </c>
      <c r="X160" s="25">
        <f>(3.14/4*R160^2*Q160)*U160</f>
        <v>70.650000000000006</v>
      </c>
      <c r="Y160" s="21">
        <v>1</v>
      </c>
      <c r="Z160" s="24">
        <f t="shared" si="35"/>
        <v>108.33</v>
      </c>
      <c r="AA160" s="24">
        <f t="shared" si="36"/>
        <v>70.650000000000006</v>
      </c>
      <c r="AB160" s="21"/>
      <c r="AC160" s="21"/>
      <c r="AD160" s="21"/>
      <c r="AE160" s="21"/>
      <c r="AF160" s="21" t="s">
        <v>247</v>
      </c>
      <c r="AG160" s="21"/>
      <c r="AH160" s="24"/>
      <c r="AI160" s="24"/>
      <c r="AJ160" s="21">
        <v>63.6</v>
      </c>
      <c r="AK160" s="21">
        <v>10</v>
      </c>
      <c r="AL160" s="22" t="s">
        <v>161</v>
      </c>
      <c r="AM160" s="22">
        <v>0.22</v>
      </c>
      <c r="AN160" s="22" t="s">
        <v>368</v>
      </c>
      <c r="AO160" s="22" t="s">
        <v>229</v>
      </c>
      <c r="AP160" s="22" t="s">
        <v>626</v>
      </c>
      <c r="AQ160" s="22" t="str">
        <f t="shared" si="39"/>
        <v>Nanophytoplankton</v>
      </c>
      <c r="AR160" s="22">
        <v>0</v>
      </c>
      <c r="AS160" s="22">
        <v>0</v>
      </c>
      <c r="AT160" s="22">
        <v>0</v>
      </c>
      <c r="AU160" s="22">
        <v>0</v>
      </c>
      <c r="AV160" s="22">
        <v>0</v>
      </c>
      <c r="AW160" s="22">
        <v>0</v>
      </c>
      <c r="AX160" s="22">
        <v>0</v>
      </c>
      <c r="AY160" s="22">
        <v>1</v>
      </c>
    </row>
    <row r="161" spans="1:57">
      <c r="A161" s="21" t="s">
        <v>629</v>
      </c>
      <c r="B161" s="22" t="s">
        <v>149</v>
      </c>
      <c r="C161" s="22" t="s">
        <v>150</v>
      </c>
      <c r="D161" s="23" t="s">
        <v>151</v>
      </c>
      <c r="E161" s="22" t="s">
        <v>61</v>
      </c>
      <c r="F161" s="22" t="s">
        <v>152</v>
      </c>
      <c r="G161" s="22" t="s">
        <v>60</v>
      </c>
      <c r="H161" s="22" t="s">
        <v>293</v>
      </c>
      <c r="I161" s="22" t="s">
        <v>624</v>
      </c>
      <c r="J161" s="22" t="s">
        <v>306</v>
      </c>
      <c r="N161" s="22" t="s">
        <v>630</v>
      </c>
      <c r="O161" s="22" t="s">
        <v>158</v>
      </c>
      <c r="P161" s="21">
        <v>11312</v>
      </c>
      <c r="Q161" s="21">
        <v>3</v>
      </c>
      <c r="R161" s="21">
        <v>1.5</v>
      </c>
      <c r="S161" s="21">
        <v>1.5</v>
      </c>
      <c r="T161" s="21" t="s">
        <v>159</v>
      </c>
      <c r="U161" s="21">
        <v>1</v>
      </c>
      <c r="V161" s="22">
        <v>1</v>
      </c>
      <c r="W161" s="24">
        <f>(4*3.14*(((Q161^1.6*R161^1.6+Q161^1.6*S161^1.6+R161^1.6+S161^1.6)/3)^(1/1.6)))*(1/V161)</f>
        <v>48.453350622962667</v>
      </c>
      <c r="X161" s="24">
        <f>3.14/6*Q161*R161*S161*U161</f>
        <v>3.5324999999999993</v>
      </c>
      <c r="Y161" s="21">
        <v>1</v>
      </c>
      <c r="Z161" s="24">
        <f t="shared" si="35"/>
        <v>48.453350622962667</v>
      </c>
      <c r="AA161" s="24">
        <f t="shared" si="36"/>
        <v>3.5324999999999993</v>
      </c>
      <c r="AB161" s="21"/>
      <c r="AC161" s="21"/>
      <c r="AD161" s="21"/>
      <c r="AE161" s="21"/>
      <c r="AF161" s="21" t="s">
        <v>247</v>
      </c>
      <c r="AG161" s="21"/>
      <c r="AH161" s="24"/>
      <c r="AI161" s="24"/>
      <c r="AJ161" s="21">
        <v>3.5324999999999993</v>
      </c>
      <c r="AK161" s="21">
        <v>3</v>
      </c>
      <c r="AL161" s="22" t="s">
        <v>631</v>
      </c>
      <c r="AM161" s="22">
        <v>0.22</v>
      </c>
      <c r="AN161" s="22" t="s">
        <v>368</v>
      </c>
      <c r="AO161" s="22" t="s">
        <v>229</v>
      </c>
      <c r="AP161" s="22" t="s">
        <v>626</v>
      </c>
      <c r="AQ161" s="22" t="str">
        <f t="shared" si="39"/>
        <v>Nanophytoplankton</v>
      </c>
      <c r="AR161" s="22">
        <v>0</v>
      </c>
      <c r="AS161" s="22">
        <v>0</v>
      </c>
      <c r="AT161" s="22">
        <v>0</v>
      </c>
      <c r="AU161" s="22">
        <v>0</v>
      </c>
      <c r="AV161" s="22">
        <v>0</v>
      </c>
      <c r="AW161" s="22">
        <v>0</v>
      </c>
      <c r="AX161" s="22">
        <v>0</v>
      </c>
      <c r="AY161" s="22">
        <v>1</v>
      </c>
    </row>
    <row r="162" spans="1:57">
      <c r="A162" s="21" t="s">
        <v>632</v>
      </c>
      <c r="B162" s="22" t="s">
        <v>149</v>
      </c>
      <c r="C162" s="22" t="s">
        <v>150</v>
      </c>
      <c r="D162" s="23" t="s">
        <v>151</v>
      </c>
      <c r="E162" s="22" t="s">
        <v>61</v>
      </c>
      <c r="F162" s="22" t="s">
        <v>152</v>
      </c>
      <c r="G162" s="22" t="s">
        <v>60</v>
      </c>
      <c r="H162" s="22" t="s">
        <v>293</v>
      </c>
      <c r="I162" s="22" t="s">
        <v>624</v>
      </c>
      <c r="J162" s="22" t="s">
        <v>211</v>
      </c>
      <c r="M162" s="22" t="s">
        <v>1</v>
      </c>
      <c r="N162" s="22" t="s">
        <v>228</v>
      </c>
      <c r="O162" s="22" t="s">
        <v>158</v>
      </c>
      <c r="P162" s="21">
        <v>11311</v>
      </c>
      <c r="Q162" s="21">
        <v>2</v>
      </c>
      <c r="R162" s="21">
        <v>1</v>
      </c>
      <c r="S162" s="21">
        <v>1</v>
      </c>
      <c r="T162" s="21" t="s">
        <v>159</v>
      </c>
      <c r="U162" s="21">
        <v>1</v>
      </c>
      <c r="V162" s="22">
        <v>1</v>
      </c>
      <c r="W162" s="24">
        <f>(4*3.14*(((Q162^1.6*R162^1.6+Q162^1.6*S162^1.6+R162^1.6+S162^1.6)/3)^(1/1.6)))*(1/V162)</f>
        <v>23.299401511037011</v>
      </c>
      <c r="X162" s="24">
        <f>3.14/6*Q162*R162*S162*U162</f>
        <v>1.0466666666666666</v>
      </c>
      <c r="Y162" s="21">
        <v>1</v>
      </c>
      <c r="Z162" s="24">
        <f t="shared" si="35"/>
        <v>23.299401511037011</v>
      </c>
      <c r="AA162" s="24">
        <f t="shared" si="36"/>
        <v>1.0466666666666666</v>
      </c>
      <c r="AB162" s="21"/>
      <c r="AC162" s="21"/>
      <c r="AD162" s="21"/>
      <c r="AE162" s="21"/>
      <c r="AF162" s="21" t="s">
        <v>247</v>
      </c>
      <c r="AG162" s="21"/>
      <c r="AH162" s="24"/>
      <c r="AI162" s="24"/>
      <c r="AJ162" s="21">
        <v>1.0466666666666666</v>
      </c>
      <c r="AK162" s="21">
        <v>2</v>
      </c>
      <c r="AL162" s="22" t="s">
        <v>304</v>
      </c>
      <c r="AM162" s="22">
        <v>0.22</v>
      </c>
      <c r="AN162" s="22" t="s">
        <v>368</v>
      </c>
      <c r="AO162" s="22" t="s">
        <v>229</v>
      </c>
      <c r="AP162" s="22" t="s">
        <v>626</v>
      </c>
      <c r="AQ162" s="22" t="str">
        <f t="shared" si="39"/>
        <v>Nanophytoplankton</v>
      </c>
      <c r="AR162" s="22">
        <v>0</v>
      </c>
      <c r="AS162" s="22">
        <v>0</v>
      </c>
      <c r="AT162" s="22">
        <v>0</v>
      </c>
      <c r="AU162" s="22">
        <v>0</v>
      </c>
      <c r="AV162" s="22">
        <v>0</v>
      </c>
      <c r="AW162" s="22">
        <v>0</v>
      </c>
      <c r="AX162" s="22">
        <v>0</v>
      </c>
      <c r="AY162" s="22">
        <v>1</v>
      </c>
    </row>
    <row r="163" spans="1:57">
      <c r="A163" s="21" t="s">
        <v>633</v>
      </c>
      <c r="B163" s="22" t="s">
        <v>149</v>
      </c>
      <c r="C163" s="22" t="s">
        <v>150</v>
      </c>
      <c r="D163" s="23" t="s">
        <v>151</v>
      </c>
      <c r="E163" s="22" t="s">
        <v>61</v>
      </c>
      <c r="F163" s="22" t="s">
        <v>152</v>
      </c>
      <c r="G163" s="22" t="s">
        <v>60</v>
      </c>
      <c r="H163" s="22" t="s">
        <v>226</v>
      </c>
      <c r="I163" s="22" t="s">
        <v>634</v>
      </c>
      <c r="J163" s="22" t="s">
        <v>635</v>
      </c>
      <c r="N163" s="22" t="s">
        <v>636</v>
      </c>
      <c r="O163" s="22" t="s">
        <v>158</v>
      </c>
      <c r="P163" s="21">
        <v>11323</v>
      </c>
      <c r="Q163" s="21">
        <v>5.7</v>
      </c>
      <c r="R163" s="21">
        <v>5.7</v>
      </c>
      <c r="S163" s="21">
        <v>5.7</v>
      </c>
      <c r="T163" s="21" t="s">
        <v>246</v>
      </c>
      <c r="U163" s="21">
        <v>1</v>
      </c>
      <c r="V163" s="22">
        <v>1</v>
      </c>
      <c r="W163" s="25">
        <f>4*3.14*(R163/2)*(Q163/2)/V163</f>
        <v>102.01860000000001</v>
      </c>
      <c r="X163" s="25">
        <f>(3.14/6*(Q163*S163*R163))*U163</f>
        <v>96.917670000000001</v>
      </c>
      <c r="Y163" s="21">
        <v>1</v>
      </c>
      <c r="Z163" s="24">
        <f t="shared" si="35"/>
        <v>102.01860000000001</v>
      </c>
      <c r="AA163" s="24">
        <f t="shared" si="36"/>
        <v>96.917670000000001</v>
      </c>
      <c r="AB163" s="21"/>
      <c r="AC163" s="21"/>
      <c r="AD163" s="21"/>
      <c r="AE163" s="21"/>
      <c r="AF163" s="21" t="s">
        <v>247</v>
      </c>
      <c r="AG163" s="21"/>
      <c r="AH163" s="24"/>
      <c r="AI163" s="24"/>
      <c r="AJ163" s="21">
        <v>97</v>
      </c>
      <c r="AK163" s="21">
        <v>5.7</v>
      </c>
      <c r="AL163" s="22" t="s">
        <v>161</v>
      </c>
      <c r="AM163" s="22">
        <v>0.22</v>
      </c>
      <c r="AN163" s="22" t="s">
        <v>368</v>
      </c>
      <c r="AO163" s="22" t="s">
        <v>331</v>
      </c>
      <c r="AP163" s="22" t="s">
        <v>626</v>
      </c>
      <c r="AQ163" s="22" t="str">
        <f t="shared" si="39"/>
        <v>Nanophytoplankton</v>
      </c>
      <c r="AR163" s="22">
        <v>0</v>
      </c>
      <c r="AS163" s="22">
        <v>0</v>
      </c>
      <c r="AT163" s="22">
        <v>0</v>
      </c>
      <c r="AU163" s="22">
        <v>0</v>
      </c>
      <c r="AV163" s="22">
        <v>0</v>
      </c>
      <c r="AW163" s="22">
        <v>0</v>
      </c>
      <c r="AX163" s="22">
        <v>0</v>
      </c>
      <c r="AY163" s="22">
        <v>1</v>
      </c>
    </row>
    <row r="164" spans="1:57">
      <c r="A164" s="21" t="s">
        <v>637</v>
      </c>
      <c r="B164" s="22" t="s">
        <v>149</v>
      </c>
      <c r="C164" s="22" t="s">
        <v>150</v>
      </c>
      <c r="D164" s="23" t="s">
        <v>151</v>
      </c>
      <c r="E164" s="22" t="s">
        <v>61</v>
      </c>
      <c r="F164" s="22" t="s">
        <v>152</v>
      </c>
      <c r="G164" s="22" t="s">
        <v>60</v>
      </c>
      <c r="H164" s="22" t="s">
        <v>226</v>
      </c>
      <c r="I164" s="22" t="s">
        <v>634</v>
      </c>
      <c r="J164" s="22" t="s">
        <v>638</v>
      </c>
      <c r="N164" s="22" t="s">
        <v>639</v>
      </c>
      <c r="O164" s="22" t="s">
        <v>158</v>
      </c>
      <c r="P164" s="21">
        <v>11321</v>
      </c>
      <c r="Q164" s="21">
        <v>0.8</v>
      </c>
      <c r="R164" s="21">
        <v>0.8</v>
      </c>
      <c r="S164" s="21">
        <v>0.8</v>
      </c>
      <c r="T164" s="21" t="s">
        <v>281</v>
      </c>
      <c r="U164" s="21">
        <v>1</v>
      </c>
      <c r="V164" s="22">
        <v>1</v>
      </c>
      <c r="W164" s="24">
        <f>(4*3.14*(((Q164^1.6*R164^1.6+Q164^1.6*S164^1.6+R164^1.6+S164^1.6)/3)^(1/1.6)))*(1/V164)</f>
        <v>10.864594492940718</v>
      </c>
      <c r="X164" s="24">
        <f>3.14/6*Q164*R164*S164*U164</f>
        <v>0.26794666666666672</v>
      </c>
      <c r="Y164" s="21">
        <v>1</v>
      </c>
      <c r="Z164" s="24">
        <f t="shared" si="35"/>
        <v>10.864594492940718</v>
      </c>
      <c r="AA164" s="24">
        <f t="shared" si="36"/>
        <v>0.26794666666666672</v>
      </c>
      <c r="AB164" s="21"/>
      <c r="AC164" s="21"/>
      <c r="AD164" s="21"/>
      <c r="AE164" s="21"/>
      <c r="AF164" s="21" t="s">
        <v>247</v>
      </c>
      <c r="AG164" s="21"/>
      <c r="AH164" s="24"/>
      <c r="AI164" s="24"/>
      <c r="AJ164" s="21">
        <v>0.26794666666666672</v>
      </c>
      <c r="AK164" s="21">
        <v>0.8</v>
      </c>
      <c r="AL164" s="22" t="s">
        <v>640</v>
      </c>
      <c r="AM164" s="22">
        <v>0.22</v>
      </c>
      <c r="AN164" s="22" t="s">
        <v>368</v>
      </c>
      <c r="AO164" s="22" t="s">
        <v>229</v>
      </c>
      <c r="AP164" s="22" t="s">
        <v>626</v>
      </c>
      <c r="AQ164" s="22" t="str">
        <f t="shared" si="39"/>
        <v>Nanophytoplankton</v>
      </c>
      <c r="AR164" s="22">
        <v>0</v>
      </c>
      <c r="AS164" s="22">
        <v>0</v>
      </c>
      <c r="AT164" s="22">
        <v>0</v>
      </c>
      <c r="AU164" s="22">
        <v>0</v>
      </c>
      <c r="AV164" s="22">
        <v>0</v>
      </c>
      <c r="AW164" s="22">
        <v>0</v>
      </c>
      <c r="AX164" s="22">
        <v>0</v>
      </c>
      <c r="AY164" s="22">
        <v>1</v>
      </c>
    </row>
    <row r="165" spans="1:57">
      <c r="A165" s="22" t="s">
        <v>641</v>
      </c>
      <c r="B165" s="22" t="s">
        <v>149</v>
      </c>
      <c r="C165" s="22" t="s">
        <v>150</v>
      </c>
      <c r="D165" s="23" t="s">
        <v>151</v>
      </c>
      <c r="E165" s="22" t="s">
        <v>61</v>
      </c>
      <c r="F165" s="22" t="s">
        <v>152</v>
      </c>
      <c r="G165" s="22" t="s">
        <v>60</v>
      </c>
      <c r="H165" s="22" t="s">
        <v>226</v>
      </c>
      <c r="I165" s="22" t="s">
        <v>634</v>
      </c>
      <c r="J165" s="22" t="s">
        <v>620</v>
      </c>
      <c r="N165" s="22" t="s">
        <v>157</v>
      </c>
      <c r="O165" s="22" t="s">
        <v>158</v>
      </c>
      <c r="P165" s="21">
        <v>11325</v>
      </c>
      <c r="Q165" s="22">
        <v>13</v>
      </c>
      <c r="R165" s="22">
        <v>13</v>
      </c>
      <c r="S165" s="22">
        <v>5</v>
      </c>
      <c r="T165" s="22" t="s">
        <v>246</v>
      </c>
      <c r="U165" s="21">
        <v>1</v>
      </c>
      <c r="V165" s="22">
        <v>1</v>
      </c>
      <c r="W165" s="25">
        <f>4*3.14*(R165/2)*(Q165/2)/V165</f>
        <v>530.66</v>
      </c>
      <c r="X165" s="25">
        <f>(3.14/6*(Q165*S165*R165))*U165</f>
        <v>442.21666666666664</v>
      </c>
      <c r="Y165" s="21">
        <v>1</v>
      </c>
      <c r="Z165" s="24">
        <f t="shared" si="35"/>
        <v>530.66</v>
      </c>
      <c r="AA165" s="24">
        <f t="shared" si="36"/>
        <v>442.21666666666664</v>
      </c>
      <c r="AE165" s="21"/>
      <c r="AF165" s="21" t="s">
        <v>247</v>
      </c>
      <c r="AG165" s="21"/>
      <c r="AH165" s="24"/>
      <c r="AI165" s="24"/>
      <c r="AJ165" s="21">
        <v>1149.7633333333333</v>
      </c>
      <c r="AK165" s="21">
        <v>13</v>
      </c>
      <c r="AL165" s="22" t="s">
        <v>161</v>
      </c>
      <c r="AM165" s="22">
        <v>0.22</v>
      </c>
      <c r="AO165" s="22" t="s">
        <v>229</v>
      </c>
      <c r="AP165" s="22" t="s">
        <v>626</v>
      </c>
      <c r="AQ165" s="22" t="str">
        <f t="shared" si="39"/>
        <v>Nanophytoplankton</v>
      </c>
      <c r="AR165" s="22">
        <v>0</v>
      </c>
      <c r="AS165" s="22">
        <v>0</v>
      </c>
      <c r="AT165" s="22">
        <v>0</v>
      </c>
      <c r="AU165" s="22">
        <v>0</v>
      </c>
      <c r="AV165" s="22">
        <v>0</v>
      </c>
      <c r="AW165" s="22">
        <v>0</v>
      </c>
      <c r="AX165" s="22">
        <v>0</v>
      </c>
      <c r="AY165" s="22">
        <v>1</v>
      </c>
    </row>
    <row r="166" spans="1:57">
      <c r="A166" s="21" t="s">
        <v>642</v>
      </c>
      <c r="B166" s="22" t="s">
        <v>149</v>
      </c>
      <c r="C166" s="22" t="s">
        <v>150</v>
      </c>
      <c r="D166" s="23" t="s">
        <v>151</v>
      </c>
      <c r="E166" s="22" t="s">
        <v>61</v>
      </c>
      <c r="F166" s="22" t="s">
        <v>152</v>
      </c>
      <c r="G166" s="22" t="s">
        <v>60</v>
      </c>
      <c r="H166" s="22" t="s">
        <v>226</v>
      </c>
      <c r="I166" s="22" t="s">
        <v>634</v>
      </c>
      <c r="J166" s="22" t="s">
        <v>643</v>
      </c>
      <c r="M166" s="22" t="s">
        <v>1</v>
      </c>
      <c r="N166" s="22" t="s">
        <v>644</v>
      </c>
      <c r="O166" s="22" t="s">
        <v>158</v>
      </c>
      <c r="P166" s="21">
        <v>11324</v>
      </c>
      <c r="Q166" s="21">
        <v>2</v>
      </c>
      <c r="R166" s="21">
        <v>2</v>
      </c>
      <c r="S166" s="21">
        <v>2</v>
      </c>
      <c r="T166" s="21" t="s">
        <v>246</v>
      </c>
      <c r="U166" s="21">
        <v>1</v>
      </c>
      <c r="V166" s="22">
        <v>1</v>
      </c>
      <c r="W166" s="25">
        <f>4*3.14*(R166/2)*(Q166/2)/V166</f>
        <v>12.56</v>
      </c>
      <c r="X166" s="25">
        <f>(3.14/6*(Q166*S166*R166))*U166</f>
        <v>4.1866666666666665</v>
      </c>
      <c r="Y166" s="21">
        <v>1</v>
      </c>
      <c r="Z166" s="24">
        <f t="shared" si="35"/>
        <v>12.56</v>
      </c>
      <c r="AA166" s="24">
        <f t="shared" si="36"/>
        <v>4.1866666666666665</v>
      </c>
      <c r="AB166" s="21"/>
      <c r="AC166" s="21"/>
      <c r="AD166" s="21"/>
      <c r="AE166" s="21"/>
      <c r="AF166" s="21" t="s">
        <v>247</v>
      </c>
      <c r="AG166" s="21"/>
      <c r="AH166" s="24"/>
      <c r="AI166" s="24"/>
      <c r="AJ166" s="21">
        <v>4.1866666666666665</v>
      </c>
      <c r="AK166" s="21">
        <v>2</v>
      </c>
      <c r="AL166" s="22" t="s">
        <v>645</v>
      </c>
      <c r="AM166" s="22">
        <v>0.22</v>
      </c>
      <c r="AN166" s="22" t="s">
        <v>368</v>
      </c>
      <c r="AO166" s="22" t="s">
        <v>229</v>
      </c>
      <c r="AP166" s="22" t="s">
        <v>626</v>
      </c>
      <c r="AQ166" s="22" t="str">
        <f t="shared" si="39"/>
        <v>Nanophytoplankton</v>
      </c>
      <c r="AR166" s="22">
        <v>0</v>
      </c>
      <c r="AS166" s="22">
        <v>0</v>
      </c>
      <c r="AT166" s="22">
        <v>0</v>
      </c>
      <c r="AU166" s="22">
        <v>0</v>
      </c>
      <c r="AV166" s="22">
        <v>0</v>
      </c>
      <c r="AW166" s="22">
        <v>0</v>
      </c>
      <c r="AX166" s="22">
        <v>0</v>
      </c>
      <c r="AY166" s="22">
        <v>1</v>
      </c>
    </row>
    <row r="167" spans="1:57">
      <c r="A167" s="21" t="s">
        <v>646</v>
      </c>
      <c r="B167" s="22" t="s">
        <v>149</v>
      </c>
      <c r="C167" s="22" t="s">
        <v>150</v>
      </c>
      <c r="D167" s="23" t="s">
        <v>151</v>
      </c>
      <c r="E167" s="22" t="s">
        <v>61</v>
      </c>
      <c r="F167" s="22" t="s">
        <v>152</v>
      </c>
      <c r="G167" s="22" t="s">
        <v>60</v>
      </c>
      <c r="H167" s="22" t="s">
        <v>226</v>
      </c>
      <c r="I167" s="22" t="s">
        <v>634</v>
      </c>
      <c r="J167" s="22" t="s">
        <v>647</v>
      </c>
      <c r="M167" s="22" t="s">
        <v>1</v>
      </c>
      <c r="N167" s="22" t="s">
        <v>644</v>
      </c>
      <c r="O167" s="22" t="s">
        <v>158</v>
      </c>
      <c r="P167" s="21">
        <v>11320</v>
      </c>
      <c r="Q167" s="21">
        <v>4</v>
      </c>
      <c r="R167" s="21">
        <v>4</v>
      </c>
      <c r="S167" s="21">
        <v>4</v>
      </c>
      <c r="T167" s="21" t="s">
        <v>246</v>
      </c>
      <c r="U167" s="21">
        <v>1</v>
      </c>
      <c r="V167" s="22">
        <v>1</v>
      </c>
      <c r="W167" s="25">
        <f>4*3.14*(R167/2)*(Q167/2)/V167</f>
        <v>50.24</v>
      </c>
      <c r="X167" s="25">
        <f>(3.14/6*(Q167*S167*R167))*U167</f>
        <v>33.493333333333332</v>
      </c>
      <c r="Y167" s="21">
        <v>1</v>
      </c>
      <c r="Z167" s="24">
        <f t="shared" si="35"/>
        <v>50.24</v>
      </c>
      <c r="AA167" s="24">
        <f t="shared" si="36"/>
        <v>33.493333333333332</v>
      </c>
      <c r="AB167" s="21"/>
      <c r="AC167" s="21"/>
      <c r="AD167" s="21"/>
      <c r="AE167" s="21"/>
      <c r="AF167" s="21" t="s">
        <v>247</v>
      </c>
      <c r="AG167" s="21"/>
      <c r="AH167" s="24"/>
      <c r="AI167" s="24"/>
      <c r="AJ167" s="21">
        <v>33.493333333333332</v>
      </c>
      <c r="AK167" s="21">
        <v>4</v>
      </c>
      <c r="AL167" s="22" t="s">
        <v>161</v>
      </c>
      <c r="AM167" s="22">
        <v>0.22</v>
      </c>
      <c r="AN167" s="22" t="s">
        <v>368</v>
      </c>
      <c r="AO167" s="22" t="s">
        <v>229</v>
      </c>
      <c r="AP167" s="22" t="s">
        <v>626</v>
      </c>
      <c r="AQ167" s="22" t="str">
        <f t="shared" si="39"/>
        <v>Nanophytoplankton</v>
      </c>
      <c r="AR167" s="22">
        <v>0</v>
      </c>
      <c r="AS167" s="22">
        <v>0</v>
      </c>
      <c r="AT167" s="22">
        <v>0</v>
      </c>
      <c r="AU167" s="22">
        <v>0</v>
      </c>
      <c r="AV167" s="22">
        <v>0</v>
      </c>
      <c r="AW167" s="22">
        <v>0</v>
      </c>
      <c r="AX167" s="22">
        <v>0</v>
      </c>
      <c r="AY167" s="22">
        <v>1</v>
      </c>
    </row>
    <row r="168" spans="1:57" ht="14">
      <c r="A168" s="21" t="s">
        <v>648</v>
      </c>
      <c r="B168" s="22" t="s">
        <v>149</v>
      </c>
      <c r="C168" s="22" t="s">
        <v>150</v>
      </c>
      <c r="D168" s="23" t="s">
        <v>151</v>
      </c>
      <c r="E168" s="22" t="s">
        <v>61</v>
      </c>
      <c r="F168" s="22" t="s">
        <v>152</v>
      </c>
      <c r="G168" s="20" t="s">
        <v>153</v>
      </c>
      <c r="H168" s="22" t="s">
        <v>543</v>
      </c>
      <c r="I168" s="22" t="s">
        <v>649</v>
      </c>
      <c r="J168" s="22" t="s">
        <v>211</v>
      </c>
      <c r="M168" s="22" t="s">
        <v>1</v>
      </c>
      <c r="N168" s="22" t="s">
        <v>434</v>
      </c>
      <c r="O168" s="22" t="s">
        <v>158</v>
      </c>
      <c r="P168" s="21">
        <v>12000</v>
      </c>
      <c r="Q168" s="21">
        <v>8</v>
      </c>
      <c r="R168" s="21">
        <v>8</v>
      </c>
      <c r="S168" s="21">
        <v>8</v>
      </c>
      <c r="T168" s="21" t="s">
        <v>160</v>
      </c>
      <c r="U168" s="21">
        <v>1</v>
      </c>
      <c r="V168" s="21">
        <v>1</v>
      </c>
      <c r="W168" s="24">
        <f>3.14*R168*Q168+2*3.14*(S168/2)^2/V168</f>
        <v>301.44</v>
      </c>
      <c r="X168" s="25">
        <f>(3.14/4*R168^2*Q168)*U168</f>
        <v>401.92</v>
      </c>
      <c r="Y168" s="21">
        <v>12.5</v>
      </c>
      <c r="Z168" s="24">
        <f t="shared" si="35"/>
        <v>3768</v>
      </c>
      <c r="AA168" s="24">
        <f t="shared" si="36"/>
        <v>5024</v>
      </c>
      <c r="AB168" s="21">
        <v>100</v>
      </c>
      <c r="AC168" s="21">
        <v>8</v>
      </c>
      <c r="AD168" s="21">
        <v>8</v>
      </c>
      <c r="AE168" s="21" t="s">
        <v>160</v>
      </c>
      <c r="AF168" s="21">
        <v>1</v>
      </c>
      <c r="AG168" s="21">
        <v>1</v>
      </c>
      <c r="AH168" s="24">
        <f>3.14*AC168*AB168+2*3.14*(AD168/2)^2/AG168</f>
        <v>2612.48</v>
      </c>
      <c r="AI168" s="25">
        <f>(3.14/4*AC168^2*AB168)*AF168</f>
        <v>5024</v>
      </c>
      <c r="AJ168" s="21">
        <v>5024</v>
      </c>
      <c r="AK168" s="21">
        <v>100</v>
      </c>
      <c r="AL168" s="22" t="s">
        <v>161</v>
      </c>
      <c r="AM168" s="22">
        <v>0.22</v>
      </c>
      <c r="AP168" s="22" t="s">
        <v>169</v>
      </c>
      <c r="AQ168" s="22" t="str">
        <f t="shared" si="39"/>
        <v>Microphytoplankton</v>
      </c>
      <c r="AR168" s="22">
        <v>0</v>
      </c>
      <c r="AS168" s="22">
        <v>0</v>
      </c>
      <c r="AT168" s="22">
        <v>0</v>
      </c>
      <c r="AU168" s="22">
        <v>1</v>
      </c>
      <c r="AV168" s="22">
        <v>1</v>
      </c>
      <c r="AW168" s="22">
        <v>0</v>
      </c>
      <c r="AX168" s="22">
        <v>0</v>
      </c>
      <c r="AY168" s="22">
        <v>1</v>
      </c>
    </row>
    <row r="169" spans="1:57">
      <c r="A169" s="22" t="s">
        <v>650</v>
      </c>
      <c r="B169" s="22" t="s">
        <v>149</v>
      </c>
      <c r="C169" s="22" t="s">
        <v>150</v>
      </c>
      <c r="D169" s="23" t="s">
        <v>151</v>
      </c>
      <c r="E169" s="22" t="s">
        <v>61</v>
      </c>
      <c r="F169" s="22" t="s">
        <v>152</v>
      </c>
      <c r="G169" s="22" t="s">
        <v>60</v>
      </c>
      <c r="H169" s="22" t="s">
        <v>226</v>
      </c>
      <c r="I169" s="22" t="s">
        <v>651</v>
      </c>
      <c r="J169" s="22" t="s">
        <v>652</v>
      </c>
      <c r="N169" s="22" t="s">
        <v>653</v>
      </c>
      <c r="O169" s="22" t="s">
        <v>158</v>
      </c>
      <c r="P169" s="21">
        <v>11902</v>
      </c>
      <c r="Q169" s="22">
        <v>4</v>
      </c>
      <c r="R169" s="22">
        <v>3</v>
      </c>
      <c r="S169" s="22">
        <v>3</v>
      </c>
      <c r="T169" s="22" t="s">
        <v>281</v>
      </c>
      <c r="U169" s="21">
        <v>1</v>
      </c>
      <c r="V169" s="21">
        <v>1</v>
      </c>
      <c r="W169" s="24">
        <f t="shared" ref="W169:W202" si="42">(4*3.14*(((Q169^1.6*R169^1.6+Q169^1.6*S169^1.6+R169^1.6+S169^1.6)/3)^(1/1.6)))*(1/V169)</f>
        <v>124.78193515861727</v>
      </c>
      <c r="X169" s="24">
        <f t="shared" ref="X169:X202" si="43">3.14/6*Q169*R169*S169*U169</f>
        <v>18.839999999999996</v>
      </c>
      <c r="Y169" s="22">
        <v>30</v>
      </c>
      <c r="Z169" s="24">
        <f t="shared" si="35"/>
        <v>3743.4580547585183</v>
      </c>
      <c r="AA169" s="24">
        <f t="shared" si="36"/>
        <v>565.19999999999993</v>
      </c>
      <c r="AB169" s="22">
        <v>15</v>
      </c>
      <c r="AC169" s="22">
        <v>15</v>
      </c>
      <c r="AD169" s="22">
        <v>15</v>
      </c>
      <c r="AE169" s="22" t="s">
        <v>159</v>
      </c>
      <c r="AF169" s="21">
        <v>0.2</v>
      </c>
      <c r="AG169" s="22">
        <v>1</v>
      </c>
      <c r="AH169" s="24">
        <f>(4*3.14*(((AB169^1.6*AC169^1.6+AB169^1.6*AD169^1.6+AC169^1.6+AD169^1.6)/3)^(1/1.6)))*(1/AG169)</f>
        <v>2211.3412553863004</v>
      </c>
      <c r="AI169" s="24">
        <f>3.14/6*AB169*AC169*AD169*AF169</f>
        <v>353.25</v>
      </c>
      <c r="AJ169" s="21">
        <v>565.20000000000005</v>
      </c>
      <c r="AK169" s="21">
        <v>60</v>
      </c>
      <c r="AL169" s="22" t="s">
        <v>161</v>
      </c>
      <c r="AM169" s="22">
        <v>0.22</v>
      </c>
      <c r="AN169" s="22" t="s">
        <v>331</v>
      </c>
      <c r="AO169" s="22" t="s">
        <v>331</v>
      </c>
      <c r="AP169" s="22" t="s">
        <v>230</v>
      </c>
      <c r="AQ169" s="22" t="str">
        <f t="shared" si="39"/>
        <v>Microphytoplankton</v>
      </c>
      <c r="AR169" s="22">
        <v>0</v>
      </c>
      <c r="AS169" s="22">
        <v>0</v>
      </c>
      <c r="AT169" s="22">
        <v>0</v>
      </c>
      <c r="AU169" s="22">
        <v>1</v>
      </c>
      <c r="AV169" s="22">
        <v>0</v>
      </c>
      <c r="AW169" s="22">
        <v>0</v>
      </c>
      <c r="AX169" s="22">
        <v>0</v>
      </c>
      <c r="AY169" s="22">
        <v>1</v>
      </c>
    </row>
    <row r="170" spans="1:57">
      <c r="A170" s="21" t="s">
        <v>654</v>
      </c>
      <c r="B170" s="22" t="s">
        <v>149</v>
      </c>
      <c r="C170" s="22" t="s">
        <v>150</v>
      </c>
      <c r="D170" s="23" t="s">
        <v>151</v>
      </c>
      <c r="E170" s="22" t="s">
        <v>61</v>
      </c>
      <c r="F170" s="22" t="s">
        <v>152</v>
      </c>
      <c r="G170" s="22" t="s">
        <v>60</v>
      </c>
      <c r="H170" s="22" t="s">
        <v>226</v>
      </c>
      <c r="I170" s="22" t="s">
        <v>651</v>
      </c>
      <c r="J170" s="22" t="s">
        <v>655</v>
      </c>
      <c r="K170" s="22" t="s">
        <v>184</v>
      </c>
      <c r="L170" s="22" t="s">
        <v>241</v>
      </c>
      <c r="N170" s="22" t="s">
        <v>656</v>
      </c>
      <c r="O170" s="22" t="s">
        <v>158</v>
      </c>
      <c r="P170" s="21">
        <v>11900</v>
      </c>
      <c r="Q170" s="21">
        <v>6</v>
      </c>
      <c r="R170" s="21">
        <v>3</v>
      </c>
      <c r="S170" s="21">
        <v>3</v>
      </c>
      <c r="T170" s="21" t="s">
        <v>281</v>
      </c>
      <c r="U170" s="21">
        <v>1</v>
      </c>
      <c r="V170" s="21">
        <v>1</v>
      </c>
      <c r="W170" s="24">
        <f t="shared" si="42"/>
        <v>181.64401962190658</v>
      </c>
      <c r="X170" s="24">
        <f t="shared" si="43"/>
        <v>28.259999999999994</v>
      </c>
      <c r="Y170" s="21">
        <v>64</v>
      </c>
      <c r="Z170" s="24">
        <f t="shared" si="35"/>
        <v>11625.217255802021</v>
      </c>
      <c r="AA170" s="24">
        <f t="shared" si="36"/>
        <v>1808.6399999999996</v>
      </c>
      <c r="AB170" s="21">
        <v>25</v>
      </c>
      <c r="AC170" s="21">
        <v>25</v>
      </c>
      <c r="AD170" s="21">
        <v>25</v>
      </c>
      <c r="AE170" s="22" t="s">
        <v>159</v>
      </c>
      <c r="AF170" s="21">
        <v>0.2</v>
      </c>
      <c r="AG170" s="22">
        <v>1</v>
      </c>
      <c r="AH170" s="24">
        <f>(4*3.14*(((AB170^1.6*AC170^1.6+AB170^1.6*AD170^1.6+AC170^1.6+AD170^1.6)/3)^(1/1.6)))*(1/AG170)</f>
        <v>6114.7951676261209</v>
      </c>
      <c r="AI170" s="24">
        <f>3.14/6*AB170*AC170*AD170*AF170</f>
        <v>1635.4166666666667</v>
      </c>
      <c r="AJ170" s="21">
        <v>33.5</v>
      </c>
      <c r="AK170" s="21">
        <v>4</v>
      </c>
      <c r="AL170" s="22" t="s">
        <v>161</v>
      </c>
      <c r="AM170" s="22">
        <v>0.22</v>
      </c>
      <c r="AN170" s="22" t="s">
        <v>331</v>
      </c>
      <c r="AO170" s="22" t="s">
        <v>331</v>
      </c>
      <c r="AP170" s="22" t="s">
        <v>230</v>
      </c>
      <c r="AQ170" s="22" t="str">
        <f t="shared" si="39"/>
        <v>Nanophytoplankton</v>
      </c>
      <c r="AR170" s="22">
        <v>0</v>
      </c>
      <c r="AS170" s="22">
        <v>0</v>
      </c>
      <c r="AT170" s="22">
        <v>0</v>
      </c>
      <c r="AU170" s="22">
        <v>1</v>
      </c>
      <c r="AV170" s="22">
        <v>0</v>
      </c>
      <c r="AW170" s="22">
        <v>0</v>
      </c>
      <c r="AX170" s="22">
        <v>0</v>
      </c>
      <c r="AY170" s="22">
        <v>1</v>
      </c>
    </row>
    <row r="171" spans="1:57">
      <c r="A171" s="21" t="s">
        <v>657</v>
      </c>
      <c r="B171" s="22" t="s">
        <v>149</v>
      </c>
      <c r="C171" s="22" t="s">
        <v>150</v>
      </c>
      <c r="D171" s="23" t="s">
        <v>151</v>
      </c>
      <c r="E171" s="22" t="s">
        <v>61</v>
      </c>
      <c r="F171" s="22" t="s">
        <v>152</v>
      </c>
      <c r="G171" s="22" t="s">
        <v>60</v>
      </c>
      <c r="H171" s="22" t="s">
        <v>226</v>
      </c>
      <c r="I171" s="22" t="s">
        <v>651</v>
      </c>
      <c r="J171" s="22" t="s">
        <v>655</v>
      </c>
      <c r="K171" s="22" t="s">
        <v>184</v>
      </c>
      <c r="L171" s="22" t="s">
        <v>658</v>
      </c>
      <c r="N171" s="22" t="s">
        <v>656</v>
      </c>
      <c r="O171" s="22" t="s">
        <v>158</v>
      </c>
      <c r="P171" s="21">
        <v>11901</v>
      </c>
      <c r="Q171" s="21">
        <v>6</v>
      </c>
      <c r="R171" s="21">
        <v>3</v>
      </c>
      <c r="S171" s="21">
        <v>3</v>
      </c>
      <c r="T171" s="21" t="s">
        <v>281</v>
      </c>
      <c r="U171" s="21">
        <v>1</v>
      </c>
      <c r="V171" s="22">
        <v>1</v>
      </c>
      <c r="W171" s="24">
        <f t="shared" si="42"/>
        <v>181.64401962190658</v>
      </c>
      <c r="X171" s="24">
        <f t="shared" si="43"/>
        <v>28.259999999999994</v>
      </c>
      <c r="Y171" s="21">
        <v>1</v>
      </c>
      <c r="Z171" s="24">
        <f t="shared" si="35"/>
        <v>181.64401962190658</v>
      </c>
      <c r="AA171" s="24">
        <f t="shared" si="36"/>
        <v>28.259999999999994</v>
      </c>
      <c r="AB171" s="21"/>
      <c r="AC171" s="21"/>
      <c r="AD171" s="21"/>
      <c r="AF171" s="21"/>
      <c r="AH171" s="24"/>
      <c r="AI171" s="24"/>
      <c r="AJ171" s="21">
        <v>28.2</v>
      </c>
      <c r="AK171" s="21">
        <v>6</v>
      </c>
      <c r="AL171" s="22" t="s">
        <v>161</v>
      </c>
      <c r="AM171" s="22">
        <v>0.22</v>
      </c>
      <c r="AN171" s="22" t="s">
        <v>331</v>
      </c>
      <c r="AO171" s="22" t="s">
        <v>331</v>
      </c>
      <c r="AP171" s="22" t="s">
        <v>230</v>
      </c>
      <c r="AQ171" s="22" t="str">
        <f t="shared" si="39"/>
        <v>Nanophytoplankton</v>
      </c>
      <c r="AR171" s="22">
        <v>0</v>
      </c>
      <c r="AS171" s="22">
        <v>0</v>
      </c>
      <c r="AT171" s="22">
        <v>0</v>
      </c>
      <c r="AU171" s="22">
        <v>1</v>
      </c>
      <c r="AV171" s="22">
        <v>0</v>
      </c>
      <c r="AW171" s="22">
        <v>0</v>
      </c>
      <c r="AX171" s="22">
        <v>0</v>
      </c>
      <c r="AY171" s="22">
        <v>1</v>
      </c>
    </row>
    <row r="172" spans="1:57">
      <c r="A172" s="21" t="s">
        <v>659</v>
      </c>
      <c r="B172" s="22" t="s">
        <v>149</v>
      </c>
      <c r="C172" s="22" t="s">
        <v>150</v>
      </c>
      <c r="D172" s="23" t="s">
        <v>151</v>
      </c>
      <c r="E172" s="22" t="s">
        <v>61</v>
      </c>
      <c r="F172" s="22" t="s">
        <v>152</v>
      </c>
      <c r="G172" s="22" t="s">
        <v>60</v>
      </c>
      <c r="H172" s="22" t="s">
        <v>226</v>
      </c>
      <c r="I172" s="22" t="s">
        <v>651</v>
      </c>
      <c r="J172" s="22" t="s">
        <v>660</v>
      </c>
      <c r="N172" s="22" t="s">
        <v>614</v>
      </c>
      <c r="O172" s="22" t="s">
        <v>158</v>
      </c>
      <c r="P172" s="21">
        <v>11903</v>
      </c>
      <c r="Q172" s="21">
        <v>5</v>
      </c>
      <c r="R172" s="21">
        <v>2.5</v>
      </c>
      <c r="S172" s="21">
        <v>2.5</v>
      </c>
      <c r="T172" s="21" t="s">
        <v>281</v>
      </c>
      <c r="U172" s="21">
        <v>1</v>
      </c>
      <c r="V172" s="22">
        <v>1</v>
      </c>
      <c r="W172" s="24">
        <f t="shared" si="42"/>
        <v>127.57399407485551</v>
      </c>
      <c r="X172" s="24">
        <f t="shared" si="43"/>
        <v>16.354166666666668</v>
      </c>
      <c r="Y172" s="21">
        <v>45</v>
      </c>
      <c r="Z172" s="24">
        <f t="shared" si="35"/>
        <v>5740.8297333684977</v>
      </c>
      <c r="AA172" s="24">
        <f t="shared" si="36"/>
        <v>735.9375</v>
      </c>
      <c r="AB172" s="21">
        <v>25</v>
      </c>
      <c r="AC172" s="21">
        <v>30</v>
      </c>
      <c r="AD172" s="21">
        <v>30</v>
      </c>
      <c r="AE172" s="21" t="s">
        <v>159</v>
      </c>
      <c r="AF172" s="21">
        <v>0.5</v>
      </c>
      <c r="AG172" s="21">
        <v>1</v>
      </c>
      <c r="AH172" s="24">
        <f>(4*3.14*(((AB172^1.6*AC172^1.6+AB172^1.6*AD172^1.6+AC172^1.6+AD172^1.6)/3)^(1/1.6)))*(1/AG172)</f>
        <v>7337.7542011513488</v>
      </c>
      <c r="AI172" s="24">
        <f>3.14/6*AB172*AC172*AD172*AF172</f>
        <v>5887.4999999999991</v>
      </c>
      <c r="AJ172" s="21">
        <v>5887.4999999999991</v>
      </c>
      <c r="AK172" s="21">
        <v>30</v>
      </c>
      <c r="AL172" s="22" t="s">
        <v>161</v>
      </c>
      <c r="AM172" s="22">
        <v>0.22</v>
      </c>
      <c r="AO172" s="22" t="s">
        <v>331</v>
      </c>
      <c r="AP172" s="22" t="s">
        <v>230</v>
      </c>
      <c r="AQ172" s="22" t="str">
        <f t="shared" si="39"/>
        <v>Microphytoplankton</v>
      </c>
      <c r="AR172" s="22">
        <v>0</v>
      </c>
      <c r="AS172" s="22">
        <v>0</v>
      </c>
      <c r="AT172" s="22">
        <v>0</v>
      </c>
      <c r="AU172" s="22">
        <v>1</v>
      </c>
      <c r="AV172" s="22">
        <v>0</v>
      </c>
      <c r="AW172" s="22">
        <v>0</v>
      </c>
      <c r="AX172" s="22">
        <v>0</v>
      </c>
      <c r="AY172" s="22">
        <v>1</v>
      </c>
    </row>
    <row r="173" spans="1:57">
      <c r="A173" s="21" t="s">
        <v>661</v>
      </c>
      <c r="B173" s="22" t="s">
        <v>149</v>
      </c>
      <c r="C173" s="22" t="s">
        <v>150</v>
      </c>
      <c r="D173" s="23" t="s">
        <v>151</v>
      </c>
      <c r="E173" s="22" t="s">
        <v>61</v>
      </c>
      <c r="F173" s="22" t="s">
        <v>152</v>
      </c>
      <c r="G173" s="22" t="s">
        <v>60</v>
      </c>
      <c r="H173" s="22" t="s">
        <v>226</v>
      </c>
      <c r="I173" s="22" t="s">
        <v>651</v>
      </c>
      <c r="J173" s="22" t="s">
        <v>211</v>
      </c>
      <c r="M173" s="22" t="s">
        <v>1</v>
      </c>
      <c r="N173" s="22" t="s">
        <v>622</v>
      </c>
      <c r="O173" s="22" t="s">
        <v>158</v>
      </c>
      <c r="P173" s="21">
        <v>11910</v>
      </c>
      <c r="Q173" s="21">
        <v>5</v>
      </c>
      <c r="R173" s="21">
        <v>2.8</v>
      </c>
      <c r="S173" s="21">
        <v>2.8</v>
      </c>
      <c r="T173" s="21" t="s">
        <v>281</v>
      </c>
      <c r="U173" s="21">
        <v>1</v>
      </c>
      <c r="V173" s="21">
        <v>1</v>
      </c>
      <c r="W173" s="24">
        <f t="shared" si="42"/>
        <v>142.88287336383817</v>
      </c>
      <c r="X173" s="24">
        <f t="shared" si="43"/>
        <v>20.514666666666663</v>
      </c>
      <c r="Y173" s="21">
        <v>64</v>
      </c>
      <c r="Z173" s="24">
        <f t="shared" si="35"/>
        <v>9144.503895285643</v>
      </c>
      <c r="AA173" s="24">
        <f t="shared" si="36"/>
        <v>1312.9386666666664</v>
      </c>
      <c r="AB173" s="21">
        <v>35</v>
      </c>
      <c r="AC173" s="21">
        <v>30</v>
      </c>
      <c r="AD173" s="21">
        <v>30</v>
      </c>
      <c r="AE173" s="22" t="s">
        <v>159</v>
      </c>
      <c r="AF173" s="21">
        <v>0.2</v>
      </c>
      <c r="AG173" s="22">
        <v>1</v>
      </c>
      <c r="AH173" s="24">
        <f>(4*3.14*(((AB173^1.6*AC173^1.6+AB173^1.6*AD173^1.6+AC173^1.6+AD173^1.6)/3)^(1/1.6)))*(1/AG173)</f>
        <v>10257.44062743935</v>
      </c>
      <c r="AI173" s="24">
        <f>3.14/6*AB173*AC173*AD173*AF173</f>
        <v>3297</v>
      </c>
      <c r="AJ173" s="21">
        <v>1313.6</v>
      </c>
      <c r="AK173" s="21">
        <v>100</v>
      </c>
      <c r="AL173" s="22" t="s">
        <v>161</v>
      </c>
      <c r="AM173" s="22">
        <v>0.22</v>
      </c>
      <c r="AN173" s="22" t="s">
        <v>331</v>
      </c>
      <c r="AO173" s="22" t="s">
        <v>331</v>
      </c>
      <c r="AP173" s="22" t="s">
        <v>230</v>
      </c>
      <c r="AQ173" s="22" t="str">
        <f t="shared" si="39"/>
        <v>Microphytoplankton</v>
      </c>
      <c r="AR173" s="22">
        <v>0</v>
      </c>
      <c r="AS173" s="22">
        <v>0</v>
      </c>
      <c r="AT173" s="22">
        <v>0</v>
      </c>
      <c r="AU173" s="22">
        <v>1</v>
      </c>
      <c r="AV173" s="22">
        <v>0</v>
      </c>
      <c r="AW173" s="22">
        <v>0</v>
      </c>
      <c r="AX173" s="22">
        <v>0</v>
      </c>
      <c r="AY173" s="22">
        <v>1</v>
      </c>
    </row>
    <row r="174" spans="1:57">
      <c r="A174" s="21" t="s">
        <v>662</v>
      </c>
      <c r="B174" s="22" t="s">
        <v>663</v>
      </c>
      <c r="C174" s="22" t="s">
        <v>664</v>
      </c>
      <c r="D174" s="22" t="s">
        <v>665</v>
      </c>
      <c r="E174" s="22" t="s">
        <v>666</v>
      </c>
      <c r="F174" s="22" t="s">
        <v>667</v>
      </c>
      <c r="G174" s="22" t="s">
        <v>668</v>
      </c>
      <c r="H174" s="22" t="s">
        <v>669</v>
      </c>
      <c r="I174" s="22" t="s">
        <v>670</v>
      </c>
      <c r="J174" s="22" t="s">
        <v>211</v>
      </c>
      <c r="M174" s="22" t="s">
        <v>1</v>
      </c>
      <c r="N174" s="22" t="s">
        <v>671</v>
      </c>
      <c r="O174" s="21" t="s">
        <v>672</v>
      </c>
      <c r="P174" s="21">
        <v>20810</v>
      </c>
      <c r="Q174" s="21">
        <v>10</v>
      </c>
      <c r="R174" s="21">
        <v>9</v>
      </c>
      <c r="S174" s="21">
        <v>9</v>
      </c>
      <c r="T174" s="21" t="s">
        <v>281</v>
      </c>
      <c r="U174" s="21">
        <v>0.9</v>
      </c>
      <c r="V174" s="21">
        <v>0.9</v>
      </c>
      <c r="W174" s="24">
        <f t="shared" si="42"/>
        <v>990.07135012826075</v>
      </c>
      <c r="X174" s="24">
        <f t="shared" si="43"/>
        <v>381.51000000000005</v>
      </c>
      <c r="Y174" s="21">
        <v>1</v>
      </c>
      <c r="Z174" s="24">
        <f t="shared" si="35"/>
        <v>990.07135012826075</v>
      </c>
      <c r="AA174" s="24">
        <f t="shared" si="36"/>
        <v>381.51000000000005</v>
      </c>
      <c r="AB174" s="21"/>
      <c r="AC174" s="21"/>
      <c r="AD174" s="21"/>
      <c r="AE174" s="21"/>
      <c r="AF174" s="21" t="s">
        <v>247</v>
      </c>
      <c r="AG174" s="21"/>
      <c r="AH174" s="24"/>
      <c r="AI174" s="24"/>
      <c r="AJ174" s="21">
        <v>381.7</v>
      </c>
      <c r="AK174" s="21">
        <v>10</v>
      </c>
      <c r="AL174" s="22" t="s">
        <v>161</v>
      </c>
      <c r="AM174" s="22">
        <v>0.13</v>
      </c>
      <c r="AP174" s="22" t="s">
        <v>673</v>
      </c>
      <c r="AQ174" s="22" t="str">
        <f t="shared" si="39"/>
        <v>Nanophytoplankton</v>
      </c>
      <c r="AR174" s="22">
        <v>1</v>
      </c>
      <c r="AS174" s="22">
        <v>1</v>
      </c>
      <c r="AT174" s="22">
        <v>0</v>
      </c>
      <c r="AU174" s="22">
        <v>0</v>
      </c>
      <c r="AV174" s="22">
        <v>0</v>
      </c>
      <c r="AW174" s="22">
        <v>0</v>
      </c>
      <c r="AX174" s="22">
        <v>1</v>
      </c>
      <c r="AY174" s="22">
        <v>0</v>
      </c>
    </row>
    <row r="175" spans="1:57">
      <c r="A175" s="21" t="s">
        <v>674</v>
      </c>
      <c r="B175" s="22" t="s">
        <v>663</v>
      </c>
      <c r="C175" s="22" t="s">
        <v>664</v>
      </c>
      <c r="D175" s="22" t="s">
        <v>665</v>
      </c>
      <c r="E175" s="22" t="s">
        <v>666</v>
      </c>
      <c r="F175" s="22" t="s">
        <v>667</v>
      </c>
      <c r="G175" s="22" t="s">
        <v>675</v>
      </c>
      <c r="H175" s="22" t="s">
        <v>676</v>
      </c>
      <c r="I175" s="22" t="s">
        <v>677</v>
      </c>
      <c r="J175" s="22" t="s">
        <v>678</v>
      </c>
      <c r="N175" s="22" t="s">
        <v>679</v>
      </c>
      <c r="O175" s="21" t="s">
        <v>672</v>
      </c>
      <c r="P175" s="21">
        <v>20410</v>
      </c>
      <c r="Q175" s="21">
        <v>60</v>
      </c>
      <c r="R175" s="21">
        <v>50</v>
      </c>
      <c r="S175" s="21">
        <v>25</v>
      </c>
      <c r="T175" s="21" t="s">
        <v>281</v>
      </c>
      <c r="U175" s="21">
        <v>1</v>
      </c>
      <c r="V175" s="22">
        <v>1</v>
      </c>
      <c r="W175" s="24">
        <f t="shared" si="42"/>
        <v>22681.919953844474</v>
      </c>
      <c r="X175" s="24">
        <f t="shared" si="43"/>
        <v>39250</v>
      </c>
      <c r="Y175" s="21">
        <v>1</v>
      </c>
      <c r="Z175" s="24">
        <f t="shared" si="35"/>
        <v>22681.919953844474</v>
      </c>
      <c r="AA175" s="24">
        <f t="shared" si="36"/>
        <v>39250</v>
      </c>
      <c r="AB175" s="21"/>
      <c r="AC175" s="21"/>
      <c r="AD175" s="21"/>
      <c r="AE175" s="21"/>
      <c r="AF175" s="21" t="s">
        <v>247</v>
      </c>
      <c r="AG175" s="21"/>
      <c r="AH175" s="24"/>
      <c r="AI175" s="24"/>
      <c r="AJ175" s="21">
        <v>39269.9</v>
      </c>
      <c r="AK175" s="21">
        <v>240</v>
      </c>
      <c r="AL175" s="22" t="s">
        <v>161</v>
      </c>
      <c r="AM175" s="22">
        <v>0.13</v>
      </c>
      <c r="AN175" s="22" t="s">
        <v>414</v>
      </c>
      <c r="AO175" s="22" t="s">
        <v>331</v>
      </c>
      <c r="AP175" s="22" t="s">
        <v>673</v>
      </c>
      <c r="AQ175" s="22" t="str">
        <f t="shared" si="39"/>
        <v>Microphytoplankton</v>
      </c>
      <c r="AR175" s="22">
        <v>1</v>
      </c>
      <c r="AS175" s="22">
        <v>1</v>
      </c>
      <c r="AT175" s="22">
        <v>0</v>
      </c>
      <c r="AU175" s="22">
        <v>0</v>
      </c>
      <c r="AV175" s="22">
        <v>0</v>
      </c>
      <c r="AW175" s="22">
        <v>0</v>
      </c>
      <c r="AX175" s="22">
        <v>1</v>
      </c>
      <c r="AY175" s="22">
        <v>0</v>
      </c>
      <c r="AZ175" s="22">
        <v>3</v>
      </c>
      <c r="BA175" s="22">
        <v>2</v>
      </c>
      <c r="BB175" s="22">
        <v>2</v>
      </c>
      <c r="BC175" s="22">
        <v>1</v>
      </c>
      <c r="BD175" s="22">
        <v>1</v>
      </c>
      <c r="BE175" s="22">
        <v>1</v>
      </c>
    </row>
    <row r="176" spans="1:57">
      <c r="A176" s="21" t="s">
        <v>680</v>
      </c>
      <c r="B176" s="22" t="s">
        <v>663</v>
      </c>
      <c r="C176" s="22" t="s">
        <v>664</v>
      </c>
      <c r="D176" s="22" t="s">
        <v>665</v>
      </c>
      <c r="E176" s="22" t="s">
        <v>666</v>
      </c>
      <c r="F176" s="22" t="s">
        <v>667</v>
      </c>
      <c r="G176" s="22" t="s">
        <v>668</v>
      </c>
      <c r="H176" s="22" t="s">
        <v>669</v>
      </c>
      <c r="I176" s="22" t="s">
        <v>681</v>
      </c>
      <c r="J176" s="22" t="s">
        <v>682</v>
      </c>
      <c r="N176" s="22" t="s">
        <v>683</v>
      </c>
      <c r="O176" s="21" t="s">
        <v>672</v>
      </c>
      <c r="P176" s="21">
        <v>20910</v>
      </c>
      <c r="Q176" s="21">
        <v>10</v>
      </c>
      <c r="R176" s="21">
        <v>7</v>
      </c>
      <c r="S176" s="21">
        <v>5</v>
      </c>
      <c r="T176" s="21" t="s">
        <v>281</v>
      </c>
      <c r="U176" s="21">
        <v>0.7</v>
      </c>
      <c r="V176" s="21">
        <v>0.7</v>
      </c>
      <c r="W176" s="24">
        <f t="shared" si="42"/>
        <v>855.6961430119394</v>
      </c>
      <c r="X176" s="24">
        <f t="shared" si="43"/>
        <v>128.21666666666664</v>
      </c>
      <c r="Y176" s="21">
        <v>1</v>
      </c>
      <c r="Z176" s="24">
        <f t="shared" si="35"/>
        <v>855.6961430119394</v>
      </c>
      <c r="AA176" s="24">
        <f t="shared" si="36"/>
        <v>128.21666666666664</v>
      </c>
      <c r="AB176" s="21"/>
      <c r="AC176" s="21"/>
      <c r="AD176" s="21"/>
      <c r="AE176" s="21"/>
      <c r="AF176" s="21" t="s">
        <v>247</v>
      </c>
      <c r="AG176" s="21"/>
      <c r="AH176" s="24"/>
      <c r="AI176" s="24"/>
      <c r="AJ176" s="21">
        <v>145</v>
      </c>
      <c r="AK176" s="21">
        <v>10</v>
      </c>
      <c r="AL176" s="22" t="s">
        <v>161</v>
      </c>
      <c r="AM176" s="22">
        <v>0.13</v>
      </c>
      <c r="AP176" s="22" t="s">
        <v>673</v>
      </c>
      <c r="AQ176" s="22" t="str">
        <f t="shared" si="39"/>
        <v>Nanophytoplankton</v>
      </c>
      <c r="AR176" s="22">
        <v>1</v>
      </c>
      <c r="AS176" s="22">
        <v>1</v>
      </c>
      <c r="AT176" s="22">
        <v>0</v>
      </c>
      <c r="AU176" s="22">
        <v>0</v>
      </c>
      <c r="AV176" s="22">
        <v>0</v>
      </c>
      <c r="AW176" s="22">
        <v>0</v>
      </c>
      <c r="AX176" s="22">
        <v>1</v>
      </c>
      <c r="AY176" s="22">
        <v>0</v>
      </c>
    </row>
    <row r="177" spans="1:57">
      <c r="A177" s="21" t="s">
        <v>684</v>
      </c>
      <c r="B177" s="22" t="s">
        <v>663</v>
      </c>
      <c r="C177" s="22" t="s">
        <v>664</v>
      </c>
      <c r="D177" s="22" t="s">
        <v>665</v>
      </c>
      <c r="E177" s="22" t="s">
        <v>666</v>
      </c>
      <c r="F177" s="22" t="s">
        <v>667</v>
      </c>
      <c r="G177" s="22" t="s">
        <v>675</v>
      </c>
      <c r="H177" s="22" t="s">
        <v>676</v>
      </c>
      <c r="I177" s="22" t="s">
        <v>677</v>
      </c>
      <c r="J177" s="22" t="s">
        <v>678</v>
      </c>
      <c r="K177" s="22" t="s">
        <v>184</v>
      </c>
      <c r="L177" s="22" t="s">
        <v>685</v>
      </c>
      <c r="O177" s="21" t="s">
        <v>672</v>
      </c>
      <c r="P177" s="21">
        <v>20490</v>
      </c>
      <c r="Q177" s="21">
        <v>50</v>
      </c>
      <c r="R177" s="21">
        <v>27</v>
      </c>
      <c r="S177" s="21">
        <v>15</v>
      </c>
      <c r="T177" s="21" t="s">
        <v>281</v>
      </c>
      <c r="U177" s="21">
        <v>1</v>
      </c>
      <c r="V177" s="22">
        <v>1</v>
      </c>
      <c r="W177" s="24">
        <f t="shared" si="42"/>
        <v>10498.159322739526</v>
      </c>
      <c r="X177" s="24">
        <f t="shared" si="43"/>
        <v>10597.499999999998</v>
      </c>
      <c r="Y177" s="21">
        <v>1</v>
      </c>
      <c r="Z177" s="24">
        <f t="shared" si="35"/>
        <v>10498.159322739526</v>
      </c>
      <c r="AA177" s="24">
        <f t="shared" si="36"/>
        <v>10597.499999999998</v>
      </c>
      <c r="AB177" s="21"/>
      <c r="AC177" s="21"/>
      <c r="AD177" s="21"/>
      <c r="AE177" s="21"/>
      <c r="AF177" s="21" t="s">
        <v>247</v>
      </c>
      <c r="AG177" s="21"/>
      <c r="AH177" s="24"/>
      <c r="AI177" s="24"/>
      <c r="AJ177" s="21">
        <v>20000</v>
      </c>
      <c r="AK177" s="21">
        <v>46.5</v>
      </c>
      <c r="AL177" s="22" t="s">
        <v>161</v>
      </c>
      <c r="AM177" s="22">
        <v>0.13</v>
      </c>
      <c r="AO177" s="22" t="s">
        <v>331</v>
      </c>
      <c r="AP177" s="22" t="s">
        <v>673</v>
      </c>
      <c r="AQ177" s="22" t="str">
        <f t="shared" si="39"/>
        <v>Microphytoplankton</v>
      </c>
      <c r="AR177" s="22">
        <v>0</v>
      </c>
      <c r="AS177" s="22">
        <v>0</v>
      </c>
      <c r="AT177" s="22">
        <v>0</v>
      </c>
      <c r="AU177" s="22">
        <v>0</v>
      </c>
      <c r="AV177" s="22">
        <v>0</v>
      </c>
      <c r="AW177" s="22">
        <v>0</v>
      </c>
      <c r="AX177" s="22">
        <v>1</v>
      </c>
      <c r="AY177" s="22">
        <v>0</v>
      </c>
      <c r="AZ177" s="22">
        <v>3</v>
      </c>
      <c r="BA177" s="22">
        <v>2</v>
      </c>
      <c r="BB177" s="22">
        <v>2</v>
      </c>
      <c r="BC177" s="22">
        <v>1</v>
      </c>
      <c r="BD177" s="22">
        <v>1</v>
      </c>
      <c r="BE177" s="22">
        <v>1</v>
      </c>
    </row>
    <row r="178" spans="1:57">
      <c r="A178" s="21" t="s">
        <v>686</v>
      </c>
      <c r="B178" s="22" t="s">
        <v>663</v>
      </c>
      <c r="C178" s="22" t="s">
        <v>664</v>
      </c>
      <c r="D178" s="22" t="s">
        <v>665</v>
      </c>
      <c r="E178" s="22" t="s">
        <v>666</v>
      </c>
      <c r="F178" s="22" t="s">
        <v>667</v>
      </c>
      <c r="G178" s="22" t="s">
        <v>675</v>
      </c>
      <c r="H178" s="22" t="s">
        <v>687</v>
      </c>
      <c r="I178" s="22" t="s">
        <v>688</v>
      </c>
      <c r="J178" s="22" t="s">
        <v>689</v>
      </c>
      <c r="N178" s="22" t="s">
        <v>690</v>
      </c>
      <c r="O178" s="21" t="s">
        <v>672</v>
      </c>
      <c r="P178" s="21">
        <v>20710</v>
      </c>
      <c r="Q178" s="21">
        <v>50</v>
      </c>
      <c r="R178" s="21">
        <v>40</v>
      </c>
      <c r="S178" s="21">
        <v>35</v>
      </c>
      <c r="T178" s="21" t="s">
        <v>281</v>
      </c>
      <c r="U178" s="21">
        <v>0.9</v>
      </c>
      <c r="V178" s="21">
        <v>0.9</v>
      </c>
      <c r="W178" s="24">
        <f t="shared" si="42"/>
        <v>20360.507786919494</v>
      </c>
      <c r="X178" s="24">
        <f t="shared" si="43"/>
        <v>32970</v>
      </c>
      <c r="Y178" s="21">
        <v>1</v>
      </c>
      <c r="Z178" s="24">
        <f t="shared" si="35"/>
        <v>20360.507786919494</v>
      </c>
      <c r="AA178" s="24">
        <f t="shared" si="36"/>
        <v>32970</v>
      </c>
      <c r="AB178" s="21"/>
      <c r="AC178" s="21"/>
      <c r="AD178" s="21"/>
      <c r="AE178" s="21"/>
      <c r="AF178" s="21" t="s">
        <v>247</v>
      </c>
      <c r="AG178" s="21"/>
      <c r="AH178" s="24"/>
      <c r="AI178" s="24"/>
      <c r="AJ178" s="21">
        <v>32986.699999999997</v>
      </c>
      <c r="AK178" s="21">
        <v>50</v>
      </c>
      <c r="AL178" s="22" t="s">
        <v>161</v>
      </c>
      <c r="AM178" s="22">
        <v>0.13</v>
      </c>
      <c r="AP178" s="22" t="s">
        <v>673</v>
      </c>
      <c r="AQ178" s="22" t="str">
        <f t="shared" si="39"/>
        <v>Microphytoplankton</v>
      </c>
      <c r="AR178" s="22">
        <v>1</v>
      </c>
      <c r="AS178" s="22">
        <v>1</v>
      </c>
      <c r="AT178" s="22">
        <v>0</v>
      </c>
      <c r="AU178" s="22">
        <v>0</v>
      </c>
      <c r="AV178" s="22">
        <v>0</v>
      </c>
      <c r="AW178" s="22">
        <v>0</v>
      </c>
      <c r="AX178" s="22">
        <v>1</v>
      </c>
      <c r="AY178" s="22">
        <v>0</v>
      </c>
    </row>
    <row r="179" spans="1:57">
      <c r="A179" s="21" t="s">
        <v>691</v>
      </c>
      <c r="B179" s="22" t="s">
        <v>663</v>
      </c>
      <c r="C179" s="22" t="s">
        <v>664</v>
      </c>
      <c r="D179" s="22" t="s">
        <v>665</v>
      </c>
      <c r="E179" s="22" t="s">
        <v>666</v>
      </c>
      <c r="F179" s="22" t="s">
        <v>667</v>
      </c>
      <c r="G179" s="22" t="s">
        <v>675</v>
      </c>
      <c r="H179" s="22" t="s">
        <v>692</v>
      </c>
      <c r="I179" s="22" t="s">
        <v>693</v>
      </c>
      <c r="J179" s="22" t="s">
        <v>211</v>
      </c>
      <c r="M179" s="22" t="s">
        <v>1</v>
      </c>
      <c r="N179" s="22" t="s">
        <v>694</v>
      </c>
      <c r="O179" s="21" t="s">
        <v>672</v>
      </c>
      <c r="P179" s="21">
        <v>20600</v>
      </c>
      <c r="Q179" s="21">
        <v>30</v>
      </c>
      <c r="R179" s="21">
        <v>30</v>
      </c>
      <c r="S179" s="21">
        <v>30</v>
      </c>
      <c r="T179" s="21" t="s">
        <v>281</v>
      </c>
      <c r="U179" s="21">
        <v>1</v>
      </c>
      <c r="V179" s="22">
        <v>1</v>
      </c>
      <c r="W179" s="24">
        <f t="shared" si="42"/>
        <v>8797.275695246879</v>
      </c>
      <c r="X179" s="24">
        <f t="shared" si="43"/>
        <v>14130</v>
      </c>
      <c r="Y179" s="21">
        <v>1</v>
      </c>
      <c r="Z179" s="24">
        <f t="shared" si="35"/>
        <v>8797.275695246879</v>
      </c>
      <c r="AA179" s="24">
        <f t="shared" si="36"/>
        <v>14130</v>
      </c>
      <c r="AB179" s="21"/>
      <c r="AC179" s="21"/>
      <c r="AD179" s="21"/>
      <c r="AE179" s="21"/>
      <c r="AF179" s="21" t="s">
        <v>247</v>
      </c>
      <c r="AG179" s="21"/>
      <c r="AH179" s="24"/>
      <c r="AI179" s="24"/>
      <c r="AJ179" s="21">
        <v>14137.2</v>
      </c>
      <c r="AK179" s="21">
        <v>30</v>
      </c>
      <c r="AL179" s="22" t="s">
        <v>161</v>
      </c>
      <c r="AM179" s="22">
        <v>0.13</v>
      </c>
      <c r="AP179" s="22" t="s">
        <v>673</v>
      </c>
      <c r="AQ179" s="22" t="str">
        <f t="shared" si="39"/>
        <v>Microphytoplankton</v>
      </c>
      <c r="AR179" s="22">
        <v>1</v>
      </c>
      <c r="AS179" s="22">
        <v>1</v>
      </c>
      <c r="AT179" s="22">
        <v>0</v>
      </c>
      <c r="AU179" s="22">
        <v>0</v>
      </c>
      <c r="AV179" s="22">
        <v>0</v>
      </c>
      <c r="AW179" s="22">
        <v>0</v>
      </c>
      <c r="AX179" s="22">
        <v>1</v>
      </c>
      <c r="AY179" s="22">
        <v>0</v>
      </c>
    </row>
    <row r="180" spans="1:57">
      <c r="A180" s="21" t="s">
        <v>695</v>
      </c>
      <c r="B180" s="22" t="s">
        <v>663</v>
      </c>
      <c r="C180" s="22" t="s">
        <v>664</v>
      </c>
      <c r="D180" s="22" t="s">
        <v>665</v>
      </c>
      <c r="E180" s="22" t="s">
        <v>666</v>
      </c>
      <c r="F180" s="22" t="s">
        <v>667</v>
      </c>
      <c r="G180" s="22" t="s">
        <v>696</v>
      </c>
      <c r="H180" s="22" t="s">
        <v>697</v>
      </c>
      <c r="I180" s="22" t="s">
        <v>698</v>
      </c>
      <c r="J180" s="22" t="s">
        <v>699</v>
      </c>
      <c r="N180" s="22" t="s">
        <v>700</v>
      </c>
      <c r="O180" s="21" t="s">
        <v>672</v>
      </c>
      <c r="P180" s="21">
        <v>20310</v>
      </c>
      <c r="Q180" s="21">
        <v>40</v>
      </c>
      <c r="R180" s="21">
        <v>35</v>
      </c>
      <c r="S180" s="21">
        <v>35</v>
      </c>
      <c r="T180" s="21" t="s">
        <v>281</v>
      </c>
      <c r="U180" s="21">
        <v>0.8</v>
      </c>
      <c r="V180" s="21">
        <v>0.8</v>
      </c>
      <c r="W180" s="24">
        <f t="shared" si="42"/>
        <v>17088.80044239702</v>
      </c>
      <c r="X180" s="24">
        <f t="shared" si="43"/>
        <v>20514.666666666668</v>
      </c>
      <c r="Y180" s="21">
        <v>1</v>
      </c>
      <c r="Z180" s="24">
        <f t="shared" si="35"/>
        <v>17088.80044239702</v>
      </c>
      <c r="AA180" s="24">
        <f t="shared" si="36"/>
        <v>20514.666666666668</v>
      </c>
      <c r="AB180" s="21"/>
      <c r="AC180" s="21"/>
      <c r="AD180" s="21"/>
      <c r="AE180" s="21"/>
      <c r="AF180" s="21" t="s">
        <v>247</v>
      </c>
      <c r="AG180" s="21"/>
      <c r="AH180" s="24"/>
      <c r="AI180" s="24"/>
      <c r="AJ180" s="21">
        <v>20525.099999999999</v>
      </c>
      <c r="AK180" s="21">
        <v>40</v>
      </c>
      <c r="AL180" s="22" t="s">
        <v>161</v>
      </c>
      <c r="AM180" s="22">
        <v>0.13</v>
      </c>
      <c r="AP180" s="22" t="s">
        <v>673</v>
      </c>
      <c r="AQ180" s="22" t="str">
        <f t="shared" si="39"/>
        <v>Microphytoplankton</v>
      </c>
      <c r="AR180" s="22">
        <v>1</v>
      </c>
      <c r="AS180" s="22">
        <v>1</v>
      </c>
      <c r="AT180" s="22">
        <v>0</v>
      </c>
      <c r="AU180" s="22">
        <v>0</v>
      </c>
      <c r="AV180" s="22">
        <v>0</v>
      </c>
      <c r="AW180" s="22">
        <v>0</v>
      </c>
      <c r="AX180" s="22">
        <v>1</v>
      </c>
      <c r="AY180" s="22">
        <v>0</v>
      </c>
    </row>
    <row r="181" spans="1:57">
      <c r="A181" s="21" t="s">
        <v>701</v>
      </c>
      <c r="B181" s="22" t="s">
        <v>663</v>
      </c>
      <c r="C181" s="22" t="s">
        <v>664</v>
      </c>
      <c r="D181" s="22" t="s">
        <v>665</v>
      </c>
      <c r="E181" s="22" t="s">
        <v>666</v>
      </c>
      <c r="F181" s="22" t="s">
        <v>667</v>
      </c>
      <c r="G181" s="22" t="s">
        <v>668</v>
      </c>
      <c r="H181" s="22" t="s">
        <v>669</v>
      </c>
      <c r="I181" s="22" t="s">
        <v>702</v>
      </c>
      <c r="J181" s="22" t="s">
        <v>703</v>
      </c>
      <c r="N181" s="22" t="s">
        <v>157</v>
      </c>
      <c r="O181" s="21" t="s">
        <v>672</v>
      </c>
      <c r="P181" s="21">
        <v>20175</v>
      </c>
      <c r="Q181" s="21">
        <v>15</v>
      </c>
      <c r="R181" s="21">
        <v>15</v>
      </c>
      <c r="S181" s="21">
        <v>10</v>
      </c>
      <c r="T181" s="21" t="s">
        <v>281</v>
      </c>
      <c r="U181" s="21">
        <v>1</v>
      </c>
      <c r="V181" s="22">
        <v>1</v>
      </c>
      <c r="W181" s="24">
        <f t="shared" si="42"/>
        <v>1864.8603148281313</v>
      </c>
      <c r="X181" s="24">
        <f t="shared" si="43"/>
        <v>1177.5</v>
      </c>
      <c r="Y181" s="21">
        <v>1</v>
      </c>
      <c r="Z181" s="24">
        <f t="shared" si="35"/>
        <v>1864.8603148281313</v>
      </c>
      <c r="AA181" s="24">
        <f t="shared" si="36"/>
        <v>1177.5</v>
      </c>
      <c r="AB181" s="21"/>
      <c r="AC181" s="21"/>
      <c r="AD181" s="21"/>
      <c r="AE181" s="21"/>
      <c r="AF181" s="21" t="s">
        <v>247</v>
      </c>
      <c r="AG181" s="21"/>
      <c r="AH181" s="24"/>
      <c r="AI181" s="24"/>
      <c r="AJ181" s="21">
        <v>2250</v>
      </c>
      <c r="AK181" s="21">
        <v>15</v>
      </c>
      <c r="AL181" s="22" t="s">
        <v>161</v>
      </c>
      <c r="AM181" s="22">
        <v>0.13</v>
      </c>
      <c r="AO181" s="22" t="s">
        <v>331</v>
      </c>
      <c r="AP181" s="22" t="s">
        <v>673</v>
      </c>
      <c r="AQ181" s="22" t="str">
        <f t="shared" si="39"/>
        <v>Nanophytoplankton</v>
      </c>
      <c r="AR181" s="22">
        <v>1</v>
      </c>
      <c r="AS181" s="22">
        <v>1</v>
      </c>
      <c r="AT181" s="22">
        <v>0</v>
      </c>
      <c r="AU181" s="22">
        <v>0</v>
      </c>
      <c r="AV181" s="22">
        <v>0</v>
      </c>
      <c r="AW181" s="22">
        <v>0</v>
      </c>
      <c r="AX181" s="22">
        <v>1</v>
      </c>
      <c r="AY181" s="22">
        <v>0</v>
      </c>
    </row>
    <row r="182" spans="1:57">
      <c r="A182" s="21" t="s">
        <v>704</v>
      </c>
      <c r="B182" s="22" t="s">
        <v>663</v>
      </c>
      <c r="C182" s="22" t="s">
        <v>664</v>
      </c>
      <c r="D182" s="22" t="s">
        <v>665</v>
      </c>
      <c r="E182" s="22" t="s">
        <v>666</v>
      </c>
      <c r="F182" s="22" t="s">
        <v>667</v>
      </c>
      <c r="G182" s="22" t="s">
        <v>668</v>
      </c>
      <c r="H182" s="22" t="s">
        <v>669</v>
      </c>
      <c r="I182" s="22" t="s">
        <v>702</v>
      </c>
      <c r="J182" s="22" t="s">
        <v>705</v>
      </c>
      <c r="N182" s="22" t="s">
        <v>706</v>
      </c>
      <c r="O182" s="21" t="s">
        <v>672</v>
      </c>
      <c r="P182" s="21">
        <v>20130</v>
      </c>
      <c r="Q182" s="21">
        <v>35</v>
      </c>
      <c r="R182" s="21">
        <v>30</v>
      </c>
      <c r="S182" s="21">
        <v>20</v>
      </c>
      <c r="T182" s="21" t="s">
        <v>281</v>
      </c>
      <c r="U182" s="21">
        <v>1</v>
      </c>
      <c r="V182" s="22">
        <v>1</v>
      </c>
      <c r="W182" s="24">
        <f t="shared" si="42"/>
        <v>8650.267755473953</v>
      </c>
      <c r="X182" s="24">
        <f t="shared" si="43"/>
        <v>10990</v>
      </c>
      <c r="Y182" s="21">
        <v>1</v>
      </c>
      <c r="Z182" s="24">
        <f t="shared" si="35"/>
        <v>8650.267755473953</v>
      </c>
      <c r="AA182" s="24">
        <f t="shared" si="36"/>
        <v>10990</v>
      </c>
      <c r="AB182" s="21"/>
      <c r="AC182" s="21"/>
      <c r="AD182" s="21"/>
      <c r="AE182" s="21"/>
      <c r="AF182" s="21" t="s">
        <v>247</v>
      </c>
      <c r="AG182" s="21"/>
      <c r="AH182" s="24"/>
      <c r="AI182" s="24"/>
      <c r="AJ182" s="21">
        <v>10995.6</v>
      </c>
      <c r="AK182" s="21">
        <v>35</v>
      </c>
      <c r="AL182" s="22" t="s">
        <v>161</v>
      </c>
      <c r="AM182" s="22">
        <v>0.13</v>
      </c>
      <c r="AO182" s="22" t="s">
        <v>331</v>
      </c>
      <c r="AP182" s="22" t="s">
        <v>673</v>
      </c>
      <c r="AQ182" s="22" t="str">
        <f t="shared" si="39"/>
        <v>Microphytoplankton</v>
      </c>
      <c r="AR182" s="22">
        <v>1</v>
      </c>
      <c r="AS182" s="22">
        <v>1</v>
      </c>
      <c r="AT182" s="22">
        <v>0</v>
      </c>
      <c r="AU182" s="22">
        <v>0</v>
      </c>
      <c r="AV182" s="22">
        <v>0</v>
      </c>
      <c r="AW182" s="22">
        <v>0</v>
      </c>
      <c r="AX182" s="22">
        <v>1</v>
      </c>
      <c r="AY182" s="22">
        <v>0</v>
      </c>
      <c r="AZ182" s="22">
        <v>0</v>
      </c>
      <c r="BA182" s="22">
        <v>4</v>
      </c>
      <c r="BB182" s="22">
        <v>3</v>
      </c>
      <c r="BC182" s="22">
        <v>2</v>
      </c>
      <c r="BD182" s="22">
        <v>1</v>
      </c>
      <c r="BE182" s="22">
        <v>0</v>
      </c>
    </row>
    <row r="183" spans="1:57">
      <c r="A183" s="21" t="s">
        <v>707</v>
      </c>
      <c r="B183" s="22" t="s">
        <v>663</v>
      </c>
      <c r="C183" s="22" t="s">
        <v>664</v>
      </c>
      <c r="D183" s="22" t="s">
        <v>665</v>
      </c>
      <c r="E183" s="22" t="s">
        <v>666</v>
      </c>
      <c r="F183" s="22" t="s">
        <v>667</v>
      </c>
      <c r="G183" s="22" t="s">
        <v>668</v>
      </c>
      <c r="H183" s="22" t="s">
        <v>669</v>
      </c>
      <c r="I183" s="22" t="s">
        <v>702</v>
      </c>
      <c r="J183" s="22" t="s">
        <v>708</v>
      </c>
      <c r="N183" s="22" t="s">
        <v>709</v>
      </c>
      <c r="O183" s="21" t="s">
        <v>672</v>
      </c>
      <c r="P183" s="21">
        <v>20120</v>
      </c>
      <c r="Q183" s="21">
        <v>35</v>
      </c>
      <c r="R183" s="21">
        <v>25</v>
      </c>
      <c r="S183" s="21">
        <v>17</v>
      </c>
      <c r="T183" s="21" t="s">
        <v>281</v>
      </c>
      <c r="U183" s="21">
        <v>0.8</v>
      </c>
      <c r="V183" s="21">
        <v>0.8</v>
      </c>
      <c r="W183" s="24">
        <f t="shared" si="42"/>
        <v>9072.7999721319411</v>
      </c>
      <c r="X183" s="24">
        <f t="shared" si="43"/>
        <v>6227.6666666666679</v>
      </c>
      <c r="Y183" s="21">
        <v>1</v>
      </c>
      <c r="Z183" s="24">
        <f t="shared" si="35"/>
        <v>9072.7999721319411</v>
      </c>
      <c r="AA183" s="24">
        <f t="shared" si="36"/>
        <v>6227.6666666666679</v>
      </c>
      <c r="AB183" s="21"/>
      <c r="AC183" s="21"/>
      <c r="AD183" s="21"/>
      <c r="AE183" s="21"/>
      <c r="AF183" s="21" t="s">
        <v>247</v>
      </c>
      <c r="AG183" s="21"/>
      <c r="AH183" s="24"/>
      <c r="AI183" s="24"/>
      <c r="AJ183" s="21">
        <v>6230.8</v>
      </c>
      <c r="AK183" s="21">
        <v>35</v>
      </c>
      <c r="AL183" s="22" t="s">
        <v>161</v>
      </c>
      <c r="AM183" s="22">
        <v>0.13</v>
      </c>
      <c r="AO183" s="22" t="s">
        <v>331</v>
      </c>
      <c r="AP183" s="22" t="s">
        <v>673</v>
      </c>
      <c r="AQ183" s="22" t="str">
        <f t="shared" si="39"/>
        <v>Microphytoplankton</v>
      </c>
      <c r="AR183" s="22">
        <v>1</v>
      </c>
      <c r="AS183" s="22">
        <v>1</v>
      </c>
      <c r="AT183" s="22">
        <v>0</v>
      </c>
      <c r="AU183" s="22">
        <v>0</v>
      </c>
      <c r="AV183" s="22">
        <v>0</v>
      </c>
      <c r="AW183" s="22">
        <v>0</v>
      </c>
      <c r="AX183" s="22">
        <v>1</v>
      </c>
      <c r="AY183" s="22">
        <v>0</v>
      </c>
    </row>
    <row r="184" spans="1:57">
      <c r="A184" s="21" t="s">
        <v>710</v>
      </c>
      <c r="B184" s="22" t="s">
        <v>663</v>
      </c>
      <c r="C184" s="22" t="s">
        <v>664</v>
      </c>
      <c r="D184" s="22" t="s">
        <v>665</v>
      </c>
      <c r="E184" s="22" t="s">
        <v>666</v>
      </c>
      <c r="F184" s="22" t="s">
        <v>667</v>
      </c>
      <c r="G184" s="22" t="s">
        <v>668</v>
      </c>
      <c r="H184" s="22" t="s">
        <v>669</v>
      </c>
      <c r="I184" s="22" t="s">
        <v>702</v>
      </c>
      <c r="J184" s="22" t="s">
        <v>711</v>
      </c>
      <c r="N184" s="22" t="s">
        <v>712</v>
      </c>
      <c r="O184" s="21" t="s">
        <v>672</v>
      </c>
      <c r="P184" s="21">
        <v>20200</v>
      </c>
      <c r="Q184" s="21">
        <v>9</v>
      </c>
      <c r="R184" s="21">
        <v>7.5</v>
      </c>
      <c r="S184" s="21">
        <v>6</v>
      </c>
      <c r="T184" s="21" t="s">
        <v>281</v>
      </c>
      <c r="U184" s="21">
        <v>1</v>
      </c>
      <c r="V184" s="22">
        <v>1</v>
      </c>
      <c r="W184" s="24">
        <f t="shared" si="42"/>
        <v>605.39101588029416</v>
      </c>
      <c r="X184" s="24">
        <f t="shared" si="43"/>
        <v>211.95000000000002</v>
      </c>
      <c r="Y184" s="21">
        <v>1</v>
      </c>
      <c r="Z184" s="24">
        <f t="shared" si="35"/>
        <v>605.39101588029416</v>
      </c>
      <c r="AA184" s="24">
        <f t="shared" si="36"/>
        <v>211.95000000000002</v>
      </c>
      <c r="AB184" s="21"/>
      <c r="AC184" s="21"/>
      <c r="AD184" s="21"/>
      <c r="AE184" s="21"/>
      <c r="AF184" s="21" t="s">
        <v>247</v>
      </c>
      <c r="AG184" s="21"/>
      <c r="AH184" s="24"/>
      <c r="AI184" s="24"/>
      <c r="AJ184" s="21">
        <v>212.1</v>
      </c>
      <c r="AK184" s="21">
        <v>9</v>
      </c>
      <c r="AL184" s="22" t="s">
        <v>161</v>
      </c>
      <c r="AM184" s="22">
        <v>0.13</v>
      </c>
      <c r="AO184" s="22" t="s">
        <v>713</v>
      </c>
      <c r="AP184" s="22" t="s">
        <v>673</v>
      </c>
      <c r="AQ184" s="22" t="str">
        <f t="shared" si="39"/>
        <v>Nanophytoplankton</v>
      </c>
      <c r="AR184" s="22">
        <v>1</v>
      </c>
      <c r="AS184" s="22">
        <v>1</v>
      </c>
      <c r="AT184" s="22">
        <v>0</v>
      </c>
      <c r="AU184" s="22">
        <v>0</v>
      </c>
      <c r="AV184" s="22">
        <v>0</v>
      </c>
      <c r="AW184" s="22">
        <v>0</v>
      </c>
      <c r="AX184" s="22">
        <v>1</v>
      </c>
      <c r="AY184" s="22">
        <v>0</v>
      </c>
      <c r="AZ184" s="22">
        <v>0</v>
      </c>
      <c r="BA184" s="22">
        <v>4</v>
      </c>
      <c r="BB184" s="22">
        <v>3</v>
      </c>
      <c r="BC184" s="22">
        <v>2</v>
      </c>
      <c r="BD184" s="22">
        <v>1</v>
      </c>
      <c r="BE184" s="22">
        <v>0</v>
      </c>
    </row>
    <row r="185" spans="1:57">
      <c r="A185" s="21" t="s">
        <v>714</v>
      </c>
      <c r="B185" s="22" t="s">
        <v>663</v>
      </c>
      <c r="C185" s="22" t="s">
        <v>664</v>
      </c>
      <c r="D185" s="22" t="s">
        <v>665</v>
      </c>
      <c r="E185" s="22" t="s">
        <v>666</v>
      </c>
      <c r="F185" s="22" t="s">
        <v>667</v>
      </c>
      <c r="G185" s="22" t="s">
        <v>668</v>
      </c>
      <c r="H185" s="22" t="s">
        <v>669</v>
      </c>
      <c r="I185" s="22" t="s">
        <v>702</v>
      </c>
      <c r="J185" s="22" t="s">
        <v>711</v>
      </c>
      <c r="K185" s="22" t="s">
        <v>184</v>
      </c>
      <c r="L185" s="22" t="s">
        <v>530</v>
      </c>
      <c r="N185" s="22" t="s">
        <v>715</v>
      </c>
      <c r="O185" s="21" t="s">
        <v>672</v>
      </c>
      <c r="P185" s="21">
        <v>20201</v>
      </c>
      <c r="Q185" s="21">
        <v>17</v>
      </c>
      <c r="R185" s="21">
        <v>17</v>
      </c>
      <c r="S185" s="21">
        <v>15</v>
      </c>
      <c r="T185" s="21" t="s">
        <v>159</v>
      </c>
      <c r="U185" s="21">
        <v>1</v>
      </c>
      <c r="V185" s="22">
        <v>1</v>
      </c>
      <c r="W185" s="24">
        <f t="shared" si="42"/>
        <v>2672.4621495078381</v>
      </c>
      <c r="X185" s="24">
        <f t="shared" si="43"/>
        <v>2268.65</v>
      </c>
      <c r="Y185" s="21">
        <v>1</v>
      </c>
      <c r="Z185" s="24">
        <f t="shared" si="35"/>
        <v>2672.4621495078381</v>
      </c>
      <c r="AA185" s="24">
        <f t="shared" si="36"/>
        <v>2268.65</v>
      </c>
      <c r="AB185" s="21"/>
      <c r="AC185" s="21"/>
      <c r="AD185" s="21"/>
      <c r="AE185" s="21"/>
      <c r="AF185" s="21" t="s">
        <v>247</v>
      </c>
      <c r="AG185" s="21"/>
      <c r="AH185" s="24"/>
      <c r="AI185" s="24"/>
      <c r="AJ185" s="21">
        <v>2268.65</v>
      </c>
      <c r="AK185" s="21">
        <v>17</v>
      </c>
      <c r="AL185" s="22" t="s">
        <v>716</v>
      </c>
      <c r="AM185" s="22">
        <v>0.13</v>
      </c>
      <c r="AO185" s="22" t="s">
        <v>713</v>
      </c>
      <c r="AP185" s="22" t="s">
        <v>673</v>
      </c>
      <c r="AQ185" s="22" t="str">
        <f t="shared" si="39"/>
        <v>Nanophytoplankton</v>
      </c>
      <c r="AR185" s="22">
        <v>1</v>
      </c>
      <c r="AS185" s="22">
        <v>1</v>
      </c>
      <c r="AT185" s="22">
        <v>0</v>
      </c>
      <c r="AU185" s="22">
        <v>0</v>
      </c>
      <c r="AV185" s="22">
        <v>0</v>
      </c>
      <c r="AW185" s="22">
        <v>0</v>
      </c>
      <c r="AX185" s="22">
        <v>1</v>
      </c>
      <c r="AY185" s="22">
        <v>0</v>
      </c>
    </row>
    <row r="186" spans="1:57">
      <c r="A186" s="21" t="s">
        <v>717</v>
      </c>
      <c r="B186" s="22" t="s">
        <v>663</v>
      </c>
      <c r="C186" s="22" t="s">
        <v>664</v>
      </c>
      <c r="D186" s="22" t="s">
        <v>665</v>
      </c>
      <c r="E186" s="22" t="s">
        <v>666</v>
      </c>
      <c r="F186" s="22" t="s">
        <v>667</v>
      </c>
      <c r="G186" s="22" t="s">
        <v>668</v>
      </c>
      <c r="H186" s="22" t="s">
        <v>669</v>
      </c>
      <c r="I186" s="22" t="s">
        <v>702</v>
      </c>
      <c r="J186" s="22" t="s">
        <v>718</v>
      </c>
      <c r="N186" s="22" t="s">
        <v>157</v>
      </c>
      <c r="O186" s="21" t="s">
        <v>672</v>
      </c>
      <c r="P186" s="21">
        <v>20202</v>
      </c>
      <c r="Q186" s="21">
        <v>30</v>
      </c>
      <c r="R186" s="21">
        <v>28</v>
      </c>
      <c r="S186" s="21">
        <v>20</v>
      </c>
      <c r="T186" s="21" t="s">
        <v>159</v>
      </c>
      <c r="U186" s="21">
        <v>0.95</v>
      </c>
      <c r="V186" s="22">
        <v>1</v>
      </c>
      <c r="W186" s="24">
        <f t="shared" si="42"/>
        <v>7096.3995558800398</v>
      </c>
      <c r="X186" s="24">
        <f t="shared" si="43"/>
        <v>8352.4</v>
      </c>
      <c r="Y186" s="21">
        <v>1</v>
      </c>
      <c r="Z186" s="24">
        <f t="shared" si="35"/>
        <v>7096.3995558800398</v>
      </c>
      <c r="AA186" s="24">
        <f t="shared" si="36"/>
        <v>8352.4</v>
      </c>
      <c r="AB186" s="21"/>
      <c r="AC186" s="21"/>
      <c r="AD186" s="21"/>
      <c r="AE186" s="21"/>
      <c r="AF186" s="21" t="s">
        <v>247</v>
      </c>
      <c r="AG186" s="21"/>
      <c r="AH186" s="24"/>
      <c r="AI186" s="24"/>
      <c r="AJ186" s="21">
        <v>8352.4</v>
      </c>
      <c r="AK186" s="21">
        <v>30</v>
      </c>
      <c r="AL186" s="22" t="s">
        <v>161</v>
      </c>
      <c r="AM186" s="22">
        <v>0.13</v>
      </c>
      <c r="AO186" s="22" t="s">
        <v>331</v>
      </c>
      <c r="AP186" s="22" t="s">
        <v>673</v>
      </c>
      <c r="AQ186" s="22" t="str">
        <f t="shared" si="39"/>
        <v>Microphytoplankton</v>
      </c>
      <c r="AR186" s="22">
        <v>1</v>
      </c>
      <c r="AS186" s="22">
        <v>1</v>
      </c>
      <c r="AT186" s="22">
        <v>0</v>
      </c>
      <c r="AU186" s="22">
        <v>0</v>
      </c>
      <c r="AV186" s="22">
        <v>0</v>
      </c>
      <c r="AW186" s="22">
        <v>0</v>
      </c>
      <c r="AX186" s="22">
        <v>1</v>
      </c>
      <c r="AY186" s="22">
        <v>0</v>
      </c>
    </row>
    <row r="187" spans="1:57">
      <c r="A187" s="21" t="s">
        <v>719</v>
      </c>
      <c r="B187" s="22" t="s">
        <v>663</v>
      </c>
      <c r="C187" s="22" t="s">
        <v>664</v>
      </c>
      <c r="D187" s="22" t="s">
        <v>665</v>
      </c>
      <c r="E187" s="22" t="s">
        <v>666</v>
      </c>
      <c r="F187" s="22" t="s">
        <v>667</v>
      </c>
      <c r="G187" s="22" t="s">
        <v>668</v>
      </c>
      <c r="H187" s="22" t="s">
        <v>669</v>
      </c>
      <c r="I187" s="22" t="s">
        <v>702</v>
      </c>
      <c r="J187" s="22" t="s">
        <v>718</v>
      </c>
      <c r="K187" s="22" t="s">
        <v>184</v>
      </c>
      <c r="L187" s="22" t="s">
        <v>720</v>
      </c>
      <c r="N187" s="22" t="s">
        <v>157</v>
      </c>
      <c r="O187" s="21" t="s">
        <v>672</v>
      </c>
      <c r="P187" s="21">
        <v>20202</v>
      </c>
      <c r="Q187" s="21">
        <v>30</v>
      </c>
      <c r="R187" s="21">
        <v>28</v>
      </c>
      <c r="S187" s="21">
        <v>20</v>
      </c>
      <c r="T187" s="21" t="s">
        <v>159</v>
      </c>
      <c r="U187" s="21">
        <v>0.95</v>
      </c>
      <c r="V187" s="22">
        <v>1</v>
      </c>
      <c r="W187" s="24">
        <f t="shared" si="42"/>
        <v>7096.3995558800398</v>
      </c>
      <c r="X187" s="24">
        <f t="shared" si="43"/>
        <v>8352.4</v>
      </c>
      <c r="Y187" s="21">
        <v>1</v>
      </c>
      <c r="Z187" s="24">
        <f t="shared" si="35"/>
        <v>7096.3995558800398</v>
      </c>
      <c r="AA187" s="24">
        <f t="shared" si="36"/>
        <v>8352.4</v>
      </c>
      <c r="AB187" s="21"/>
      <c r="AC187" s="21"/>
      <c r="AD187" s="21"/>
      <c r="AE187" s="21"/>
      <c r="AF187" s="21" t="s">
        <v>247</v>
      </c>
      <c r="AG187" s="21"/>
      <c r="AH187" s="24"/>
      <c r="AI187" s="24"/>
      <c r="AJ187" s="21">
        <v>8352.4</v>
      </c>
      <c r="AK187" s="21">
        <v>30</v>
      </c>
      <c r="AL187" s="22" t="s">
        <v>161</v>
      </c>
      <c r="AM187" s="22">
        <v>0.13</v>
      </c>
      <c r="AO187" s="22" t="s">
        <v>331</v>
      </c>
      <c r="AP187" s="22" t="s">
        <v>673</v>
      </c>
      <c r="AQ187" s="22" t="str">
        <f t="shared" si="39"/>
        <v>Microphytoplankton</v>
      </c>
      <c r="AR187" s="22">
        <v>1</v>
      </c>
      <c r="AS187" s="22">
        <v>1</v>
      </c>
      <c r="AT187" s="22">
        <v>0</v>
      </c>
      <c r="AU187" s="22">
        <v>0</v>
      </c>
      <c r="AV187" s="22">
        <v>0</v>
      </c>
      <c r="AW187" s="22">
        <v>0</v>
      </c>
      <c r="AX187" s="22">
        <v>1</v>
      </c>
      <c r="AY187" s="22">
        <v>0</v>
      </c>
    </row>
    <row r="188" spans="1:57">
      <c r="A188" s="21" t="s">
        <v>721</v>
      </c>
      <c r="B188" s="22" t="s">
        <v>663</v>
      </c>
      <c r="C188" s="22" t="s">
        <v>664</v>
      </c>
      <c r="D188" s="22" t="s">
        <v>665</v>
      </c>
      <c r="E188" s="22" t="s">
        <v>666</v>
      </c>
      <c r="F188" s="22" t="s">
        <v>667</v>
      </c>
      <c r="G188" s="22" t="s">
        <v>668</v>
      </c>
      <c r="H188" s="22" t="s">
        <v>669</v>
      </c>
      <c r="I188" s="22" t="s">
        <v>702</v>
      </c>
      <c r="J188" s="22" t="s">
        <v>722</v>
      </c>
      <c r="N188" s="22" t="s">
        <v>723</v>
      </c>
      <c r="O188" s="21" t="s">
        <v>672</v>
      </c>
      <c r="P188" s="22">
        <v>20160</v>
      </c>
      <c r="Q188" s="21">
        <v>30</v>
      </c>
      <c r="R188" s="21">
        <v>15</v>
      </c>
      <c r="S188" s="21">
        <v>12</v>
      </c>
      <c r="T188" s="21" t="s">
        <v>281</v>
      </c>
      <c r="U188" s="21">
        <v>0.85</v>
      </c>
      <c r="V188" s="21">
        <v>0.9</v>
      </c>
      <c r="W188" s="24">
        <f t="shared" si="42"/>
        <v>4414.9204432538481</v>
      </c>
      <c r="X188" s="24">
        <f t="shared" si="43"/>
        <v>2402.1</v>
      </c>
      <c r="Y188" s="21">
        <v>1</v>
      </c>
      <c r="Z188" s="24">
        <f t="shared" si="35"/>
        <v>4414.9204432538481</v>
      </c>
      <c r="AA188" s="24">
        <f t="shared" si="36"/>
        <v>2402.1</v>
      </c>
      <c r="AB188" s="21"/>
      <c r="AC188" s="21"/>
      <c r="AD188" s="21"/>
      <c r="AE188" s="21"/>
      <c r="AF188" s="21" t="s">
        <v>247</v>
      </c>
      <c r="AG188" s="21"/>
      <c r="AH188" s="24"/>
      <c r="AI188" s="24"/>
      <c r="AJ188" s="21">
        <v>2403.3000000000002</v>
      </c>
      <c r="AK188" s="21">
        <v>30</v>
      </c>
      <c r="AL188" s="22" t="s">
        <v>161</v>
      </c>
      <c r="AM188" s="22">
        <v>0.13</v>
      </c>
      <c r="AO188" s="22" t="s">
        <v>331</v>
      </c>
      <c r="AP188" s="22" t="s">
        <v>673</v>
      </c>
      <c r="AQ188" s="22" t="str">
        <f t="shared" si="39"/>
        <v>Microphytoplankton</v>
      </c>
      <c r="AR188" s="22">
        <v>1</v>
      </c>
      <c r="AS188" s="22">
        <v>1</v>
      </c>
      <c r="AT188" s="22">
        <v>0</v>
      </c>
      <c r="AU188" s="22">
        <v>0</v>
      </c>
      <c r="AV188" s="22">
        <v>0</v>
      </c>
      <c r="AW188" s="22">
        <v>0</v>
      </c>
      <c r="AX188" s="22">
        <v>1</v>
      </c>
      <c r="AY188" s="22">
        <v>0</v>
      </c>
      <c r="AZ188" s="22">
        <v>0</v>
      </c>
      <c r="BA188" s="22">
        <v>4</v>
      </c>
      <c r="BB188" s="22">
        <v>3</v>
      </c>
      <c r="BC188" s="22">
        <v>2</v>
      </c>
      <c r="BD188" s="22">
        <v>1</v>
      </c>
      <c r="BE188" s="22">
        <v>0</v>
      </c>
    </row>
    <row r="189" spans="1:57">
      <c r="A189" s="21" t="s">
        <v>724</v>
      </c>
      <c r="B189" s="22" t="s">
        <v>663</v>
      </c>
      <c r="C189" s="22" t="s">
        <v>664</v>
      </c>
      <c r="D189" s="22" t="s">
        <v>665</v>
      </c>
      <c r="E189" s="22" t="s">
        <v>666</v>
      </c>
      <c r="F189" s="22" t="s">
        <v>667</v>
      </c>
      <c r="G189" s="22" t="s">
        <v>668</v>
      </c>
      <c r="H189" s="22" t="s">
        <v>669</v>
      </c>
      <c r="I189" s="22" t="s">
        <v>702</v>
      </c>
      <c r="J189" s="22" t="s">
        <v>725</v>
      </c>
      <c r="N189" s="22" t="s">
        <v>157</v>
      </c>
      <c r="O189" s="21" t="s">
        <v>672</v>
      </c>
      <c r="P189" s="22">
        <v>20161</v>
      </c>
      <c r="Q189" s="21">
        <v>18</v>
      </c>
      <c r="R189" s="21">
        <v>16</v>
      </c>
      <c r="S189" s="21">
        <v>10</v>
      </c>
      <c r="T189" s="21" t="s">
        <v>159</v>
      </c>
      <c r="U189" s="21">
        <v>0.95</v>
      </c>
      <c r="V189" s="22">
        <v>1</v>
      </c>
      <c r="W189" s="24">
        <f t="shared" si="42"/>
        <v>2331.663699701614</v>
      </c>
      <c r="X189" s="24">
        <f t="shared" si="43"/>
        <v>1431.84</v>
      </c>
      <c r="Y189" s="21">
        <v>1</v>
      </c>
      <c r="Z189" s="24">
        <f t="shared" si="35"/>
        <v>2331.663699701614</v>
      </c>
      <c r="AA189" s="24">
        <f t="shared" si="36"/>
        <v>1431.84</v>
      </c>
      <c r="AB189" s="21"/>
      <c r="AC189" s="21"/>
      <c r="AD189" s="21"/>
      <c r="AE189" s="21"/>
      <c r="AF189" s="21" t="s">
        <v>247</v>
      </c>
      <c r="AG189" s="21"/>
      <c r="AH189" s="24"/>
      <c r="AI189" s="24"/>
      <c r="AJ189" s="21">
        <v>1507.2</v>
      </c>
      <c r="AK189" s="21">
        <v>18</v>
      </c>
      <c r="AL189" s="22" t="s">
        <v>726</v>
      </c>
      <c r="AM189" s="22">
        <v>0.13</v>
      </c>
      <c r="AO189" s="22" t="s">
        <v>713</v>
      </c>
      <c r="AP189" s="22" t="s">
        <v>673</v>
      </c>
      <c r="AQ189" s="22" t="str">
        <f t="shared" si="39"/>
        <v>Nanophytoplankton</v>
      </c>
      <c r="AR189" s="22">
        <v>1</v>
      </c>
      <c r="AS189" s="22">
        <v>1</v>
      </c>
      <c r="AT189" s="22">
        <v>0</v>
      </c>
      <c r="AU189" s="22">
        <v>0</v>
      </c>
      <c r="AV189" s="22">
        <v>0</v>
      </c>
      <c r="AW189" s="22">
        <v>0</v>
      </c>
      <c r="AX189" s="22">
        <v>1</v>
      </c>
      <c r="AY189" s="22">
        <v>0</v>
      </c>
    </row>
    <row r="190" spans="1:57">
      <c r="A190" s="21" t="s">
        <v>727</v>
      </c>
      <c r="B190" s="22" t="s">
        <v>663</v>
      </c>
      <c r="C190" s="22" t="s">
        <v>664</v>
      </c>
      <c r="D190" s="22" t="s">
        <v>665</v>
      </c>
      <c r="E190" s="22" t="s">
        <v>666</v>
      </c>
      <c r="F190" s="22" t="s">
        <v>667</v>
      </c>
      <c r="G190" s="22" t="s">
        <v>668</v>
      </c>
      <c r="H190" s="22" t="s">
        <v>669</v>
      </c>
      <c r="I190" s="22" t="s">
        <v>702</v>
      </c>
      <c r="J190" s="22" t="s">
        <v>728</v>
      </c>
      <c r="N190" s="22" t="s">
        <v>157</v>
      </c>
      <c r="O190" s="21" t="s">
        <v>672</v>
      </c>
      <c r="P190" s="22">
        <v>20165</v>
      </c>
      <c r="Q190" s="21">
        <v>15</v>
      </c>
      <c r="R190" s="21">
        <v>13</v>
      </c>
      <c r="S190" s="21">
        <v>11.5</v>
      </c>
      <c r="T190" s="21" t="s">
        <v>159</v>
      </c>
      <c r="U190" s="21">
        <v>0.7</v>
      </c>
      <c r="V190" s="21">
        <v>0.7</v>
      </c>
      <c r="W190" s="24">
        <f t="shared" si="42"/>
        <v>2582.7988375954401</v>
      </c>
      <c r="X190" s="24">
        <f t="shared" si="43"/>
        <v>821.50249999999994</v>
      </c>
      <c r="Y190" s="21">
        <v>1</v>
      </c>
      <c r="Z190" s="24">
        <f t="shared" si="35"/>
        <v>2582.7988375954401</v>
      </c>
      <c r="AA190" s="24">
        <f t="shared" si="36"/>
        <v>821.50249999999994</v>
      </c>
      <c r="AB190" s="21"/>
      <c r="AC190" s="21"/>
      <c r="AD190" s="21"/>
      <c r="AE190" s="21"/>
      <c r="AF190" s="21" t="s">
        <v>247</v>
      </c>
      <c r="AG190" s="21"/>
      <c r="AH190" s="24"/>
      <c r="AI190" s="24"/>
      <c r="AJ190" s="21">
        <v>1173.575</v>
      </c>
      <c r="AK190" s="21">
        <v>15</v>
      </c>
      <c r="AL190" s="22" t="s">
        <v>726</v>
      </c>
      <c r="AM190" s="22">
        <v>0.13</v>
      </c>
      <c r="AO190" s="22" t="s">
        <v>713</v>
      </c>
      <c r="AP190" s="22" t="s">
        <v>673</v>
      </c>
      <c r="AQ190" s="22" t="str">
        <f t="shared" si="39"/>
        <v>Nanophytoplankton</v>
      </c>
      <c r="AR190" s="22">
        <v>1</v>
      </c>
      <c r="AS190" s="22">
        <v>1</v>
      </c>
      <c r="AT190" s="22">
        <v>0</v>
      </c>
      <c r="AU190" s="22">
        <v>0</v>
      </c>
      <c r="AV190" s="22">
        <v>0</v>
      </c>
      <c r="AW190" s="22">
        <v>0</v>
      </c>
      <c r="AX190" s="22">
        <v>1</v>
      </c>
      <c r="AY190" s="22">
        <v>0</v>
      </c>
    </row>
    <row r="191" spans="1:57">
      <c r="A191" s="21" t="s">
        <v>729</v>
      </c>
      <c r="B191" s="22" t="s">
        <v>663</v>
      </c>
      <c r="C191" s="22" t="s">
        <v>664</v>
      </c>
      <c r="D191" s="22" t="s">
        <v>665</v>
      </c>
      <c r="E191" s="22" t="s">
        <v>666</v>
      </c>
      <c r="F191" s="22" t="s">
        <v>667</v>
      </c>
      <c r="G191" s="22" t="s">
        <v>668</v>
      </c>
      <c r="H191" s="22" t="s">
        <v>669</v>
      </c>
      <c r="I191" s="22" t="s">
        <v>702</v>
      </c>
      <c r="J191" s="22" t="s">
        <v>730</v>
      </c>
      <c r="N191" s="22" t="s">
        <v>731</v>
      </c>
      <c r="O191" s="21" t="s">
        <v>672</v>
      </c>
      <c r="P191" s="22">
        <v>20166</v>
      </c>
      <c r="Q191" s="21">
        <v>28</v>
      </c>
      <c r="R191" s="21">
        <v>50</v>
      </c>
      <c r="S191" s="21">
        <v>25</v>
      </c>
      <c r="T191" s="21" t="s">
        <v>159</v>
      </c>
      <c r="U191" s="21">
        <v>0.8</v>
      </c>
      <c r="V191" s="21">
        <v>0.8</v>
      </c>
      <c r="W191" s="24">
        <f t="shared" si="42"/>
        <v>13259.243477504888</v>
      </c>
      <c r="X191" s="24">
        <f t="shared" si="43"/>
        <v>14653.333333333332</v>
      </c>
      <c r="Y191" s="21">
        <v>1</v>
      </c>
      <c r="Z191" s="24">
        <f t="shared" si="35"/>
        <v>13259.243477504888</v>
      </c>
      <c r="AA191" s="24">
        <f t="shared" si="36"/>
        <v>14653.333333333332</v>
      </c>
      <c r="AB191" s="21"/>
      <c r="AC191" s="21"/>
      <c r="AD191" s="21"/>
      <c r="AE191" s="21"/>
      <c r="AF191" s="21"/>
      <c r="AG191" s="21"/>
      <c r="AH191" s="24"/>
      <c r="AI191" s="24"/>
      <c r="AJ191" s="21">
        <v>14653.333333333332</v>
      </c>
      <c r="AK191" s="21">
        <v>50</v>
      </c>
      <c r="AL191" s="22" t="s">
        <v>726</v>
      </c>
      <c r="AM191" s="22">
        <v>0.13</v>
      </c>
      <c r="AO191" s="22" t="s">
        <v>713</v>
      </c>
      <c r="AP191" s="22" t="s">
        <v>673</v>
      </c>
      <c r="AQ191" s="22" t="str">
        <f t="shared" si="39"/>
        <v>Microphytoplankton</v>
      </c>
      <c r="AR191" s="22">
        <v>1</v>
      </c>
      <c r="AS191" s="22">
        <v>1</v>
      </c>
      <c r="AT191" s="22">
        <v>0</v>
      </c>
      <c r="AU191" s="22">
        <v>0</v>
      </c>
      <c r="AV191" s="22">
        <v>0</v>
      </c>
      <c r="AW191" s="22">
        <v>0</v>
      </c>
      <c r="AX191" s="22">
        <v>1</v>
      </c>
      <c r="AY191" s="22">
        <v>0</v>
      </c>
    </row>
    <row r="192" spans="1:57">
      <c r="A192" s="21" t="s">
        <v>732</v>
      </c>
      <c r="B192" s="22" t="s">
        <v>663</v>
      </c>
      <c r="C192" s="22" t="s">
        <v>664</v>
      </c>
      <c r="D192" s="22" t="s">
        <v>665</v>
      </c>
      <c r="E192" s="22" t="s">
        <v>666</v>
      </c>
      <c r="F192" s="22" t="s">
        <v>667</v>
      </c>
      <c r="G192" s="22" t="s">
        <v>668</v>
      </c>
      <c r="H192" s="22" t="s">
        <v>669</v>
      </c>
      <c r="I192" s="22" t="s">
        <v>702</v>
      </c>
      <c r="J192" s="22" t="s">
        <v>733</v>
      </c>
      <c r="N192" s="22" t="s">
        <v>157</v>
      </c>
      <c r="O192" s="21" t="s">
        <v>672</v>
      </c>
      <c r="P192" s="21">
        <v>20131</v>
      </c>
      <c r="Q192" s="21">
        <v>22</v>
      </c>
      <c r="R192" s="21">
        <v>20</v>
      </c>
      <c r="S192" s="21">
        <v>20</v>
      </c>
      <c r="T192" s="21" t="s">
        <v>159</v>
      </c>
      <c r="U192" s="21">
        <v>1</v>
      </c>
      <c r="V192" s="22">
        <v>1</v>
      </c>
      <c r="W192" s="24">
        <f t="shared" si="42"/>
        <v>4308.3350312647599</v>
      </c>
      <c r="X192" s="24">
        <f t="shared" si="43"/>
        <v>4605.3333333333339</v>
      </c>
      <c r="Y192" s="21">
        <v>1</v>
      </c>
      <c r="Z192" s="24">
        <f t="shared" si="35"/>
        <v>4308.3350312647599</v>
      </c>
      <c r="AA192" s="24">
        <f t="shared" si="36"/>
        <v>4605.3333333333339</v>
      </c>
      <c r="AB192" s="21"/>
      <c r="AC192" s="21"/>
      <c r="AD192" s="21"/>
      <c r="AE192" s="21"/>
      <c r="AF192" s="21" t="s">
        <v>247</v>
      </c>
      <c r="AG192" s="21"/>
      <c r="AH192" s="24"/>
      <c r="AI192" s="24"/>
      <c r="AJ192" s="21">
        <v>4605.3333333333339</v>
      </c>
      <c r="AK192" s="21">
        <v>22</v>
      </c>
      <c r="AL192" s="22" t="s">
        <v>161</v>
      </c>
      <c r="AM192" s="22">
        <v>0.13</v>
      </c>
      <c r="AO192" s="22" t="s">
        <v>331</v>
      </c>
      <c r="AP192" s="22" t="s">
        <v>673</v>
      </c>
      <c r="AQ192" s="22" t="str">
        <f t="shared" si="39"/>
        <v>Microphytoplankton</v>
      </c>
      <c r="AR192" s="22">
        <v>1</v>
      </c>
      <c r="AS192" s="22">
        <v>1</v>
      </c>
      <c r="AT192" s="22">
        <v>0</v>
      </c>
      <c r="AU192" s="22">
        <v>0</v>
      </c>
      <c r="AV192" s="22">
        <v>0</v>
      </c>
      <c r="AW192" s="22">
        <v>0</v>
      </c>
      <c r="AX192" s="22">
        <v>1</v>
      </c>
      <c r="AY192" s="22">
        <v>0</v>
      </c>
    </row>
    <row r="193" spans="1:57">
      <c r="A193" s="21" t="s">
        <v>734</v>
      </c>
      <c r="B193" s="22" t="s">
        <v>663</v>
      </c>
      <c r="C193" s="22" t="s">
        <v>664</v>
      </c>
      <c r="D193" s="22" t="s">
        <v>665</v>
      </c>
      <c r="E193" s="22" t="s">
        <v>666</v>
      </c>
      <c r="F193" s="22" t="s">
        <v>667</v>
      </c>
      <c r="G193" s="22" t="s">
        <v>668</v>
      </c>
      <c r="H193" s="22" t="s">
        <v>669</v>
      </c>
      <c r="I193" s="22" t="s">
        <v>702</v>
      </c>
      <c r="J193" s="22" t="s">
        <v>735</v>
      </c>
      <c r="N193" s="22" t="s">
        <v>157</v>
      </c>
      <c r="O193" s="21" t="s">
        <v>672</v>
      </c>
      <c r="P193" s="21">
        <v>20110</v>
      </c>
      <c r="Q193" s="21">
        <v>15.5</v>
      </c>
      <c r="R193" s="21">
        <v>11</v>
      </c>
      <c r="S193" s="21">
        <v>8</v>
      </c>
      <c r="T193" s="21" t="s">
        <v>281</v>
      </c>
      <c r="U193" s="21">
        <v>0.9</v>
      </c>
      <c r="V193" s="21">
        <v>0.9</v>
      </c>
      <c r="W193" s="24">
        <f t="shared" si="42"/>
        <v>1619.3430334181949</v>
      </c>
      <c r="X193" s="24">
        <f t="shared" si="43"/>
        <v>642.44399999999996</v>
      </c>
      <c r="Y193" s="21">
        <v>1</v>
      </c>
      <c r="Z193" s="24">
        <f t="shared" si="35"/>
        <v>1619.3430334181949</v>
      </c>
      <c r="AA193" s="24">
        <f t="shared" si="36"/>
        <v>642.44399999999996</v>
      </c>
      <c r="AB193" s="21"/>
      <c r="AC193" s="21"/>
      <c r="AD193" s="21"/>
      <c r="AE193" s="21"/>
      <c r="AF193" s="21" t="s">
        <v>247</v>
      </c>
      <c r="AG193" s="21"/>
      <c r="AH193" s="24"/>
      <c r="AI193" s="24"/>
      <c r="AJ193" s="21">
        <v>1267</v>
      </c>
      <c r="AK193" s="21">
        <v>16</v>
      </c>
      <c r="AL193" s="22" t="s">
        <v>736</v>
      </c>
      <c r="AM193" s="22">
        <v>0.13</v>
      </c>
      <c r="AO193" s="22" t="s">
        <v>713</v>
      </c>
      <c r="AP193" s="22" t="s">
        <v>673</v>
      </c>
      <c r="AQ193" s="22" t="str">
        <f t="shared" si="39"/>
        <v>Nanophytoplankton</v>
      </c>
      <c r="AR193" s="22">
        <v>1</v>
      </c>
      <c r="AS193" s="22">
        <v>1</v>
      </c>
      <c r="AT193" s="22">
        <v>0</v>
      </c>
      <c r="AU193" s="22">
        <v>0</v>
      </c>
      <c r="AV193" s="22">
        <v>0</v>
      </c>
      <c r="AW193" s="22">
        <v>0</v>
      </c>
      <c r="AX193" s="22">
        <v>1</v>
      </c>
      <c r="AY193" s="22">
        <v>0</v>
      </c>
    </row>
    <row r="194" spans="1:57">
      <c r="A194" s="21" t="s">
        <v>737</v>
      </c>
      <c r="B194" s="22" t="s">
        <v>663</v>
      </c>
      <c r="C194" s="22" t="s">
        <v>664</v>
      </c>
      <c r="D194" s="22" t="s">
        <v>665</v>
      </c>
      <c r="E194" s="22" t="s">
        <v>666</v>
      </c>
      <c r="F194" s="22" t="s">
        <v>667</v>
      </c>
      <c r="G194" s="22" t="s">
        <v>668</v>
      </c>
      <c r="H194" s="22" t="s">
        <v>669</v>
      </c>
      <c r="I194" s="22" t="s">
        <v>702</v>
      </c>
      <c r="J194" s="22" t="s">
        <v>211</v>
      </c>
      <c r="M194" s="22" t="s">
        <v>1</v>
      </c>
      <c r="N194" s="22" t="s">
        <v>738</v>
      </c>
      <c r="O194" s="21" t="s">
        <v>672</v>
      </c>
      <c r="P194" s="21">
        <v>20100</v>
      </c>
      <c r="Q194" s="21">
        <v>20</v>
      </c>
      <c r="R194" s="21">
        <v>10</v>
      </c>
      <c r="S194" s="21">
        <v>7</v>
      </c>
      <c r="T194" s="21" t="s">
        <v>281</v>
      </c>
      <c r="U194" s="21">
        <v>0.9</v>
      </c>
      <c r="V194" s="21">
        <v>0.9</v>
      </c>
      <c r="W194" s="24">
        <f t="shared" si="42"/>
        <v>1868.1517109631138</v>
      </c>
      <c r="X194" s="24">
        <f t="shared" si="43"/>
        <v>659.40000000000009</v>
      </c>
      <c r="Y194" s="21">
        <v>1</v>
      </c>
      <c r="Z194" s="24">
        <f t="shared" ref="Z194:Z257" si="44">Y194*W194</f>
        <v>1868.1517109631138</v>
      </c>
      <c r="AA194" s="24">
        <f t="shared" ref="AA194:AA257" si="45">Y194*X194</f>
        <v>659.40000000000009</v>
      </c>
      <c r="AB194" s="21"/>
      <c r="AC194" s="21"/>
      <c r="AD194" s="21"/>
      <c r="AE194" s="21"/>
      <c r="AF194" s="21" t="s">
        <v>247</v>
      </c>
      <c r="AG194" s="21"/>
      <c r="AH194" s="24"/>
      <c r="AI194" s="24"/>
      <c r="AJ194" s="21">
        <v>989.6</v>
      </c>
      <c r="AK194" s="21">
        <v>20</v>
      </c>
      <c r="AL194" s="22" t="s">
        <v>161</v>
      </c>
      <c r="AM194" s="22">
        <v>0.13</v>
      </c>
      <c r="AO194" s="22" t="s">
        <v>713</v>
      </c>
      <c r="AP194" s="22" t="s">
        <v>673</v>
      </c>
      <c r="AQ194" s="22" t="str">
        <f t="shared" ref="AQ194:AQ257" si="46">IF(AND($AK194&lt;20,AJ194&lt;10000),"Nanophytoplankton","Microphytoplankton")</f>
        <v>Microphytoplankton</v>
      </c>
      <c r="AR194" s="22">
        <v>1</v>
      </c>
      <c r="AS194" s="22">
        <v>1</v>
      </c>
      <c r="AT194" s="22">
        <v>0</v>
      </c>
      <c r="AU194" s="22">
        <v>0</v>
      </c>
      <c r="AV194" s="22">
        <v>0</v>
      </c>
      <c r="AW194" s="22">
        <v>0</v>
      </c>
      <c r="AX194" s="22">
        <v>1</v>
      </c>
      <c r="AY194" s="22">
        <v>0</v>
      </c>
      <c r="AZ194" s="22">
        <v>0</v>
      </c>
      <c r="BA194" s="22">
        <v>4</v>
      </c>
      <c r="BB194" s="22">
        <v>3</v>
      </c>
      <c r="BC194" s="22">
        <v>2</v>
      </c>
      <c r="BD194" s="22">
        <v>1</v>
      </c>
      <c r="BE194" s="22">
        <v>0</v>
      </c>
    </row>
    <row r="195" spans="1:57">
      <c r="A195" s="21" t="s">
        <v>739</v>
      </c>
      <c r="B195" s="22" t="s">
        <v>663</v>
      </c>
      <c r="C195" s="22" t="s">
        <v>664</v>
      </c>
      <c r="D195" s="22" t="s">
        <v>665</v>
      </c>
      <c r="E195" s="22" t="s">
        <v>666</v>
      </c>
      <c r="F195" s="22" t="s">
        <v>667</v>
      </c>
      <c r="G195" s="22" t="s">
        <v>668</v>
      </c>
      <c r="H195" s="22" t="s">
        <v>669</v>
      </c>
      <c r="I195" s="22" t="s">
        <v>702</v>
      </c>
      <c r="J195" s="22" t="s">
        <v>478</v>
      </c>
      <c r="M195" s="22" t="s">
        <v>1</v>
      </c>
      <c r="N195" s="22" t="s">
        <v>740</v>
      </c>
      <c r="O195" s="21" t="s">
        <v>672</v>
      </c>
      <c r="P195" s="21">
        <v>20140</v>
      </c>
      <c r="Q195" s="21">
        <v>9</v>
      </c>
      <c r="R195" s="21">
        <v>9</v>
      </c>
      <c r="S195" s="21">
        <v>7</v>
      </c>
      <c r="T195" s="21" t="s">
        <v>281</v>
      </c>
      <c r="U195" s="21">
        <v>1</v>
      </c>
      <c r="V195" s="22">
        <v>1</v>
      </c>
      <c r="W195" s="24">
        <f t="shared" si="42"/>
        <v>718.20289182050567</v>
      </c>
      <c r="X195" s="24">
        <f t="shared" si="43"/>
        <v>296.73</v>
      </c>
      <c r="Y195" s="21">
        <v>1</v>
      </c>
      <c r="Z195" s="24">
        <f t="shared" si="44"/>
        <v>718.20289182050567</v>
      </c>
      <c r="AA195" s="24">
        <f t="shared" si="45"/>
        <v>296.73</v>
      </c>
      <c r="AB195" s="21"/>
      <c r="AC195" s="21"/>
      <c r="AD195" s="21"/>
      <c r="AE195" s="21"/>
      <c r="AF195" s="21" t="s">
        <v>247</v>
      </c>
      <c r="AG195" s="21"/>
      <c r="AH195" s="24"/>
      <c r="AI195" s="24"/>
      <c r="AJ195" s="21">
        <v>296.89999999999998</v>
      </c>
      <c r="AK195" s="21">
        <v>9</v>
      </c>
      <c r="AL195" s="22" t="s">
        <v>161</v>
      </c>
      <c r="AM195" s="22">
        <v>0.13</v>
      </c>
      <c r="AO195" s="22" t="s">
        <v>713</v>
      </c>
      <c r="AP195" s="22" t="s">
        <v>673</v>
      </c>
      <c r="AQ195" s="22" t="str">
        <f t="shared" si="46"/>
        <v>Nanophytoplankton</v>
      </c>
      <c r="AR195" s="22">
        <v>1</v>
      </c>
      <c r="AS195" s="22">
        <v>1</v>
      </c>
      <c r="AT195" s="22">
        <v>0</v>
      </c>
      <c r="AU195" s="22">
        <v>0</v>
      </c>
      <c r="AV195" s="22">
        <v>0</v>
      </c>
      <c r="AW195" s="22">
        <v>0</v>
      </c>
      <c r="AX195" s="22">
        <v>1</v>
      </c>
      <c r="AY195" s="22">
        <v>0</v>
      </c>
      <c r="AZ195" s="22">
        <v>0</v>
      </c>
      <c r="BA195" s="22">
        <v>4</v>
      </c>
      <c r="BB195" s="22">
        <v>3</v>
      </c>
      <c r="BC195" s="22">
        <v>2</v>
      </c>
      <c r="BD195" s="22">
        <v>1</v>
      </c>
      <c r="BE195" s="22">
        <v>0</v>
      </c>
    </row>
    <row r="196" spans="1:57">
      <c r="A196" s="21" t="s">
        <v>741</v>
      </c>
      <c r="B196" s="22" t="s">
        <v>663</v>
      </c>
      <c r="C196" s="22" t="s">
        <v>664</v>
      </c>
      <c r="D196" s="22" t="s">
        <v>665</v>
      </c>
      <c r="E196" s="22" t="s">
        <v>666</v>
      </c>
      <c r="F196" s="22" t="s">
        <v>667</v>
      </c>
      <c r="G196" s="22" t="s">
        <v>668</v>
      </c>
      <c r="H196" s="22" t="s">
        <v>669</v>
      </c>
      <c r="I196" s="22" t="s">
        <v>702</v>
      </c>
      <c r="J196" s="22" t="s">
        <v>742</v>
      </c>
      <c r="M196" s="22" t="s">
        <v>1</v>
      </c>
      <c r="N196" s="22" t="s">
        <v>740</v>
      </c>
      <c r="O196" s="21" t="s">
        <v>672</v>
      </c>
      <c r="P196" s="21">
        <v>20150</v>
      </c>
      <c r="Q196" s="21">
        <v>12</v>
      </c>
      <c r="R196" s="21">
        <v>7</v>
      </c>
      <c r="S196" s="21">
        <v>5.5</v>
      </c>
      <c r="T196" s="21" t="s">
        <v>281</v>
      </c>
      <c r="U196" s="21">
        <v>1</v>
      </c>
      <c r="V196" s="22">
        <v>1</v>
      </c>
      <c r="W196" s="24">
        <f t="shared" si="42"/>
        <v>742.8662657197242</v>
      </c>
      <c r="X196" s="24">
        <f t="shared" si="43"/>
        <v>241.77999999999997</v>
      </c>
      <c r="Y196" s="21">
        <v>1</v>
      </c>
      <c r="Z196" s="24">
        <f t="shared" si="44"/>
        <v>742.8662657197242</v>
      </c>
      <c r="AA196" s="24">
        <f t="shared" si="45"/>
        <v>241.77999999999997</v>
      </c>
      <c r="AB196" s="21"/>
      <c r="AC196" s="21"/>
      <c r="AD196" s="21"/>
      <c r="AE196" s="21"/>
      <c r="AF196" s="21" t="s">
        <v>247</v>
      </c>
      <c r="AG196" s="21"/>
      <c r="AH196" s="24"/>
      <c r="AI196" s="24"/>
      <c r="AJ196" s="21">
        <v>241.9</v>
      </c>
      <c r="AK196" s="21">
        <v>12</v>
      </c>
      <c r="AL196" s="22" t="s">
        <v>161</v>
      </c>
      <c r="AM196" s="22">
        <v>0.13</v>
      </c>
      <c r="AO196" s="22" t="s">
        <v>713</v>
      </c>
      <c r="AP196" s="22" t="s">
        <v>673</v>
      </c>
      <c r="AQ196" s="22" t="str">
        <f t="shared" si="46"/>
        <v>Nanophytoplankton</v>
      </c>
      <c r="AR196" s="22">
        <v>1</v>
      </c>
      <c r="AS196" s="22">
        <v>1</v>
      </c>
      <c r="AT196" s="22">
        <v>0</v>
      </c>
      <c r="AU196" s="22">
        <v>0</v>
      </c>
      <c r="AV196" s="22">
        <v>0</v>
      </c>
      <c r="AW196" s="22">
        <v>0</v>
      </c>
      <c r="AX196" s="22">
        <v>1</v>
      </c>
      <c r="AY196" s="22">
        <v>0</v>
      </c>
    </row>
    <row r="197" spans="1:57">
      <c r="A197" s="21" t="s">
        <v>743</v>
      </c>
      <c r="B197" s="22" t="s">
        <v>663</v>
      </c>
      <c r="C197" s="22" t="s">
        <v>664</v>
      </c>
      <c r="D197" s="22" t="s">
        <v>665</v>
      </c>
      <c r="E197" s="22" t="s">
        <v>666</v>
      </c>
      <c r="F197" s="22" t="s">
        <v>667</v>
      </c>
      <c r="G197" s="22" t="s">
        <v>668</v>
      </c>
      <c r="H197" s="22" t="s">
        <v>669</v>
      </c>
      <c r="I197" s="22" t="s">
        <v>702</v>
      </c>
      <c r="J197" s="22" t="s">
        <v>744</v>
      </c>
      <c r="N197" s="22" t="s">
        <v>745</v>
      </c>
      <c r="O197" s="21" t="s">
        <v>672</v>
      </c>
      <c r="P197" s="21">
        <v>20170</v>
      </c>
      <c r="Q197" s="21">
        <v>45</v>
      </c>
      <c r="R197" s="21">
        <v>40</v>
      </c>
      <c r="S197" s="21">
        <v>35</v>
      </c>
      <c r="T197" s="21" t="s">
        <v>281</v>
      </c>
      <c r="U197" s="21">
        <v>0.9</v>
      </c>
      <c r="V197" s="21">
        <v>0.9</v>
      </c>
      <c r="W197" s="24">
        <f t="shared" si="42"/>
        <v>18328.471390116236</v>
      </c>
      <c r="X197" s="24">
        <f t="shared" si="43"/>
        <v>29673</v>
      </c>
      <c r="Y197" s="21">
        <v>1</v>
      </c>
      <c r="Z197" s="24">
        <f t="shared" si="44"/>
        <v>18328.471390116236</v>
      </c>
      <c r="AA197" s="24">
        <f t="shared" si="45"/>
        <v>29673</v>
      </c>
      <c r="AB197" s="21"/>
      <c r="AC197" s="21"/>
      <c r="AD197" s="21"/>
      <c r="AE197" s="21"/>
      <c r="AF197" s="21" t="s">
        <v>247</v>
      </c>
      <c r="AG197" s="21"/>
      <c r="AH197" s="24"/>
      <c r="AI197" s="24"/>
      <c r="AJ197" s="21">
        <v>29688.1</v>
      </c>
      <c r="AK197" s="21">
        <v>45</v>
      </c>
      <c r="AL197" s="22" t="s">
        <v>161</v>
      </c>
      <c r="AM197" s="22">
        <v>0.13</v>
      </c>
      <c r="AO197" s="22" t="s">
        <v>331</v>
      </c>
      <c r="AP197" s="22" t="s">
        <v>673</v>
      </c>
      <c r="AQ197" s="22" t="str">
        <f t="shared" si="46"/>
        <v>Microphytoplankton</v>
      </c>
      <c r="AR197" s="22">
        <v>1</v>
      </c>
      <c r="AS197" s="22">
        <v>1</v>
      </c>
      <c r="AT197" s="22">
        <v>0</v>
      </c>
      <c r="AU197" s="22">
        <v>0</v>
      </c>
      <c r="AV197" s="22">
        <v>0</v>
      </c>
      <c r="AW197" s="22">
        <v>0</v>
      </c>
      <c r="AX197" s="22">
        <v>1</v>
      </c>
      <c r="AY197" s="22">
        <v>0</v>
      </c>
      <c r="AZ197" s="22">
        <v>0</v>
      </c>
      <c r="BA197" s="22">
        <v>4</v>
      </c>
      <c r="BB197" s="22">
        <v>3</v>
      </c>
      <c r="BC197" s="22">
        <v>2</v>
      </c>
      <c r="BD197" s="22">
        <v>1</v>
      </c>
      <c r="BE197" s="22">
        <v>0</v>
      </c>
    </row>
    <row r="198" spans="1:57">
      <c r="A198" s="28" t="s">
        <v>746</v>
      </c>
      <c r="B198" s="22" t="s">
        <v>663</v>
      </c>
      <c r="C198" s="22" t="s">
        <v>664</v>
      </c>
      <c r="D198" s="22" t="s">
        <v>665</v>
      </c>
      <c r="E198" s="22" t="s">
        <v>666</v>
      </c>
      <c r="F198" s="22" t="s">
        <v>667</v>
      </c>
      <c r="G198" s="22" t="s">
        <v>668</v>
      </c>
      <c r="H198" s="22" t="s">
        <v>669</v>
      </c>
      <c r="I198" s="22" t="s">
        <v>702</v>
      </c>
      <c r="J198" s="22" t="s">
        <v>747</v>
      </c>
      <c r="M198" s="22" t="s">
        <v>1</v>
      </c>
      <c r="N198" s="22" t="s">
        <v>740</v>
      </c>
      <c r="O198" s="21" t="s">
        <v>672</v>
      </c>
      <c r="P198" s="31">
        <v>20180</v>
      </c>
      <c r="Q198" s="21">
        <v>23</v>
      </c>
      <c r="R198" s="21">
        <v>20</v>
      </c>
      <c r="S198" s="21">
        <v>20</v>
      </c>
      <c r="T198" s="21" t="s">
        <v>159</v>
      </c>
      <c r="U198" s="21">
        <v>0.75</v>
      </c>
      <c r="V198" s="21">
        <v>0.8</v>
      </c>
      <c r="W198" s="24">
        <f t="shared" si="42"/>
        <v>5628.503898016178</v>
      </c>
      <c r="X198" s="24">
        <f t="shared" si="43"/>
        <v>3611</v>
      </c>
      <c r="Y198" s="21">
        <v>1</v>
      </c>
      <c r="Z198" s="24">
        <f t="shared" si="44"/>
        <v>5628.503898016178</v>
      </c>
      <c r="AA198" s="24">
        <f t="shared" si="45"/>
        <v>3611</v>
      </c>
      <c r="AB198" s="21"/>
      <c r="AC198" s="21"/>
      <c r="AD198" s="21"/>
      <c r="AE198" s="21"/>
      <c r="AF198" s="21" t="s">
        <v>247</v>
      </c>
      <c r="AG198" s="21"/>
      <c r="AH198" s="24"/>
      <c r="AI198" s="24"/>
      <c r="AJ198" s="21">
        <v>3611</v>
      </c>
      <c r="AK198" s="21">
        <v>20</v>
      </c>
      <c r="AL198" s="22" t="s">
        <v>748</v>
      </c>
      <c r="AM198" s="22">
        <v>0.13</v>
      </c>
      <c r="AO198" s="22" t="s">
        <v>331</v>
      </c>
      <c r="AP198" s="22" t="s">
        <v>673</v>
      </c>
      <c r="AQ198" s="22" t="str">
        <f t="shared" si="46"/>
        <v>Microphytoplankton</v>
      </c>
      <c r="AR198" s="22">
        <v>1</v>
      </c>
      <c r="AS198" s="22">
        <v>1</v>
      </c>
      <c r="AT198" s="22">
        <v>0</v>
      </c>
      <c r="AU198" s="22">
        <v>0</v>
      </c>
      <c r="AV198" s="22">
        <v>0</v>
      </c>
      <c r="AW198" s="22">
        <v>0</v>
      </c>
      <c r="AX198" s="22">
        <v>1</v>
      </c>
      <c r="AY198" s="22">
        <v>0</v>
      </c>
      <c r="AZ198" s="22">
        <v>0</v>
      </c>
      <c r="BA198" s="22">
        <v>4</v>
      </c>
      <c r="BB198" s="22">
        <v>3</v>
      </c>
      <c r="BC198" s="22">
        <v>2</v>
      </c>
      <c r="BD198" s="22">
        <v>1</v>
      </c>
      <c r="BE198" s="22">
        <v>0</v>
      </c>
    </row>
    <row r="199" spans="1:57">
      <c r="A199" s="28" t="s">
        <v>749</v>
      </c>
      <c r="B199" s="22" t="s">
        <v>663</v>
      </c>
      <c r="C199" s="22" t="s">
        <v>664</v>
      </c>
      <c r="D199" s="22" t="s">
        <v>665</v>
      </c>
      <c r="E199" s="22" t="s">
        <v>666</v>
      </c>
      <c r="F199" s="22" t="s">
        <v>667</v>
      </c>
      <c r="G199" s="22" t="s">
        <v>668</v>
      </c>
      <c r="H199" s="22" t="s">
        <v>669</v>
      </c>
      <c r="I199" s="22" t="s">
        <v>702</v>
      </c>
      <c r="J199" s="22" t="s">
        <v>750</v>
      </c>
      <c r="M199" s="22" t="s">
        <v>1</v>
      </c>
      <c r="N199" s="22" t="s">
        <v>740</v>
      </c>
      <c r="O199" s="21" t="s">
        <v>672</v>
      </c>
      <c r="P199" s="31">
        <v>20190</v>
      </c>
      <c r="Q199" s="21">
        <v>60</v>
      </c>
      <c r="R199" s="21">
        <v>55</v>
      </c>
      <c r="S199" s="21">
        <v>55</v>
      </c>
      <c r="T199" s="21" t="s">
        <v>159</v>
      </c>
      <c r="U199" s="21">
        <v>0.73</v>
      </c>
      <c r="V199" s="21">
        <v>0.7</v>
      </c>
      <c r="W199" s="24">
        <f t="shared" si="42"/>
        <v>45997.691752262297</v>
      </c>
      <c r="X199" s="24">
        <f t="shared" si="43"/>
        <v>69339.05</v>
      </c>
      <c r="Y199" s="21">
        <v>1</v>
      </c>
      <c r="Z199" s="24">
        <f t="shared" si="44"/>
        <v>45997.691752262297</v>
      </c>
      <c r="AA199" s="24">
        <f t="shared" si="45"/>
        <v>69339.05</v>
      </c>
      <c r="AB199" s="21"/>
      <c r="AC199" s="21"/>
      <c r="AD199" s="21"/>
      <c r="AE199" s="21"/>
      <c r="AF199" s="21" t="s">
        <v>247</v>
      </c>
      <c r="AG199" s="21"/>
      <c r="AH199" s="24"/>
      <c r="AI199" s="24"/>
      <c r="AJ199" s="21">
        <v>69339.05</v>
      </c>
      <c r="AK199" s="21">
        <v>60</v>
      </c>
      <c r="AL199" s="22" t="s">
        <v>748</v>
      </c>
      <c r="AM199" s="22">
        <v>0.13</v>
      </c>
      <c r="AO199" s="22" t="s">
        <v>331</v>
      </c>
      <c r="AP199" s="22" t="s">
        <v>673</v>
      </c>
      <c r="AQ199" s="22" t="str">
        <f t="shared" si="46"/>
        <v>Microphytoplankton</v>
      </c>
      <c r="AR199" s="22">
        <v>1</v>
      </c>
      <c r="AS199" s="22">
        <v>1</v>
      </c>
      <c r="AT199" s="22">
        <v>0</v>
      </c>
      <c r="AU199" s="22">
        <v>0</v>
      </c>
      <c r="AV199" s="22">
        <v>0</v>
      </c>
      <c r="AW199" s="22">
        <v>0</v>
      </c>
      <c r="AX199" s="22">
        <v>1</v>
      </c>
      <c r="AY199" s="22">
        <v>0</v>
      </c>
      <c r="AZ199" s="22">
        <v>0</v>
      </c>
      <c r="BA199" s="22">
        <v>4</v>
      </c>
      <c r="BB199" s="22">
        <v>3</v>
      </c>
      <c r="BC199" s="22">
        <v>2</v>
      </c>
      <c r="BD199" s="22">
        <v>1</v>
      </c>
      <c r="BE199" s="22">
        <v>0</v>
      </c>
    </row>
    <row r="200" spans="1:57" s="29" customFormat="1">
      <c r="A200" s="21" t="s">
        <v>751</v>
      </c>
      <c r="B200" s="22" t="s">
        <v>663</v>
      </c>
      <c r="C200" s="22" t="s">
        <v>664</v>
      </c>
      <c r="D200" s="22" t="s">
        <v>665</v>
      </c>
      <c r="E200" s="22" t="s">
        <v>666</v>
      </c>
      <c r="F200" s="22" t="s">
        <v>667</v>
      </c>
      <c r="G200" s="22" t="s">
        <v>668</v>
      </c>
      <c r="H200" s="22" t="s">
        <v>669</v>
      </c>
      <c r="I200" s="22" t="s">
        <v>681</v>
      </c>
      <c r="J200" s="22" t="s">
        <v>752</v>
      </c>
      <c r="K200" s="22"/>
      <c r="L200" s="22"/>
      <c r="M200" s="22"/>
      <c r="N200" s="22" t="s">
        <v>753</v>
      </c>
      <c r="O200" s="21" t="s">
        <v>672</v>
      </c>
      <c r="P200" s="21">
        <v>20205</v>
      </c>
      <c r="Q200" s="21">
        <v>13.5</v>
      </c>
      <c r="R200" s="21">
        <v>10.75</v>
      </c>
      <c r="S200" s="21">
        <v>10.75</v>
      </c>
      <c r="T200" s="21" t="s">
        <v>159</v>
      </c>
      <c r="U200" s="21">
        <v>1</v>
      </c>
      <c r="V200" s="22">
        <v>1</v>
      </c>
      <c r="W200" s="24">
        <f t="shared" si="42"/>
        <v>1428.4354659466089</v>
      </c>
      <c r="X200" s="24">
        <f t="shared" si="43"/>
        <v>816.44906249999985</v>
      </c>
      <c r="Y200" s="21">
        <v>1</v>
      </c>
      <c r="Z200" s="24">
        <f t="shared" si="44"/>
        <v>1428.4354659466089</v>
      </c>
      <c r="AA200" s="24">
        <f t="shared" si="45"/>
        <v>816.44906249999985</v>
      </c>
      <c r="AB200" s="21"/>
      <c r="AC200" s="21"/>
      <c r="AD200" s="21"/>
      <c r="AE200" s="21"/>
      <c r="AF200" s="21" t="s">
        <v>247</v>
      </c>
      <c r="AG200" s="21"/>
      <c r="AH200" s="24"/>
      <c r="AI200" s="24"/>
      <c r="AJ200" s="21">
        <v>816.44906249999985</v>
      </c>
      <c r="AK200" s="21">
        <v>13.5</v>
      </c>
      <c r="AL200" s="22" t="s">
        <v>726</v>
      </c>
      <c r="AM200" s="22">
        <v>0.13</v>
      </c>
      <c r="AN200" s="22"/>
      <c r="AO200" s="22"/>
      <c r="AP200" s="22" t="s">
        <v>673</v>
      </c>
      <c r="AQ200" s="22" t="str">
        <f t="shared" si="46"/>
        <v>Nanophytoplankton</v>
      </c>
      <c r="AR200" s="22">
        <v>1</v>
      </c>
      <c r="AS200" s="22">
        <v>1</v>
      </c>
      <c r="AT200" s="22">
        <v>0</v>
      </c>
      <c r="AU200" s="22">
        <v>0</v>
      </c>
      <c r="AV200" s="22">
        <v>0</v>
      </c>
      <c r="AW200" s="22">
        <v>0</v>
      </c>
      <c r="AX200" s="22">
        <v>1</v>
      </c>
      <c r="AY200" s="22">
        <v>0</v>
      </c>
      <c r="AZ200" s="22"/>
      <c r="BA200" s="22"/>
      <c r="BB200" s="22"/>
      <c r="BC200" s="22"/>
      <c r="BD200" s="22"/>
      <c r="BE200" s="22"/>
    </row>
    <row r="201" spans="1:57" s="29" customFormat="1">
      <c r="A201" s="21" t="s">
        <v>754</v>
      </c>
      <c r="B201" s="22" t="s">
        <v>663</v>
      </c>
      <c r="C201" s="22" t="s">
        <v>664</v>
      </c>
      <c r="D201" s="22" t="s">
        <v>665</v>
      </c>
      <c r="E201" s="22" t="s">
        <v>666</v>
      </c>
      <c r="F201" s="22" t="s">
        <v>667</v>
      </c>
      <c r="G201" s="22" t="s">
        <v>668</v>
      </c>
      <c r="H201" s="22" t="s">
        <v>669</v>
      </c>
      <c r="I201" s="22" t="s">
        <v>681</v>
      </c>
      <c r="J201" s="22" t="s">
        <v>755</v>
      </c>
      <c r="K201" s="22"/>
      <c r="L201" s="22"/>
      <c r="M201" s="22"/>
      <c r="N201" s="22" t="s">
        <v>756</v>
      </c>
      <c r="O201" s="21" t="s">
        <v>672</v>
      </c>
      <c r="P201" s="21">
        <v>20206</v>
      </c>
      <c r="Q201" s="21">
        <v>14.5</v>
      </c>
      <c r="R201" s="21">
        <v>12</v>
      </c>
      <c r="S201" s="21">
        <v>12</v>
      </c>
      <c r="T201" s="21" t="s">
        <v>159</v>
      </c>
      <c r="U201" s="21">
        <v>0.9</v>
      </c>
      <c r="V201" s="21">
        <v>0.9</v>
      </c>
      <c r="W201" s="24">
        <f t="shared" si="42"/>
        <v>1900.9732007047844</v>
      </c>
      <c r="X201" s="24">
        <f t="shared" si="43"/>
        <v>983.44800000000009</v>
      </c>
      <c r="Y201" s="21">
        <v>1</v>
      </c>
      <c r="Z201" s="24">
        <f t="shared" si="44"/>
        <v>1900.9732007047844</v>
      </c>
      <c r="AA201" s="24">
        <f t="shared" si="45"/>
        <v>983.44800000000009</v>
      </c>
      <c r="AB201" s="21"/>
      <c r="AC201" s="21"/>
      <c r="AD201" s="21"/>
      <c r="AE201" s="21"/>
      <c r="AF201" s="21" t="s">
        <v>247</v>
      </c>
      <c r="AG201" s="21"/>
      <c r="AH201" s="24"/>
      <c r="AI201" s="24"/>
      <c r="AJ201" s="21">
        <v>983.44800000000009</v>
      </c>
      <c r="AK201" s="21">
        <v>14.5</v>
      </c>
      <c r="AL201" s="22" t="s">
        <v>726</v>
      </c>
      <c r="AM201" s="22">
        <v>0.13</v>
      </c>
      <c r="AN201" s="22"/>
      <c r="AO201" s="22"/>
      <c r="AP201" s="22" t="s">
        <v>673</v>
      </c>
      <c r="AQ201" s="22" t="str">
        <f t="shared" si="46"/>
        <v>Nanophytoplankton</v>
      </c>
      <c r="AR201" s="22">
        <v>1</v>
      </c>
      <c r="AS201" s="22">
        <v>1</v>
      </c>
      <c r="AT201" s="22">
        <v>0</v>
      </c>
      <c r="AU201" s="22">
        <v>0</v>
      </c>
      <c r="AV201" s="22">
        <v>0</v>
      </c>
      <c r="AW201" s="22">
        <v>0</v>
      </c>
      <c r="AX201" s="22">
        <v>1</v>
      </c>
      <c r="AY201" s="22">
        <v>0</v>
      </c>
      <c r="AZ201" s="22"/>
      <c r="BA201" s="22"/>
      <c r="BB201" s="22"/>
      <c r="BC201" s="22"/>
      <c r="BD201" s="22"/>
      <c r="BE201" s="22"/>
    </row>
    <row r="202" spans="1:57" s="29" customFormat="1">
      <c r="A202" s="21" t="s">
        <v>757</v>
      </c>
      <c r="B202" s="22" t="s">
        <v>663</v>
      </c>
      <c r="C202" s="22" t="s">
        <v>664</v>
      </c>
      <c r="D202" s="22" t="s">
        <v>665</v>
      </c>
      <c r="E202" s="22" t="s">
        <v>666</v>
      </c>
      <c r="F202" s="22" t="s">
        <v>667</v>
      </c>
      <c r="G202" s="22" t="s">
        <v>668</v>
      </c>
      <c r="H202" s="22" t="s">
        <v>669</v>
      </c>
      <c r="I202" s="22" t="s">
        <v>681</v>
      </c>
      <c r="J202" s="22" t="s">
        <v>735</v>
      </c>
      <c r="K202" s="22"/>
      <c r="L202" s="22"/>
      <c r="M202" s="22"/>
      <c r="N202" s="22" t="s">
        <v>758</v>
      </c>
      <c r="O202" s="21" t="s">
        <v>672</v>
      </c>
      <c r="P202" s="21">
        <v>20207</v>
      </c>
      <c r="Q202" s="21">
        <v>18</v>
      </c>
      <c r="R202" s="21">
        <v>15</v>
      </c>
      <c r="S202" s="21">
        <v>13</v>
      </c>
      <c r="T202" s="21" t="s">
        <v>159</v>
      </c>
      <c r="U202" s="21">
        <v>0.9</v>
      </c>
      <c r="V202" s="21">
        <v>0.9</v>
      </c>
      <c r="W202" s="24">
        <f t="shared" si="42"/>
        <v>2750.450733255569</v>
      </c>
      <c r="X202" s="24">
        <f t="shared" si="43"/>
        <v>1653.21</v>
      </c>
      <c r="Y202" s="21">
        <v>1</v>
      </c>
      <c r="Z202" s="24">
        <f t="shared" si="44"/>
        <v>2750.450733255569</v>
      </c>
      <c r="AA202" s="24">
        <f t="shared" si="45"/>
        <v>1653.21</v>
      </c>
      <c r="AB202" s="21"/>
      <c r="AC202" s="21"/>
      <c r="AD202" s="21"/>
      <c r="AE202" s="21"/>
      <c r="AF202" s="21" t="s">
        <v>247</v>
      </c>
      <c r="AG202" s="21"/>
      <c r="AH202" s="24"/>
      <c r="AI202" s="24"/>
      <c r="AJ202" s="21">
        <v>1653.21</v>
      </c>
      <c r="AK202" s="21">
        <v>18</v>
      </c>
      <c r="AL202" s="22" t="s">
        <v>726</v>
      </c>
      <c r="AM202" s="22">
        <v>0.13</v>
      </c>
      <c r="AN202" s="22"/>
      <c r="AO202" s="22"/>
      <c r="AP202" s="22" t="s">
        <v>673</v>
      </c>
      <c r="AQ202" s="22" t="str">
        <f t="shared" si="46"/>
        <v>Nanophytoplankton</v>
      </c>
      <c r="AR202" s="22">
        <v>1</v>
      </c>
      <c r="AS202" s="22">
        <v>1</v>
      </c>
      <c r="AT202" s="22">
        <v>0</v>
      </c>
      <c r="AU202" s="22">
        <v>0</v>
      </c>
      <c r="AV202" s="22">
        <v>0</v>
      </c>
      <c r="AW202" s="22">
        <v>0</v>
      </c>
      <c r="AX202" s="22">
        <v>1</v>
      </c>
      <c r="AY202" s="22">
        <v>0</v>
      </c>
      <c r="AZ202" s="22"/>
      <c r="BA202" s="22"/>
      <c r="BB202" s="22"/>
      <c r="BC202" s="22"/>
      <c r="BD202" s="22"/>
      <c r="BE202" s="22"/>
    </row>
    <row r="203" spans="1:57" s="29" customFormat="1">
      <c r="A203" s="21" t="s">
        <v>759</v>
      </c>
      <c r="B203" s="22" t="s">
        <v>663</v>
      </c>
      <c r="C203" s="22" t="s">
        <v>664</v>
      </c>
      <c r="D203" s="22" t="s">
        <v>665</v>
      </c>
      <c r="E203" s="22" t="s">
        <v>666</v>
      </c>
      <c r="F203" s="22" t="s">
        <v>667</v>
      </c>
      <c r="G203" s="22" t="s">
        <v>675</v>
      </c>
      <c r="H203" s="22" t="s">
        <v>760</v>
      </c>
      <c r="I203" s="22" t="s">
        <v>761</v>
      </c>
      <c r="J203" s="22" t="s">
        <v>762</v>
      </c>
      <c r="K203" s="22"/>
      <c r="L203" s="22"/>
      <c r="M203" s="22"/>
      <c r="N203" s="22" t="s">
        <v>763</v>
      </c>
      <c r="O203" s="21" t="s">
        <v>672</v>
      </c>
      <c r="P203" s="21">
        <v>20040</v>
      </c>
      <c r="Q203" s="21">
        <v>27</v>
      </c>
      <c r="R203" s="21">
        <v>27</v>
      </c>
      <c r="S203" s="21">
        <v>27</v>
      </c>
      <c r="T203" s="21" t="s">
        <v>246</v>
      </c>
      <c r="U203" s="21">
        <v>1</v>
      </c>
      <c r="V203" s="22">
        <v>1</v>
      </c>
      <c r="W203" s="25">
        <f>4*3.14*(R203/2)*(Q203/2)/V203</f>
        <v>2289.06</v>
      </c>
      <c r="X203" s="25">
        <f>(3.14/6*(Q203*S203*R203))*U203</f>
        <v>10300.77</v>
      </c>
      <c r="Y203" s="21">
        <v>1</v>
      </c>
      <c r="Z203" s="24">
        <f t="shared" si="44"/>
        <v>2289.06</v>
      </c>
      <c r="AA203" s="24">
        <f t="shared" si="45"/>
        <v>10300.77</v>
      </c>
      <c r="AB203" s="21"/>
      <c r="AC203" s="21"/>
      <c r="AD203" s="21"/>
      <c r="AE203" s="21"/>
      <c r="AF203" s="21" t="s">
        <v>247</v>
      </c>
      <c r="AG203" s="21"/>
      <c r="AH203" s="24"/>
      <c r="AI203" s="24"/>
      <c r="AJ203" s="21">
        <v>10300.77</v>
      </c>
      <c r="AK203" s="21">
        <v>27</v>
      </c>
      <c r="AL203" s="22" t="s">
        <v>161</v>
      </c>
      <c r="AM203" s="22">
        <v>0.13</v>
      </c>
      <c r="AN203" s="22"/>
      <c r="AO203" s="22"/>
      <c r="AP203" s="22" t="s">
        <v>673</v>
      </c>
      <c r="AQ203" s="22" t="str">
        <f t="shared" si="46"/>
        <v>Microphytoplankton</v>
      </c>
      <c r="AR203" s="22">
        <v>1</v>
      </c>
      <c r="AS203" s="22">
        <v>1</v>
      </c>
      <c r="AT203" s="22">
        <v>0</v>
      </c>
      <c r="AU203" s="22">
        <v>0</v>
      </c>
      <c r="AV203" s="22">
        <v>0</v>
      </c>
      <c r="AW203" s="22">
        <v>0</v>
      </c>
      <c r="AX203" s="22">
        <v>1</v>
      </c>
      <c r="AY203" s="22">
        <v>0</v>
      </c>
      <c r="AZ203" s="22"/>
      <c r="BA203" s="22"/>
      <c r="BB203" s="22"/>
      <c r="BC203" s="22"/>
      <c r="BD203" s="22"/>
      <c r="BE203" s="22"/>
    </row>
    <row r="204" spans="1:57" s="29" customFormat="1">
      <c r="A204" s="22" t="s">
        <v>764</v>
      </c>
      <c r="B204" s="22" t="s">
        <v>663</v>
      </c>
      <c r="C204" s="22" t="s">
        <v>664</v>
      </c>
      <c r="D204" s="22" t="s">
        <v>665</v>
      </c>
      <c r="E204" s="22" t="s">
        <v>666</v>
      </c>
      <c r="F204" s="22" t="s">
        <v>667</v>
      </c>
      <c r="G204" s="22" t="s">
        <v>675</v>
      </c>
      <c r="H204" s="22" t="s">
        <v>692</v>
      </c>
      <c r="I204" s="22"/>
      <c r="J204" s="22"/>
      <c r="K204" s="22" t="s">
        <v>184</v>
      </c>
      <c r="L204" s="22" t="s">
        <v>685</v>
      </c>
      <c r="M204" s="22" t="s">
        <v>104</v>
      </c>
      <c r="N204" s="22"/>
      <c r="O204" s="21" t="s">
        <v>672</v>
      </c>
      <c r="P204" s="22">
        <v>20050</v>
      </c>
      <c r="Q204" s="22">
        <v>30</v>
      </c>
      <c r="R204" s="22">
        <v>30</v>
      </c>
      <c r="S204" s="22">
        <v>30</v>
      </c>
      <c r="T204" s="22" t="s">
        <v>281</v>
      </c>
      <c r="U204" s="21">
        <v>0.8</v>
      </c>
      <c r="V204" s="21">
        <v>0.8</v>
      </c>
      <c r="W204" s="24">
        <f t="shared" ref="W204:W267" si="47">(4*3.14*(((Q204^1.6*R204^1.6+Q204^1.6*S204^1.6+R204^1.6+S204^1.6)/3)^(1/1.6)))*(1/V204)</f>
        <v>10996.594619058598</v>
      </c>
      <c r="X204" s="24">
        <f t="shared" ref="X204:X239" si="48">3.14/6*Q204*R204*S204*U204</f>
        <v>11304</v>
      </c>
      <c r="Y204" s="21">
        <v>1</v>
      </c>
      <c r="Z204" s="24">
        <f t="shared" si="44"/>
        <v>10996.594619058598</v>
      </c>
      <c r="AA204" s="24">
        <f t="shared" si="45"/>
        <v>11304</v>
      </c>
      <c r="AB204" s="22"/>
      <c r="AC204" s="22"/>
      <c r="AD204" s="22"/>
      <c r="AE204" s="21"/>
      <c r="AF204" s="21" t="s">
        <v>247</v>
      </c>
      <c r="AG204" s="21"/>
      <c r="AH204" s="24"/>
      <c r="AI204" s="24"/>
      <c r="AJ204" s="21">
        <v>11309</v>
      </c>
      <c r="AK204" s="21">
        <v>30</v>
      </c>
      <c r="AL204" s="22" t="s">
        <v>161</v>
      </c>
      <c r="AM204" s="22">
        <v>0.13</v>
      </c>
      <c r="AN204" s="22"/>
      <c r="AO204" s="22" t="s">
        <v>331</v>
      </c>
      <c r="AP204" s="22" t="s">
        <v>673</v>
      </c>
      <c r="AQ204" s="22" t="str">
        <f t="shared" si="46"/>
        <v>Microphytoplankton</v>
      </c>
      <c r="AR204" s="22">
        <v>0</v>
      </c>
      <c r="AS204" s="22">
        <v>0</v>
      </c>
      <c r="AT204" s="22">
        <v>0</v>
      </c>
      <c r="AU204" s="22">
        <v>0</v>
      </c>
      <c r="AV204" s="22">
        <v>0</v>
      </c>
      <c r="AW204" s="22">
        <v>0</v>
      </c>
      <c r="AX204" s="22">
        <v>1</v>
      </c>
      <c r="AY204" s="22">
        <v>0</v>
      </c>
      <c r="AZ204" s="22"/>
      <c r="BA204" s="22"/>
      <c r="BB204" s="22"/>
      <c r="BC204" s="22"/>
      <c r="BD204" s="22"/>
      <c r="BE204" s="22"/>
    </row>
    <row r="205" spans="1:57">
      <c r="A205" s="21" t="s">
        <v>765</v>
      </c>
      <c r="B205" s="22" t="s">
        <v>663</v>
      </c>
      <c r="C205" s="22" t="s">
        <v>664</v>
      </c>
      <c r="D205" s="22" t="s">
        <v>665</v>
      </c>
      <c r="E205" s="22" t="s">
        <v>666</v>
      </c>
      <c r="F205" s="22" t="s">
        <v>667</v>
      </c>
      <c r="G205" s="22" t="s">
        <v>675</v>
      </c>
      <c r="H205" s="22" t="s">
        <v>692</v>
      </c>
      <c r="I205" s="22" t="s">
        <v>766</v>
      </c>
      <c r="J205" s="22" t="s">
        <v>767</v>
      </c>
      <c r="N205" s="22" t="s">
        <v>768</v>
      </c>
      <c r="O205" s="21" t="s">
        <v>672</v>
      </c>
      <c r="P205" s="21">
        <v>20550</v>
      </c>
      <c r="Q205" s="21">
        <v>35</v>
      </c>
      <c r="R205" s="21">
        <v>26</v>
      </c>
      <c r="S205" s="21">
        <v>20</v>
      </c>
      <c r="T205" s="21" t="s">
        <v>281</v>
      </c>
      <c r="U205" s="21">
        <v>0.8</v>
      </c>
      <c r="V205" s="21">
        <v>0.8</v>
      </c>
      <c r="W205" s="24">
        <f t="shared" si="47"/>
        <v>9880.1828928125942</v>
      </c>
      <c r="X205" s="24">
        <f t="shared" si="48"/>
        <v>7619.7333333333345</v>
      </c>
      <c r="Y205" s="21">
        <v>1</v>
      </c>
      <c r="Z205" s="24">
        <f t="shared" si="44"/>
        <v>9880.1828928125942</v>
      </c>
      <c r="AA205" s="24">
        <f t="shared" si="45"/>
        <v>7619.7333333333345</v>
      </c>
      <c r="AB205" s="21"/>
      <c r="AC205" s="21"/>
      <c r="AD205" s="21"/>
      <c r="AE205" s="21"/>
      <c r="AF205" s="21" t="s">
        <v>247</v>
      </c>
      <c r="AG205" s="21"/>
      <c r="AH205" s="24"/>
      <c r="AI205" s="24"/>
      <c r="AJ205" s="21">
        <v>7623.6</v>
      </c>
      <c r="AK205" s="21">
        <v>35</v>
      </c>
      <c r="AL205" s="22" t="s">
        <v>161</v>
      </c>
      <c r="AM205" s="22">
        <v>0.13</v>
      </c>
      <c r="AO205" s="22" t="s">
        <v>331</v>
      </c>
      <c r="AP205" s="22" t="s">
        <v>673</v>
      </c>
      <c r="AQ205" s="22" t="str">
        <f t="shared" si="46"/>
        <v>Microphytoplankton</v>
      </c>
      <c r="AR205" s="22">
        <v>1</v>
      </c>
      <c r="AS205" s="22">
        <v>1</v>
      </c>
      <c r="AT205" s="22">
        <v>0</v>
      </c>
      <c r="AU205" s="22">
        <v>0</v>
      </c>
      <c r="AV205" s="22">
        <v>0</v>
      </c>
      <c r="AW205" s="22">
        <v>0</v>
      </c>
      <c r="AX205" s="22">
        <v>1</v>
      </c>
      <c r="AY205" s="22">
        <v>0</v>
      </c>
    </row>
    <row r="206" spans="1:57">
      <c r="A206" s="21" t="s">
        <v>769</v>
      </c>
      <c r="B206" s="22" t="s">
        <v>663</v>
      </c>
      <c r="C206" s="22" t="s">
        <v>664</v>
      </c>
      <c r="D206" s="22" t="s">
        <v>665</v>
      </c>
      <c r="E206" s="22" t="s">
        <v>666</v>
      </c>
      <c r="F206" s="22" t="s">
        <v>667</v>
      </c>
      <c r="G206" s="22" t="s">
        <v>675</v>
      </c>
      <c r="H206" s="22" t="s">
        <v>692</v>
      </c>
      <c r="I206" s="22" t="s">
        <v>766</v>
      </c>
      <c r="J206" s="22" t="s">
        <v>770</v>
      </c>
      <c r="N206" s="22" t="s">
        <v>167</v>
      </c>
      <c r="O206" s="21" t="s">
        <v>672</v>
      </c>
      <c r="P206" s="21">
        <v>20520</v>
      </c>
      <c r="Q206" s="21">
        <v>30</v>
      </c>
      <c r="R206" s="21">
        <v>25</v>
      </c>
      <c r="S206" s="21">
        <v>25</v>
      </c>
      <c r="T206" s="21" t="s">
        <v>281</v>
      </c>
      <c r="U206" s="21">
        <v>0.9</v>
      </c>
      <c r="V206" s="21">
        <v>0.9</v>
      </c>
      <c r="W206" s="24">
        <f t="shared" si="47"/>
        <v>8145.6256437471075</v>
      </c>
      <c r="X206" s="24">
        <f t="shared" si="48"/>
        <v>8831.25</v>
      </c>
      <c r="Y206" s="21">
        <v>1</v>
      </c>
      <c r="Z206" s="24">
        <f t="shared" si="44"/>
        <v>8145.6256437471075</v>
      </c>
      <c r="AA206" s="24">
        <f t="shared" si="45"/>
        <v>8831.25</v>
      </c>
      <c r="AB206" s="21"/>
      <c r="AC206" s="21"/>
      <c r="AD206" s="21"/>
      <c r="AE206" s="21"/>
      <c r="AF206" s="21" t="s">
        <v>247</v>
      </c>
      <c r="AG206" s="21"/>
      <c r="AH206" s="24"/>
      <c r="AI206" s="24"/>
      <c r="AJ206" s="21">
        <v>8835.7000000000007</v>
      </c>
      <c r="AK206" s="21">
        <v>30</v>
      </c>
      <c r="AL206" s="22" t="s">
        <v>161</v>
      </c>
      <c r="AM206" s="22">
        <v>0.13</v>
      </c>
      <c r="AO206" s="22" t="s">
        <v>331</v>
      </c>
      <c r="AP206" s="22" t="s">
        <v>673</v>
      </c>
      <c r="AQ206" s="22" t="str">
        <f t="shared" si="46"/>
        <v>Microphytoplankton</v>
      </c>
      <c r="AR206" s="22">
        <v>1</v>
      </c>
      <c r="AS206" s="22">
        <v>1</v>
      </c>
      <c r="AT206" s="22">
        <v>0</v>
      </c>
      <c r="AU206" s="22">
        <v>0</v>
      </c>
      <c r="AV206" s="22">
        <v>0</v>
      </c>
      <c r="AW206" s="22">
        <v>0</v>
      </c>
      <c r="AX206" s="22">
        <v>1</v>
      </c>
      <c r="AY206" s="22">
        <v>0</v>
      </c>
    </row>
    <row r="207" spans="1:57" s="29" customFormat="1">
      <c r="A207" s="21" t="s">
        <v>771</v>
      </c>
      <c r="B207" s="22" t="s">
        <v>663</v>
      </c>
      <c r="C207" s="22" t="s">
        <v>664</v>
      </c>
      <c r="D207" s="22" t="s">
        <v>665</v>
      </c>
      <c r="E207" s="22" t="s">
        <v>666</v>
      </c>
      <c r="F207" s="22" t="s">
        <v>667</v>
      </c>
      <c r="G207" s="22" t="s">
        <v>675</v>
      </c>
      <c r="H207" s="22" t="s">
        <v>692</v>
      </c>
      <c r="I207" s="22" t="s">
        <v>766</v>
      </c>
      <c r="J207" s="22" t="s">
        <v>770</v>
      </c>
      <c r="K207" s="22" t="s">
        <v>772</v>
      </c>
      <c r="L207" s="22" t="s">
        <v>773</v>
      </c>
      <c r="M207" s="22"/>
      <c r="N207" s="22" t="s">
        <v>167</v>
      </c>
      <c r="O207" s="21" t="s">
        <v>672</v>
      </c>
      <c r="P207" s="21">
        <v>20510</v>
      </c>
      <c r="Q207" s="21">
        <v>30</v>
      </c>
      <c r="R207" s="21">
        <v>25</v>
      </c>
      <c r="S207" s="21">
        <v>25</v>
      </c>
      <c r="T207" s="21" t="s">
        <v>281</v>
      </c>
      <c r="U207" s="21">
        <v>0.9</v>
      </c>
      <c r="V207" s="21">
        <v>0.9</v>
      </c>
      <c r="W207" s="24">
        <f t="shared" si="47"/>
        <v>8145.6256437471075</v>
      </c>
      <c r="X207" s="24">
        <f t="shared" si="48"/>
        <v>8831.25</v>
      </c>
      <c r="Y207" s="21">
        <v>1</v>
      </c>
      <c r="Z207" s="24">
        <f t="shared" si="44"/>
        <v>8145.6256437471075</v>
      </c>
      <c r="AA207" s="24">
        <f t="shared" si="45"/>
        <v>8831.25</v>
      </c>
      <c r="AB207" s="21"/>
      <c r="AC207" s="21"/>
      <c r="AD207" s="21"/>
      <c r="AE207" s="21"/>
      <c r="AF207" s="21" t="s">
        <v>247</v>
      </c>
      <c r="AG207" s="21"/>
      <c r="AH207" s="24"/>
      <c r="AI207" s="24"/>
      <c r="AJ207" s="21">
        <v>8835.7000000000007</v>
      </c>
      <c r="AK207" s="21">
        <v>30</v>
      </c>
      <c r="AL207" s="22" t="s">
        <v>161</v>
      </c>
      <c r="AM207" s="22">
        <v>0.13</v>
      </c>
      <c r="AN207" s="22"/>
      <c r="AO207" s="22" t="s">
        <v>331</v>
      </c>
      <c r="AP207" s="22" t="s">
        <v>673</v>
      </c>
      <c r="AQ207" s="22" t="str">
        <f t="shared" si="46"/>
        <v>Microphytoplankton</v>
      </c>
      <c r="AR207" s="22">
        <v>1</v>
      </c>
      <c r="AS207" s="22">
        <v>1</v>
      </c>
      <c r="AT207" s="22">
        <v>0</v>
      </c>
      <c r="AU207" s="22">
        <v>0</v>
      </c>
      <c r="AV207" s="22">
        <v>0</v>
      </c>
      <c r="AW207" s="22">
        <v>0</v>
      </c>
      <c r="AX207" s="22">
        <v>1</v>
      </c>
      <c r="AY207" s="22">
        <v>0</v>
      </c>
      <c r="AZ207" s="22"/>
      <c r="BA207" s="22"/>
      <c r="BB207" s="22"/>
      <c r="BC207" s="22"/>
      <c r="BD207" s="22"/>
      <c r="BE207" s="22"/>
    </row>
    <row r="208" spans="1:57">
      <c r="A208" s="21" t="s">
        <v>774</v>
      </c>
      <c r="B208" s="22" t="s">
        <v>663</v>
      </c>
      <c r="C208" s="22" t="s">
        <v>664</v>
      </c>
      <c r="D208" s="22" t="s">
        <v>665</v>
      </c>
      <c r="E208" s="22" t="s">
        <v>666</v>
      </c>
      <c r="F208" s="22" t="s">
        <v>667</v>
      </c>
      <c r="G208" s="22" t="s">
        <v>675</v>
      </c>
      <c r="H208" s="22" t="s">
        <v>692</v>
      </c>
      <c r="I208" s="22" t="s">
        <v>766</v>
      </c>
      <c r="J208" s="22" t="s">
        <v>775</v>
      </c>
      <c r="N208" s="22" t="s">
        <v>776</v>
      </c>
      <c r="O208" s="21" t="s">
        <v>672</v>
      </c>
      <c r="P208" s="22">
        <v>20560</v>
      </c>
      <c r="Q208" s="21">
        <v>37</v>
      </c>
      <c r="R208" s="21">
        <v>30</v>
      </c>
      <c r="S208" s="21">
        <v>27</v>
      </c>
      <c r="T208" s="21" t="s">
        <v>281</v>
      </c>
      <c r="U208" s="21">
        <v>0.85</v>
      </c>
      <c r="V208" s="21">
        <v>0.9</v>
      </c>
      <c r="W208" s="24">
        <f t="shared" si="47"/>
        <v>11453.457334652345</v>
      </c>
      <c r="X208" s="24">
        <f t="shared" si="48"/>
        <v>13331.654999999999</v>
      </c>
      <c r="Y208" s="21">
        <v>1</v>
      </c>
      <c r="Z208" s="24">
        <f t="shared" si="44"/>
        <v>11453.457334652345</v>
      </c>
      <c r="AA208" s="24">
        <f t="shared" si="45"/>
        <v>13331.654999999999</v>
      </c>
      <c r="AB208" s="21"/>
      <c r="AC208" s="21"/>
      <c r="AD208" s="21"/>
      <c r="AE208" s="21"/>
      <c r="AF208" s="21" t="s">
        <v>247</v>
      </c>
      <c r="AG208" s="21"/>
      <c r="AH208" s="24"/>
      <c r="AI208" s="24"/>
      <c r="AJ208" s="21">
        <v>13338.4</v>
      </c>
      <c r="AK208" s="21">
        <v>37</v>
      </c>
      <c r="AL208" s="22" t="s">
        <v>161</v>
      </c>
      <c r="AM208" s="22">
        <v>0.13</v>
      </c>
      <c r="AO208" s="22" t="s">
        <v>331</v>
      </c>
      <c r="AP208" s="22" t="s">
        <v>673</v>
      </c>
      <c r="AQ208" s="22" t="str">
        <f t="shared" si="46"/>
        <v>Microphytoplankton</v>
      </c>
      <c r="AR208" s="22">
        <v>1</v>
      </c>
      <c r="AS208" s="22">
        <v>1</v>
      </c>
      <c r="AT208" s="22">
        <v>0</v>
      </c>
      <c r="AU208" s="22">
        <v>0</v>
      </c>
      <c r="AV208" s="22">
        <v>0</v>
      </c>
      <c r="AW208" s="22">
        <v>0</v>
      </c>
      <c r="AX208" s="22">
        <v>1</v>
      </c>
      <c r="AY208" s="22">
        <v>0</v>
      </c>
    </row>
    <row r="209" spans="1:51">
      <c r="A209" s="21" t="s">
        <v>777</v>
      </c>
      <c r="B209" s="22" t="s">
        <v>663</v>
      </c>
      <c r="C209" s="22" t="s">
        <v>664</v>
      </c>
      <c r="D209" s="22" t="s">
        <v>665</v>
      </c>
      <c r="E209" s="22" t="s">
        <v>666</v>
      </c>
      <c r="F209" s="22" t="s">
        <v>667</v>
      </c>
      <c r="G209" s="22" t="s">
        <v>675</v>
      </c>
      <c r="H209" s="22" t="s">
        <v>692</v>
      </c>
      <c r="I209" s="22" t="s">
        <v>766</v>
      </c>
      <c r="J209" s="22" t="s">
        <v>778</v>
      </c>
      <c r="N209" s="22" t="s">
        <v>779</v>
      </c>
      <c r="O209" s="21" t="s">
        <v>672</v>
      </c>
      <c r="P209" s="22">
        <v>20530</v>
      </c>
      <c r="Q209" s="21">
        <v>30</v>
      </c>
      <c r="R209" s="21">
        <v>29</v>
      </c>
      <c r="S209" s="21">
        <v>20</v>
      </c>
      <c r="T209" s="21" t="s">
        <v>281</v>
      </c>
      <c r="U209" s="21">
        <v>0.7</v>
      </c>
      <c r="V209" s="21">
        <v>0.7</v>
      </c>
      <c r="W209" s="24">
        <f t="shared" si="47"/>
        <v>10367.213844912289</v>
      </c>
      <c r="X209" s="24">
        <f t="shared" si="48"/>
        <v>6374.2</v>
      </c>
      <c r="Y209" s="21">
        <v>1</v>
      </c>
      <c r="Z209" s="24">
        <f t="shared" si="44"/>
        <v>10367.213844912289</v>
      </c>
      <c r="AA209" s="24">
        <f t="shared" si="45"/>
        <v>6374.2</v>
      </c>
      <c r="AB209" s="21"/>
      <c r="AC209" s="21"/>
      <c r="AD209" s="21"/>
      <c r="AE209" s="21"/>
      <c r="AF209" s="21" t="s">
        <v>247</v>
      </c>
      <c r="AG209" s="21"/>
      <c r="AH209" s="24"/>
      <c r="AI209" s="24"/>
      <c r="AJ209" s="21">
        <v>12180</v>
      </c>
      <c r="AK209" s="21">
        <v>30</v>
      </c>
      <c r="AL209" s="22" t="s">
        <v>161</v>
      </c>
      <c r="AM209" s="22">
        <v>0.13</v>
      </c>
      <c r="AO209" s="22" t="s">
        <v>331</v>
      </c>
      <c r="AP209" s="22" t="s">
        <v>673</v>
      </c>
      <c r="AQ209" s="22" t="str">
        <f t="shared" si="46"/>
        <v>Microphytoplankton</v>
      </c>
      <c r="AR209" s="22">
        <v>1</v>
      </c>
      <c r="AS209" s="22">
        <v>1</v>
      </c>
      <c r="AT209" s="22">
        <v>0</v>
      </c>
      <c r="AU209" s="22">
        <v>0</v>
      </c>
      <c r="AV209" s="22">
        <v>0</v>
      </c>
      <c r="AW209" s="22">
        <v>0</v>
      </c>
      <c r="AX209" s="22">
        <v>1</v>
      </c>
      <c r="AY209" s="22">
        <v>0</v>
      </c>
    </row>
    <row r="210" spans="1:51">
      <c r="A210" s="21" t="s">
        <v>780</v>
      </c>
      <c r="B210" s="22" t="s">
        <v>663</v>
      </c>
      <c r="C210" s="22" t="s">
        <v>664</v>
      </c>
      <c r="D210" s="22" t="s">
        <v>665</v>
      </c>
      <c r="E210" s="22" t="s">
        <v>666</v>
      </c>
      <c r="F210" s="22" t="s">
        <v>667</v>
      </c>
      <c r="G210" s="22" t="s">
        <v>675</v>
      </c>
      <c r="H210" s="22" t="s">
        <v>692</v>
      </c>
      <c r="I210" s="22" t="s">
        <v>766</v>
      </c>
      <c r="J210" s="22" t="s">
        <v>781</v>
      </c>
      <c r="N210" s="22" t="s">
        <v>167</v>
      </c>
      <c r="O210" s="21" t="s">
        <v>672</v>
      </c>
      <c r="P210" s="22">
        <v>20565</v>
      </c>
      <c r="Q210" s="21">
        <v>22</v>
      </c>
      <c r="R210" s="21">
        <v>20</v>
      </c>
      <c r="S210" s="21">
        <v>15</v>
      </c>
      <c r="T210" s="21" t="s">
        <v>281</v>
      </c>
      <c r="U210" s="21">
        <v>0.8</v>
      </c>
      <c r="V210" s="21">
        <v>0.8</v>
      </c>
      <c r="W210" s="24">
        <f t="shared" si="47"/>
        <v>4741.0666737655793</v>
      </c>
      <c r="X210" s="24">
        <f t="shared" si="48"/>
        <v>2763.2000000000003</v>
      </c>
      <c r="Y210" s="21">
        <v>1</v>
      </c>
      <c r="Z210" s="24">
        <f t="shared" si="44"/>
        <v>4741.0666737655793</v>
      </c>
      <c r="AA210" s="24">
        <f t="shared" si="45"/>
        <v>2763.2000000000003</v>
      </c>
      <c r="AB210" s="21"/>
      <c r="AC210" s="21"/>
      <c r="AD210" s="21"/>
      <c r="AE210" s="21"/>
      <c r="AF210" s="21" t="s">
        <v>247</v>
      </c>
      <c r="AG210" s="21"/>
      <c r="AH210" s="24"/>
      <c r="AI210" s="24"/>
      <c r="AJ210" s="21">
        <v>5280</v>
      </c>
      <c r="AK210" s="21">
        <v>22</v>
      </c>
      <c r="AL210" s="22" t="s">
        <v>161</v>
      </c>
      <c r="AM210" s="22">
        <v>0.13</v>
      </c>
      <c r="AO210" s="22" t="s">
        <v>331</v>
      </c>
      <c r="AP210" s="22" t="s">
        <v>673</v>
      </c>
      <c r="AQ210" s="22" t="str">
        <f t="shared" si="46"/>
        <v>Microphytoplankton</v>
      </c>
      <c r="AR210" s="22">
        <v>1</v>
      </c>
      <c r="AS210" s="22">
        <v>1</v>
      </c>
      <c r="AT210" s="22">
        <v>0</v>
      </c>
      <c r="AU210" s="22">
        <v>0</v>
      </c>
      <c r="AV210" s="22">
        <v>0</v>
      </c>
      <c r="AW210" s="22">
        <v>0</v>
      </c>
      <c r="AX210" s="22">
        <v>1</v>
      </c>
      <c r="AY210" s="22">
        <v>0</v>
      </c>
    </row>
    <row r="211" spans="1:51">
      <c r="A211" s="21" t="s">
        <v>782</v>
      </c>
      <c r="B211" s="22" t="s">
        <v>663</v>
      </c>
      <c r="C211" s="22" t="s">
        <v>664</v>
      </c>
      <c r="D211" s="22" t="s">
        <v>665</v>
      </c>
      <c r="E211" s="22" t="s">
        <v>666</v>
      </c>
      <c r="F211" s="22" t="s">
        <v>667</v>
      </c>
      <c r="G211" s="22" t="s">
        <v>675</v>
      </c>
      <c r="H211" s="22" t="s">
        <v>692</v>
      </c>
      <c r="I211" s="22" t="s">
        <v>766</v>
      </c>
      <c r="J211" s="22" t="s">
        <v>783</v>
      </c>
      <c r="N211" s="22" t="s">
        <v>784</v>
      </c>
      <c r="O211" s="21" t="s">
        <v>672</v>
      </c>
      <c r="P211" s="22">
        <v>20564</v>
      </c>
      <c r="Q211" s="21">
        <v>40</v>
      </c>
      <c r="R211" s="21">
        <v>35</v>
      </c>
      <c r="S211" s="21">
        <v>30</v>
      </c>
      <c r="T211" s="21" t="s">
        <v>159</v>
      </c>
      <c r="U211" s="21">
        <v>0.8</v>
      </c>
      <c r="V211" s="21">
        <v>0.8</v>
      </c>
      <c r="W211" s="24">
        <f t="shared" si="47"/>
        <v>15896.332992854201</v>
      </c>
      <c r="X211" s="24">
        <f t="shared" si="48"/>
        <v>17584</v>
      </c>
      <c r="Y211" s="21">
        <v>1</v>
      </c>
      <c r="Z211" s="24">
        <f t="shared" si="44"/>
        <v>15896.332992854201</v>
      </c>
      <c r="AA211" s="24">
        <f t="shared" si="45"/>
        <v>17584</v>
      </c>
      <c r="AB211" s="21"/>
      <c r="AC211" s="21"/>
      <c r="AD211" s="21"/>
      <c r="AE211" s="21"/>
      <c r="AF211" s="21"/>
      <c r="AG211" s="21"/>
      <c r="AH211" s="24"/>
      <c r="AI211" s="24"/>
      <c r="AJ211" s="21">
        <v>17584</v>
      </c>
      <c r="AK211" s="21">
        <v>40</v>
      </c>
      <c r="AL211" s="22" t="s">
        <v>161</v>
      </c>
      <c r="AM211" s="22">
        <v>0.13</v>
      </c>
      <c r="AO211" s="22" t="s">
        <v>331</v>
      </c>
      <c r="AP211" s="22" t="s">
        <v>673</v>
      </c>
      <c r="AQ211" s="22" t="str">
        <f t="shared" si="46"/>
        <v>Microphytoplankton</v>
      </c>
      <c r="AR211" s="22">
        <v>1</v>
      </c>
      <c r="AS211" s="22">
        <v>1</v>
      </c>
      <c r="AT211" s="22">
        <v>0</v>
      </c>
      <c r="AU211" s="22">
        <v>0</v>
      </c>
      <c r="AV211" s="22">
        <v>0</v>
      </c>
      <c r="AW211" s="22">
        <v>0</v>
      </c>
      <c r="AX211" s="22">
        <v>1</v>
      </c>
      <c r="AY211" s="22">
        <v>0</v>
      </c>
    </row>
    <row r="212" spans="1:51">
      <c r="A212" s="21" t="s">
        <v>785</v>
      </c>
      <c r="B212" s="22" t="s">
        <v>663</v>
      </c>
      <c r="C212" s="22" t="s">
        <v>664</v>
      </c>
      <c r="D212" s="22" t="s">
        <v>665</v>
      </c>
      <c r="E212" s="22" t="s">
        <v>666</v>
      </c>
      <c r="F212" s="22" t="s">
        <v>667</v>
      </c>
      <c r="G212" s="22" t="s">
        <v>675</v>
      </c>
      <c r="H212" s="22" t="s">
        <v>692</v>
      </c>
      <c r="I212" s="22" t="s">
        <v>56</v>
      </c>
      <c r="J212" s="21" t="s">
        <v>786</v>
      </c>
      <c r="K212" s="21"/>
      <c r="L212" s="21"/>
      <c r="N212" s="22" t="s">
        <v>167</v>
      </c>
      <c r="O212" s="21" t="s">
        <v>672</v>
      </c>
      <c r="P212" s="21">
        <v>20260</v>
      </c>
      <c r="Q212" s="21">
        <v>50</v>
      </c>
      <c r="R212" s="21">
        <v>40</v>
      </c>
      <c r="S212" s="21">
        <v>30</v>
      </c>
      <c r="T212" s="21" t="s">
        <v>281</v>
      </c>
      <c r="U212" s="21">
        <v>1</v>
      </c>
      <c r="V212" s="22">
        <v>1</v>
      </c>
      <c r="W212" s="24">
        <f t="shared" si="47"/>
        <v>17184.537857799947</v>
      </c>
      <c r="X212" s="24">
        <f t="shared" si="48"/>
        <v>31399.999999999996</v>
      </c>
      <c r="Y212" s="21">
        <v>1</v>
      </c>
      <c r="Z212" s="24">
        <f t="shared" si="44"/>
        <v>17184.537857799947</v>
      </c>
      <c r="AA212" s="24">
        <f t="shared" si="45"/>
        <v>31399.999999999996</v>
      </c>
      <c r="AB212" s="21"/>
      <c r="AC212" s="21"/>
      <c r="AD212" s="21"/>
      <c r="AE212" s="21"/>
      <c r="AF212" s="21" t="s">
        <v>247</v>
      </c>
      <c r="AG212" s="21"/>
      <c r="AH212" s="24"/>
      <c r="AI212" s="24"/>
      <c r="AJ212" s="21">
        <v>31415.9</v>
      </c>
      <c r="AK212" s="21">
        <v>50</v>
      </c>
      <c r="AL212" s="22" t="s">
        <v>161</v>
      </c>
      <c r="AM212" s="22">
        <v>0.13</v>
      </c>
      <c r="AN212" s="22" t="s">
        <v>331</v>
      </c>
      <c r="AO212" s="22" t="s">
        <v>331</v>
      </c>
      <c r="AP212" s="22" t="s">
        <v>673</v>
      </c>
      <c r="AQ212" s="22" t="str">
        <f t="shared" si="46"/>
        <v>Microphytoplankton</v>
      </c>
      <c r="AR212" s="22">
        <v>1</v>
      </c>
      <c r="AS212" s="22">
        <v>1</v>
      </c>
      <c r="AT212" s="22">
        <v>0</v>
      </c>
      <c r="AU212" s="22">
        <v>0</v>
      </c>
      <c r="AV212" s="22">
        <v>0</v>
      </c>
      <c r="AW212" s="22">
        <v>0</v>
      </c>
      <c r="AX212" s="22">
        <v>1</v>
      </c>
      <c r="AY212" s="22">
        <v>0</v>
      </c>
    </row>
    <row r="213" spans="1:51">
      <c r="A213" s="21" t="s">
        <v>787</v>
      </c>
      <c r="B213" s="22" t="s">
        <v>663</v>
      </c>
      <c r="C213" s="22" t="s">
        <v>664</v>
      </c>
      <c r="D213" s="22" t="s">
        <v>665</v>
      </c>
      <c r="E213" s="22" t="s">
        <v>666</v>
      </c>
      <c r="F213" s="22" t="s">
        <v>667</v>
      </c>
      <c r="G213" s="22" t="s">
        <v>675</v>
      </c>
      <c r="H213" s="22" t="s">
        <v>692</v>
      </c>
      <c r="I213" s="22" t="s">
        <v>56</v>
      </c>
      <c r="J213" s="21" t="s">
        <v>788</v>
      </c>
      <c r="K213" s="21"/>
      <c r="L213" s="21"/>
      <c r="N213" s="22" t="s">
        <v>789</v>
      </c>
      <c r="O213" s="21" t="s">
        <v>672</v>
      </c>
      <c r="P213" s="21">
        <v>20210</v>
      </c>
      <c r="Q213" s="21">
        <v>45</v>
      </c>
      <c r="R213" s="21">
        <v>40</v>
      </c>
      <c r="S213" s="21">
        <v>35</v>
      </c>
      <c r="T213" s="21" t="s">
        <v>281</v>
      </c>
      <c r="U213" s="21">
        <v>1</v>
      </c>
      <c r="V213" s="22">
        <v>1</v>
      </c>
      <c r="W213" s="24">
        <f t="shared" si="47"/>
        <v>16495.624251104611</v>
      </c>
      <c r="X213" s="24">
        <f t="shared" si="48"/>
        <v>32970</v>
      </c>
      <c r="Y213" s="21">
        <v>1</v>
      </c>
      <c r="Z213" s="24">
        <f t="shared" si="44"/>
        <v>16495.624251104611</v>
      </c>
      <c r="AA213" s="24">
        <f t="shared" si="45"/>
        <v>32970</v>
      </c>
      <c r="AB213" s="21"/>
      <c r="AC213" s="21"/>
      <c r="AD213" s="21"/>
      <c r="AE213" s="21"/>
      <c r="AF213" s="21" t="s">
        <v>247</v>
      </c>
      <c r="AG213" s="21"/>
      <c r="AH213" s="24"/>
      <c r="AI213" s="24"/>
      <c r="AJ213" s="21">
        <v>32986.699999999997</v>
      </c>
      <c r="AK213" s="21">
        <v>45</v>
      </c>
      <c r="AL213" s="22" t="s">
        <v>161</v>
      </c>
      <c r="AM213" s="22">
        <v>0.13</v>
      </c>
      <c r="AN213" s="22" t="s">
        <v>331</v>
      </c>
      <c r="AO213" s="22" t="s">
        <v>331</v>
      </c>
      <c r="AP213" s="22" t="s">
        <v>673</v>
      </c>
      <c r="AQ213" s="22" t="str">
        <f t="shared" si="46"/>
        <v>Microphytoplankton</v>
      </c>
      <c r="AR213" s="22">
        <v>1</v>
      </c>
      <c r="AS213" s="22">
        <v>1</v>
      </c>
      <c r="AT213" s="22">
        <v>0</v>
      </c>
      <c r="AU213" s="22">
        <v>0</v>
      </c>
      <c r="AV213" s="22">
        <v>0</v>
      </c>
      <c r="AW213" s="22">
        <v>0</v>
      </c>
      <c r="AX213" s="22">
        <v>1</v>
      </c>
      <c r="AY213" s="22">
        <v>0</v>
      </c>
    </row>
    <row r="214" spans="1:51">
      <c r="A214" s="21" t="s">
        <v>790</v>
      </c>
      <c r="B214" s="22" t="s">
        <v>663</v>
      </c>
      <c r="C214" s="22" t="s">
        <v>664</v>
      </c>
      <c r="D214" s="22" t="s">
        <v>665</v>
      </c>
      <c r="E214" s="22" t="s">
        <v>666</v>
      </c>
      <c r="F214" s="22" t="s">
        <v>667</v>
      </c>
      <c r="G214" s="22" t="s">
        <v>696</v>
      </c>
      <c r="H214" s="22" t="s">
        <v>692</v>
      </c>
      <c r="I214" s="22" t="s">
        <v>56</v>
      </c>
      <c r="J214" s="21" t="s">
        <v>791</v>
      </c>
      <c r="K214" s="21"/>
      <c r="L214" s="21"/>
      <c r="N214" s="22" t="s">
        <v>792</v>
      </c>
      <c r="O214" s="21" t="s">
        <v>672</v>
      </c>
      <c r="P214" s="21">
        <v>20280</v>
      </c>
      <c r="Q214" s="21">
        <v>25</v>
      </c>
      <c r="R214" s="21">
        <v>17</v>
      </c>
      <c r="S214" s="21">
        <v>16</v>
      </c>
      <c r="T214" s="21" t="s">
        <v>281</v>
      </c>
      <c r="U214" s="21">
        <v>0.9</v>
      </c>
      <c r="V214" s="21">
        <v>0.9</v>
      </c>
      <c r="W214" s="24">
        <f t="shared" si="47"/>
        <v>4485.4183859506293</v>
      </c>
      <c r="X214" s="24">
        <f t="shared" si="48"/>
        <v>3202.7999999999997</v>
      </c>
      <c r="Y214" s="21">
        <v>1</v>
      </c>
      <c r="Z214" s="24">
        <f t="shared" si="44"/>
        <v>4485.4183859506293</v>
      </c>
      <c r="AA214" s="24">
        <f t="shared" si="45"/>
        <v>3202.7999999999997</v>
      </c>
      <c r="AB214" s="21"/>
      <c r="AC214" s="21"/>
      <c r="AD214" s="21"/>
      <c r="AE214" s="21"/>
      <c r="AF214" s="21" t="s">
        <v>247</v>
      </c>
      <c r="AG214" s="21"/>
      <c r="AH214" s="24"/>
      <c r="AI214" s="24"/>
      <c r="AJ214" s="21">
        <v>3204.4</v>
      </c>
      <c r="AK214" s="21">
        <v>25</v>
      </c>
      <c r="AL214" s="22" t="s">
        <v>161</v>
      </c>
      <c r="AM214" s="22">
        <v>0.13</v>
      </c>
      <c r="AN214" s="22" t="s">
        <v>331</v>
      </c>
      <c r="AO214" s="22" t="s">
        <v>331</v>
      </c>
      <c r="AP214" s="22" t="s">
        <v>673</v>
      </c>
      <c r="AQ214" s="22" t="str">
        <f t="shared" si="46"/>
        <v>Microphytoplankton</v>
      </c>
      <c r="AR214" s="22">
        <v>1</v>
      </c>
      <c r="AS214" s="22">
        <v>1</v>
      </c>
      <c r="AT214" s="22">
        <v>0</v>
      </c>
      <c r="AU214" s="22">
        <v>0</v>
      </c>
      <c r="AV214" s="22">
        <v>0</v>
      </c>
      <c r="AW214" s="22">
        <v>0</v>
      </c>
      <c r="AX214" s="22">
        <v>1</v>
      </c>
      <c r="AY214" s="22">
        <v>0</v>
      </c>
    </row>
    <row r="215" spans="1:51">
      <c r="A215" s="21" t="s">
        <v>793</v>
      </c>
      <c r="B215" s="22" t="s">
        <v>663</v>
      </c>
      <c r="C215" s="22" t="s">
        <v>664</v>
      </c>
      <c r="D215" s="22" t="s">
        <v>665</v>
      </c>
      <c r="E215" s="22" t="s">
        <v>666</v>
      </c>
      <c r="F215" s="22" t="s">
        <v>667</v>
      </c>
      <c r="G215" s="22" t="s">
        <v>675</v>
      </c>
      <c r="H215" s="22" t="s">
        <v>692</v>
      </c>
      <c r="I215" s="22" t="s">
        <v>56</v>
      </c>
      <c r="J215" s="21" t="s">
        <v>794</v>
      </c>
      <c r="K215" s="21"/>
      <c r="L215" s="21"/>
      <c r="N215" s="22" t="s">
        <v>167</v>
      </c>
      <c r="O215" s="21" t="s">
        <v>672</v>
      </c>
      <c r="P215" s="22">
        <v>20220</v>
      </c>
      <c r="Q215" s="21">
        <v>25</v>
      </c>
      <c r="R215" s="21">
        <v>20</v>
      </c>
      <c r="S215" s="21">
        <v>16</v>
      </c>
      <c r="T215" s="21" t="s">
        <v>281</v>
      </c>
      <c r="U215" s="21">
        <v>0.9</v>
      </c>
      <c r="V215" s="21">
        <v>0.9</v>
      </c>
      <c r="W215" s="24">
        <f t="shared" si="47"/>
        <v>4909.9444195340366</v>
      </c>
      <c r="X215" s="24">
        <f t="shared" si="48"/>
        <v>3767.9999999999995</v>
      </c>
      <c r="Y215" s="21">
        <v>1</v>
      </c>
      <c r="Z215" s="24">
        <f t="shared" si="44"/>
        <v>4909.9444195340366</v>
      </c>
      <c r="AA215" s="24">
        <f t="shared" si="45"/>
        <v>3767.9999999999995</v>
      </c>
      <c r="AB215" s="21"/>
      <c r="AC215" s="21"/>
      <c r="AD215" s="21"/>
      <c r="AE215" s="21"/>
      <c r="AF215" s="21" t="s">
        <v>247</v>
      </c>
      <c r="AG215" s="21"/>
      <c r="AH215" s="24"/>
      <c r="AI215" s="24"/>
      <c r="AJ215" s="21">
        <v>3769.9</v>
      </c>
      <c r="AK215" s="21">
        <v>25</v>
      </c>
      <c r="AL215" s="22" t="s">
        <v>161</v>
      </c>
      <c r="AM215" s="22">
        <v>0.13</v>
      </c>
      <c r="AN215" s="22" t="s">
        <v>331</v>
      </c>
      <c r="AO215" s="22" t="s">
        <v>331</v>
      </c>
      <c r="AP215" s="22" t="s">
        <v>673</v>
      </c>
      <c r="AQ215" s="22" t="str">
        <f t="shared" si="46"/>
        <v>Microphytoplankton</v>
      </c>
      <c r="AR215" s="22">
        <v>1</v>
      </c>
      <c r="AS215" s="22">
        <v>1</v>
      </c>
      <c r="AT215" s="22">
        <v>0</v>
      </c>
      <c r="AU215" s="22">
        <v>0</v>
      </c>
      <c r="AV215" s="22">
        <v>0</v>
      </c>
      <c r="AW215" s="22">
        <v>0</v>
      </c>
      <c r="AX215" s="22">
        <v>1</v>
      </c>
      <c r="AY215" s="22">
        <v>0</v>
      </c>
    </row>
    <row r="216" spans="1:51">
      <c r="A216" s="21" t="s">
        <v>795</v>
      </c>
      <c r="B216" s="22" t="s">
        <v>663</v>
      </c>
      <c r="C216" s="22" t="s">
        <v>664</v>
      </c>
      <c r="D216" s="22" t="s">
        <v>665</v>
      </c>
      <c r="E216" s="22" t="s">
        <v>666</v>
      </c>
      <c r="F216" s="22" t="s">
        <v>667</v>
      </c>
      <c r="G216" s="22" t="s">
        <v>675</v>
      </c>
      <c r="H216" s="22" t="s">
        <v>692</v>
      </c>
      <c r="I216" s="22" t="s">
        <v>56</v>
      </c>
      <c r="J216" s="21" t="s">
        <v>794</v>
      </c>
      <c r="K216" s="21" t="s">
        <v>175</v>
      </c>
      <c r="L216" s="21" t="s">
        <v>796</v>
      </c>
      <c r="N216" s="22" t="s">
        <v>797</v>
      </c>
      <c r="O216" s="21" t="s">
        <v>672</v>
      </c>
      <c r="P216" s="22">
        <v>20221</v>
      </c>
      <c r="Q216" s="21">
        <v>18</v>
      </c>
      <c r="R216" s="21">
        <v>5</v>
      </c>
      <c r="S216" s="21">
        <v>4</v>
      </c>
      <c r="T216" s="21" t="s">
        <v>159</v>
      </c>
      <c r="U216" s="21">
        <v>0.9</v>
      </c>
      <c r="V216" s="21">
        <v>0.9</v>
      </c>
      <c r="W216" s="24">
        <f t="shared" si="47"/>
        <v>885.99024784971709</v>
      </c>
      <c r="X216" s="24">
        <f t="shared" si="48"/>
        <v>169.56</v>
      </c>
      <c r="Y216" s="21">
        <v>1</v>
      </c>
      <c r="Z216" s="24">
        <f t="shared" si="44"/>
        <v>885.99024784971709</v>
      </c>
      <c r="AA216" s="24">
        <f t="shared" si="45"/>
        <v>169.56</v>
      </c>
      <c r="AB216" s="21"/>
      <c r="AC216" s="21"/>
      <c r="AD216" s="21"/>
      <c r="AE216" s="21"/>
      <c r="AF216" s="21" t="s">
        <v>247</v>
      </c>
      <c r="AG216" s="21"/>
      <c r="AH216" s="24"/>
      <c r="AI216" s="24"/>
      <c r="AJ216" s="21">
        <v>169.56</v>
      </c>
      <c r="AK216" s="21">
        <v>18</v>
      </c>
      <c r="AL216" s="22" t="s">
        <v>798</v>
      </c>
      <c r="AM216" s="22">
        <v>0.13</v>
      </c>
      <c r="AN216" s="22" t="s">
        <v>331</v>
      </c>
      <c r="AO216" s="22" t="s">
        <v>331</v>
      </c>
      <c r="AP216" s="22" t="s">
        <v>673</v>
      </c>
      <c r="AQ216" s="22" t="str">
        <f t="shared" si="46"/>
        <v>Nanophytoplankton</v>
      </c>
      <c r="AR216" s="22">
        <v>1</v>
      </c>
      <c r="AS216" s="22">
        <v>1</v>
      </c>
      <c r="AT216" s="22">
        <v>0</v>
      </c>
      <c r="AU216" s="22">
        <v>0</v>
      </c>
      <c r="AV216" s="22">
        <v>0</v>
      </c>
      <c r="AW216" s="22">
        <v>0</v>
      </c>
      <c r="AX216" s="22">
        <v>1</v>
      </c>
      <c r="AY216" s="22">
        <v>0</v>
      </c>
    </row>
    <row r="217" spans="1:51">
      <c r="A217" s="21" t="s">
        <v>799</v>
      </c>
      <c r="B217" s="22" t="s">
        <v>663</v>
      </c>
      <c r="C217" s="22" t="s">
        <v>664</v>
      </c>
      <c r="D217" s="22" t="s">
        <v>665</v>
      </c>
      <c r="E217" s="22" t="s">
        <v>666</v>
      </c>
      <c r="F217" s="22" t="s">
        <v>667</v>
      </c>
      <c r="G217" s="22" t="s">
        <v>675</v>
      </c>
      <c r="H217" s="22" t="s">
        <v>692</v>
      </c>
      <c r="I217" s="22" t="s">
        <v>56</v>
      </c>
      <c r="J217" s="21" t="s">
        <v>794</v>
      </c>
      <c r="K217" s="21" t="s">
        <v>175</v>
      </c>
      <c r="L217" s="21" t="s">
        <v>800</v>
      </c>
      <c r="N217" s="22" t="s">
        <v>167</v>
      </c>
      <c r="O217" s="21" t="s">
        <v>672</v>
      </c>
      <c r="P217" s="22">
        <v>20222</v>
      </c>
      <c r="Q217" s="21">
        <v>25</v>
      </c>
      <c r="R217" s="21">
        <v>20</v>
      </c>
      <c r="S217" s="21">
        <v>16</v>
      </c>
      <c r="T217" s="21" t="s">
        <v>281</v>
      </c>
      <c r="U217" s="21">
        <v>0.9</v>
      </c>
      <c r="V217" s="21">
        <v>0.9</v>
      </c>
      <c r="W217" s="24">
        <f t="shared" si="47"/>
        <v>4909.9444195340366</v>
      </c>
      <c r="X217" s="24">
        <f t="shared" si="48"/>
        <v>3767.9999999999995</v>
      </c>
      <c r="Y217" s="21">
        <v>1</v>
      </c>
      <c r="Z217" s="24">
        <f t="shared" si="44"/>
        <v>4909.9444195340366</v>
      </c>
      <c r="AA217" s="24">
        <f t="shared" si="45"/>
        <v>3767.9999999999995</v>
      </c>
      <c r="AB217" s="21"/>
      <c r="AC217" s="21"/>
      <c r="AD217" s="21"/>
      <c r="AE217" s="21"/>
      <c r="AF217" s="21" t="s">
        <v>247</v>
      </c>
      <c r="AG217" s="21"/>
      <c r="AH217" s="24"/>
      <c r="AI217" s="24"/>
      <c r="AJ217" s="21">
        <v>3769.9</v>
      </c>
      <c r="AK217" s="21">
        <v>25</v>
      </c>
      <c r="AL217" s="22" t="s">
        <v>161</v>
      </c>
      <c r="AM217" s="22">
        <v>0.13</v>
      </c>
      <c r="AN217" s="22" t="s">
        <v>331</v>
      </c>
      <c r="AO217" s="22" t="s">
        <v>331</v>
      </c>
      <c r="AP217" s="22" t="s">
        <v>673</v>
      </c>
      <c r="AQ217" s="22" t="str">
        <f t="shared" si="46"/>
        <v>Microphytoplankton</v>
      </c>
      <c r="AR217" s="22">
        <v>1</v>
      </c>
      <c r="AS217" s="22">
        <v>1</v>
      </c>
      <c r="AT217" s="22">
        <v>0</v>
      </c>
      <c r="AU217" s="22">
        <v>0</v>
      </c>
      <c r="AV217" s="22">
        <v>0</v>
      </c>
      <c r="AW217" s="22">
        <v>0</v>
      </c>
      <c r="AX217" s="22">
        <v>1</v>
      </c>
      <c r="AY217" s="22">
        <v>0</v>
      </c>
    </row>
    <row r="218" spans="1:51">
      <c r="A218" s="22" t="s">
        <v>801</v>
      </c>
      <c r="B218" s="22" t="s">
        <v>663</v>
      </c>
      <c r="C218" s="22" t="s">
        <v>664</v>
      </c>
      <c r="D218" s="22" t="s">
        <v>665</v>
      </c>
      <c r="E218" s="22" t="s">
        <v>666</v>
      </c>
      <c r="F218" s="22" t="s">
        <v>667</v>
      </c>
      <c r="G218" s="22" t="s">
        <v>675</v>
      </c>
      <c r="H218" s="22" t="s">
        <v>692</v>
      </c>
      <c r="I218" s="22" t="s">
        <v>56</v>
      </c>
      <c r="J218" s="22" t="s">
        <v>211</v>
      </c>
      <c r="M218" s="22" t="s">
        <v>1</v>
      </c>
      <c r="N218" s="22" t="s">
        <v>694</v>
      </c>
      <c r="O218" s="21" t="s">
        <v>672</v>
      </c>
      <c r="P218" s="21">
        <v>20271</v>
      </c>
      <c r="Q218" s="22">
        <v>27</v>
      </c>
      <c r="R218" s="22">
        <v>25.5</v>
      </c>
      <c r="S218" s="22">
        <v>22</v>
      </c>
      <c r="T218" s="21" t="s">
        <v>281</v>
      </c>
      <c r="U218" s="21">
        <v>1</v>
      </c>
      <c r="V218" s="22">
        <v>1</v>
      </c>
      <c r="W218" s="24">
        <f t="shared" si="47"/>
        <v>6281.3727293921538</v>
      </c>
      <c r="X218" s="24">
        <f t="shared" si="48"/>
        <v>7926.93</v>
      </c>
      <c r="Y218" s="21">
        <v>1</v>
      </c>
      <c r="Z218" s="24">
        <f t="shared" si="44"/>
        <v>6281.3727293921538</v>
      </c>
      <c r="AA218" s="24">
        <f t="shared" si="45"/>
        <v>7926.93</v>
      </c>
      <c r="AE218" s="21"/>
      <c r="AF218" s="21" t="s">
        <v>247</v>
      </c>
      <c r="AG218" s="21"/>
      <c r="AH218" s="24"/>
      <c r="AI218" s="24"/>
      <c r="AJ218" s="21">
        <v>9188.0325000000012</v>
      </c>
      <c r="AK218" s="21">
        <v>27</v>
      </c>
      <c r="AL218" s="22" t="s">
        <v>161</v>
      </c>
      <c r="AM218" s="22">
        <v>0.13</v>
      </c>
      <c r="AN218" s="22" t="s">
        <v>331</v>
      </c>
      <c r="AO218" s="22" t="s">
        <v>331</v>
      </c>
      <c r="AP218" s="22" t="s">
        <v>673</v>
      </c>
      <c r="AQ218" s="22" t="str">
        <f t="shared" si="46"/>
        <v>Microphytoplankton</v>
      </c>
      <c r="AR218" s="22">
        <v>1</v>
      </c>
      <c r="AS218" s="22">
        <v>1</v>
      </c>
      <c r="AT218" s="22">
        <v>0</v>
      </c>
      <c r="AU218" s="22">
        <v>0</v>
      </c>
      <c r="AV218" s="22">
        <v>0</v>
      </c>
      <c r="AW218" s="22">
        <v>0</v>
      </c>
      <c r="AX218" s="22">
        <v>1</v>
      </c>
      <c r="AY218" s="22">
        <v>0</v>
      </c>
    </row>
    <row r="219" spans="1:51">
      <c r="A219" s="21" t="s">
        <v>802</v>
      </c>
      <c r="B219" s="22" t="s">
        <v>663</v>
      </c>
      <c r="C219" s="22" t="s">
        <v>664</v>
      </c>
      <c r="D219" s="22" t="s">
        <v>665</v>
      </c>
      <c r="E219" s="22" t="s">
        <v>666</v>
      </c>
      <c r="F219" s="22" t="s">
        <v>667</v>
      </c>
      <c r="G219" s="22" t="s">
        <v>675</v>
      </c>
      <c r="H219" s="22" t="s">
        <v>692</v>
      </c>
      <c r="I219" s="22" t="s">
        <v>56</v>
      </c>
      <c r="J219" s="21" t="s">
        <v>211</v>
      </c>
      <c r="K219" s="21" t="s">
        <v>184</v>
      </c>
      <c r="L219" s="21" t="s">
        <v>803</v>
      </c>
      <c r="M219" s="22" t="s">
        <v>1</v>
      </c>
      <c r="N219" s="22" t="s">
        <v>694</v>
      </c>
      <c r="O219" s="21" t="s">
        <v>672</v>
      </c>
      <c r="P219" s="22">
        <v>20270</v>
      </c>
      <c r="Q219" s="21">
        <v>12</v>
      </c>
      <c r="R219" s="21">
        <v>10</v>
      </c>
      <c r="S219" s="21">
        <v>6</v>
      </c>
      <c r="T219" s="21" t="s">
        <v>281</v>
      </c>
      <c r="U219" s="21">
        <v>1</v>
      </c>
      <c r="V219" s="22">
        <v>1</v>
      </c>
      <c r="W219" s="24">
        <f t="shared" si="47"/>
        <v>964.486998531513</v>
      </c>
      <c r="X219" s="24">
        <f t="shared" si="48"/>
        <v>376.79999999999995</v>
      </c>
      <c r="Y219" s="21">
        <v>1</v>
      </c>
      <c r="Z219" s="24">
        <f t="shared" si="44"/>
        <v>964.486998531513</v>
      </c>
      <c r="AA219" s="24">
        <f t="shared" si="45"/>
        <v>376.79999999999995</v>
      </c>
      <c r="AB219" s="21"/>
      <c r="AC219" s="21"/>
      <c r="AD219" s="21"/>
      <c r="AE219" s="21"/>
      <c r="AF219" s="21" t="s">
        <v>247</v>
      </c>
      <c r="AG219" s="21"/>
      <c r="AH219" s="24"/>
      <c r="AI219" s="24"/>
      <c r="AJ219" s="21">
        <v>377</v>
      </c>
      <c r="AK219" s="21">
        <v>12</v>
      </c>
      <c r="AL219" s="22" t="s">
        <v>161</v>
      </c>
      <c r="AM219" s="22">
        <v>0.13</v>
      </c>
      <c r="AN219" s="22" t="s">
        <v>331</v>
      </c>
      <c r="AO219" s="22" t="s">
        <v>331</v>
      </c>
      <c r="AP219" s="22" t="s">
        <v>673</v>
      </c>
      <c r="AQ219" s="22" t="str">
        <f t="shared" si="46"/>
        <v>Nanophytoplankton</v>
      </c>
      <c r="AR219" s="22">
        <v>1</v>
      </c>
      <c r="AS219" s="22">
        <v>1</v>
      </c>
      <c r="AT219" s="22">
        <v>0</v>
      </c>
      <c r="AU219" s="22">
        <v>0</v>
      </c>
      <c r="AV219" s="22">
        <v>0</v>
      </c>
      <c r="AW219" s="22">
        <v>0</v>
      </c>
      <c r="AX219" s="22">
        <v>1</v>
      </c>
      <c r="AY219" s="22">
        <v>0</v>
      </c>
    </row>
    <row r="220" spans="1:51">
      <c r="A220" s="21" t="s">
        <v>804</v>
      </c>
      <c r="B220" s="22" t="s">
        <v>663</v>
      </c>
      <c r="C220" s="22" t="s">
        <v>664</v>
      </c>
      <c r="D220" s="22" t="s">
        <v>665</v>
      </c>
      <c r="E220" s="22" t="s">
        <v>666</v>
      </c>
      <c r="F220" s="22" t="s">
        <v>667</v>
      </c>
      <c r="G220" s="22" t="s">
        <v>675</v>
      </c>
      <c r="H220" s="22" t="s">
        <v>692</v>
      </c>
      <c r="I220" s="22" t="s">
        <v>56</v>
      </c>
      <c r="J220" s="21" t="s">
        <v>781</v>
      </c>
      <c r="K220" s="21"/>
      <c r="L220" s="21"/>
      <c r="N220" s="32" t="s">
        <v>738</v>
      </c>
      <c r="O220" s="21" t="s">
        <v>672</v>
      </c>
      <c r="P220" s="22">
        <v>20230</v>
      </c>
      <c r="Q220" s="21">
        <v>30</v>
      </c>
      <c r="R220" s="21">
        <v>22</v>
      </c>
      <c r="S220" s="21">
        <v>20</v>
      </c>
      <c r="T220" s="21" t="s">
        <v>281</v>
      </c>
      <c r="U220" s="21">
        <v>1</v>
      </c>
      <c r="V220" s="22">
        <v>1</v>
      </c>
      <c r="W220" s="24">
        <f t="shared" si="47"/>
        <v>6162.2817544591799</v>
      </c>
      <c r="X220" s="24">
        <f t="shared" si="48"/>
        <v>6908</v>
      </c>
      <c r="Y220" s="21">
        <v>1</v>
      </c>
      <c r="Z220" s="24">
        <f t="shared" si="44"/>
        <v>6162.2817544591799</v>
      </c>
      <c r="AA220" s="24">
        <f t="shared" si="45"/>
        <v>6908</v>
      </c>
      <c r="AB220" s="21"/>
      <c r="AC220" s="21"/>
      <c r="AD220" s="21"/>
      <c r="AE220" s="21"/>
      <c r="AF220" s="21" t="s">
        <v>247</v>
      </c>
      <c r="AG220" s="21"/>
      <c r="AH220" s="24"/>
      <c r="AI220" s="24"/>
      <c r="AJ220" s="21">
        <v>10362</v>
      </c>
      <c r="AK220" s="21">
        <v>30</v>
      </c>
      <c r="AL220" s="22" t="s">
        <v>161</v>
      </c>
      <c r="AM220" s="22">
        <v>0.13</v>
      </c>
      <c r="AN220" s="22" t="s">
        <v>331</v>
      </c>
      <c r="AO220" s="22" t="s">
        <v>331</v>
      </c>
      <c r="AP220" s="22" t="s">
        <v>673</v>
      </c>
      <c r="AQ220" s="22" t="str">
        <f t="shared" si="46"/>
        <v>Microphytoplankton</v>
      </c>
      <c r="AR220" s="22">
        <v>1</v>
      </c>
      <c r="AS220" s="22">
        <v>1</v>
      </c>
      <c r="AT220" s="22">
        <v>0</v>
      </c>
      <c r="AU220" s="22">
        <v>0</v>
      </c>
      <c r="AV220" s="22">
        <v>0</v>
      </c>
      <c r="AW220" s="22">
        <v>0</v>
      </c>
      <c r="AX220" s="22">
        <v>1</v>
      </c>
      <c r="AY220" s="22">
        <v>0</v>
      </c>
    </row>
    <row r="221" spans="1:51">
      <c r="A221" s="21" t="s">
        <v>805</v>
      </c>
      <c r="B221" s="22" t="s">
        <v>663</v>
      </c>
      <c r="C221" s="22" t="s">
        <v>664</v>
      </c>
      <c r="D221" s="22" t="s">
        <v>665</v>
      </c>
      <c r="E221" s="22" t="s">
        <v>666</v>
      </c>
      <c r="F221" s="22" t="s">
        <v>667</v>
      </c>
      <c r="G221" s="22" t="s">
        <v>675</v>
      </c>
      <c r="H221" s="22" t="s">
        <v>692</v>
      </c>
      <c r="I221" s="22" t="s">
        <v>56</v>
      </c>
      <c r="J221" s="21" t="s">
        <v>781</v>
      </c>
      <c r="K221" s="21" t="s">
        <v>175</v>
      </c>
      <c r="L221" s="21" t="s">
        <v>806</v>
      </c>
      <c r="N221" s="32" t="s">
        <v>797</v>
      </c>
      <c r="O221" s="21" t="s">
        <v>672</v>
      </c>
      <c r="P221" s="22">
        <v>20232</v>
      </c>
      <c r="Q221" s="21">
        <v>30</v>
      </c>
      <c r="R221" s="21">
        <v>22</v>
      </c>
      <c r="S221" s="21">
        <v>20</v>
      </c>
      <c r="T221" s="21" t="s">
        <v>281</v>
      </c>
      <c r="U221" s="21">
        <v>1</v>
      </c>
      <c r="V221" s="22">
        <v>1</v>
      </c>
      <c r="W221" s="24">
        <f t="shared" si="47"/>
        <v>6162.2817544591799</v>
      </c>
      <c r="X221" s="24">
        <f t="shared" si="48"/>
        <v>6908</v>
      </c>
      <c r="Y221" s="21">
        <v>1</v>
      </c>
      <c r="Z221" s="24">
        <f t="shared" si="44"/>
        <v>6162.2817544591799</v>
      </c>
      <c r="AA221" s="24">
        <f t="shared" si="45"/>
        <v>6908</v>
      </c>
      <c r="AB221" s="21"/>
      <c r="AC221" s="21"/>
      <c r="AD221" s="21"/>
      <c r="AE221" s="21"/>
      <c r="AF221" s="21" t="s">
        <v>247</v>
      </c>
      <c r="AG221" s="21"/>
      <c r="AH221" s="24"/>
      <c r="AI221" s="24"/>
      <c r="AJ221" s="21">
        <v>10362</v>
      </c>
      <c r="AK221" s="21">
        <v>30</v>
      </c>
      <c r="AL221" s="22" t="s">
        <v>161</v>
      </c>
      <c r="AM221" s="22">
        <v>0.13</v>
      </c>
      <c r="AN221" s="22" t="s">
        <v>331</v>
      </c>
      <c r="AO221" s="22" t="s">
        <v>331</v>
      </c>
      <c r="AP221" s="22" t="s">
        <v>673</v>
      </c>
      <c r="AQ221" s="22" t="str">
        <f t="shared" si="46"/>
        <v>Microphytoplankton</v>
      </c>
      <c r="AR221" s="22">
        <v>1</v>
      </c>
      <c r="AS221" s="22">
        <v>1</v>
      </c>
      <c r="AT221" s="22">
        <v>0</v>
      </c>
      <c r="AU221" s="22">
        <v>0</v>
      </c>
      <c r="AV221" s="22">
        <v>0</v>
      </c>
      <c r="AW221" s="22">
        <v>0</v>
      </c>
      <c r="AX221" s="22">
        <v>1</v>
      </c>
      <c r="AY221" s="22">
        <v>0</v>
      </c>
    </row>
    <row r="222" spans="1:51">
      <c r="A222" s="22" t="s">
        <v>807</v>
      </c>
      <c r="B222" s="22" t="s">
        <v>663</v>
      </c>
      <c r="C222" s="22" t="s">
        <v>664</v>
      </c>
      <c r="D222" s="22" t="s">
        <v>665</v>
      </c>
      <c r="E222" s="22" t="s">
        <v>666</v>
      </c>
      <c r="F222" s="22" t="s">
        <v>667</v>
      </c>
      <c r="G222" s="22" t="s">
        <v>675</v>
      </c>
      <c r="H222" s="22" t="s">
        <v>692</v>
      </c>
      <c r="I222" s="22" t="s">
        <v>56</v>
      </c>
      <c r="J222" s="22" t="s">
        <v>808</v>
      </c>
      <c r="N222" s="22" t="s">
        <v>167</v>
      </c>
      <c r="O222" s="21" t="s">
        <v>672</v>
      </c>
      <c r="P222" s="22">
        <v>20231</v>
      </c>
      <c r="Q222" s="22">
        <v>45</v>
      </c>
      <c r="R222" s="22">
        <v>45</v>
      </c>
      <c r="S222" s="22">
        <v>45</v>
      </c>
      <c r="T222" s="21" t="s">
        <v>281</v>
      </c>
      <c r="U222" s="21">
        <v>1</v>
      </c>
      <c r="V222" s="22">
        <v>1</v>
      </c>
      <c r="W222" s="24">
        <f t="shared" si="47"/>
        <v>19768.396303372352</v>
      </c>
      <c r="X222" s="24">
        <f t="shared" si="48"/>
        <v>47688.75</v>
      </c>
      <c r="Y222" s="21">
        <v>1</v>
      </c>
      <c r="Z222" s="24">
        <f t="shared" si="44"/>
        <v>19768.396303372352</v>
      </c>
      <c r="AA222" s="24">
        <f t="shared" si="45"/>
        <v>47688.75</v>
      </c>
      <c r="AE222" s="21"/>
      <c r="AF222" s="21" t="s">
        <v>247</v>
      </c>
      <c r="AG222" s="21"/>
      <c r="AH222" s="24"/>
      <c r="AI222" s="24"/>
      <c r="AJ222" s="21">
        <v>47688.75</v>
      </c>
      <c r="AK222" s="21">
        <v>45</v>
      </c>
      <c r="AL222" s="22" t="s">
        <v>161</v>
      </c>
      <c r="AM222" s="22">
        <v>0.13</v>
      </c>
      <c r="AN222" s="22" t="s">
        <v>331</v>
      </c>
      <c r="AO222" s="22" t="s">
        <v>331</v>
      </c>
      <c r="AP222" s="22" t="s">
        <v>673</v>
      </c>
      <c r="AQ222" s="22" t="str">
        <f t="shared" si="46"/>
        <v>Microphytoplankton</v>
      </c>
      <c r="AR222" s="22">
        <v>1</v>
      </c>
      <c r="AS222" s="22">
        <v>1</v>
      </c>
      <c r="AT222" s="22">
        <v>0</v>
      </c>
      <c r="AU222" s="22">
        <v>0</v>
      </c>
      <c r="AV222" s="22">
        <v>0</v>
      </c>
      <c r="AW222" s="22">
        <v>0</v>
      </c>
      <c r="AX222" s="22">
        <v>1</v>
      </c>
      <c r="AY222" s="22">
        <v>0</v>
      </c>
    </row>
    <row r="223" spans="1:51">
      <c r="A223" s="21" t="s">
        <v>809</v>
      </c>
      <c r="B223" s="22" t="s">
        <v>663</v>
      </c>
      <c r="C223" s="22" t="s">
        <v>664</v>
      </c>
      <c r="D223" s="22" t="s">
        <v>665</v>
      </c>
      <c r="E223" s="22" t="s">
        <v>666</v>
      </c>
      <c r="F223" s="22" t="s">
        <v>667</v>
      </c>
      <c r="G223" s="22" t="s">
        <v>675</v>
      </c>
      <c r="H223" s="22" t="s">
        <v>692</v>
      </c>
      <c r="I223" s="22" t="s">
        <v>56</v>
      </c>
      <c r="J223" s="21" t="s">
        <v>810</v>
      </c>
      <c r="K223" s="21"/>
      <c r="L223" s="21"/>
      <c r="N223" s="22" t="s">
        <v>811</v>
      </c>
      <c r="O223" s="21" t="s">
        <v>672</v>
      </c>
      <c r="P223" s="21">
        <v>20240</v>
      </c>
      <c r="Q223" s="21">
        <v>45</v>
      </c>
      <c r="R223" s="21">
        <v>40</v>
      </c>
      <c r="S223" s="21">
        <v>35</v>
      </c>
      <c r="T223" s="21" t="s">
        <v>281</v>
      </c>
      <c r="U223" s="21">
        <v>1</v>
      </c>
      <c r="V223" s="22">
        <v>1</v>
      </c>
      <c r="W223" s="24">
        <f t="shared" si="47"/>
        <v>16495.624251104611</v>
      </c>
      <c r="X223" s="24">
        <f t="shared" si="48"/>
        <v>32970</v>
      </c>
      <c r="Y223" s="21">
        <v>1</v>
      </c>
      <c r="Z223" s="24">
        <f t="shared" si="44"/>
        <v>16495.624251104611</v>
      </c>
      <c r="AA223" s="24">
        <f t="shared" si="45"/>
        <v>32970</v>
      </c>
      <c r="AB223" s="21"/>
      <c r="AC223" s="21"/>
      <c r="AD223" s="21"/>
      <c r="AE223" s="21"/>
      <c r="AF223" s="21" t="s">
        <v>247</v>
      </c>
      <c r="AG223" s="21"/>
      <c r="AH223" s="24"/>
      <c r="AI223" s="24"/>
      <c r="AJ223" s="21">
        <v>32986.699999999997</v>
      </c>
      <c r="AK223" s="21">
        <v>45</v>
      </c>
      <c r="AL223" s="22" t="s">
        <v>161</v>
      </c>
      <c r="AM223" s="22">
        <v>0.13</v>
      </c>
      <c r="AN223" s="22" t="s">
        <v>331</v>
      </c>
      <c r="AO223" s="22" t="s">
        <v>331</v>
      </c>
      <c r="AP223" s="22" t="s">
        <v>673</v>
      </c>
      <c r="AQ223" s="22" t="str">
        <f t="shared" si="46"/>
        <v>Microphytoplankton</v>
      </c>
      <c r="AR223" s="22">
        <v>1</v>
      </c>
      <c r="AS223" s="22">
        <v>1</v>
      </c>
      <c r="AT223" s="22">
        <v>0</v>
      </c>
      <c r="AU223" s="22">
        <v>0</v>
      </c>
      <c r="AV223" s="22">
        <v>0</v>
      </c>
      <c r="AW223" s="22">
        <v>0</v>
      </c>
      <c r="AX223" s="22">
        <v>1</v>
      </c>
      <c r="AY223" s="22">
        <v>0</v>
      </c>
    </row>
    <row r="224" spans="1:51">
      <c r="A224" s="22" t="s">
        <v>812</v>
      </c>
      <c r="B224" s="22" t="s">
        <v>663</v>
      </c>
      <c r="C224" s="22" t="s">
        <v>664</v>
      </c>
      <c r="D224" s="22" t="s">
        <v>665</v>
      </c>
      <c r="E224" s="22" t="s">
        <v>666</v>
      </c>
      <c r="F224" s="22" t="s">
        <v>667</v>
      </c>
      <c r="G224" s="23" t="s">
        <v>813</v>
      </c>
      <c r="H224" s="22" t="s">
        <v>814</v>
      </c>
      <c r="I224" s="22" t="s">
        <v>815</v>
      </c>
      <c r="J224" s="22" t="s">
        <v>816</v>
      </c>
      <c r="N224" s="22" t="s">
        <v>817</v>
      </c>
      <c r="O224" s="21" t="s">
        <v>672</v>
      </c>
      <c r="P224" s="22">
        <v>20275</v>
      </c>
      <c r="Q224" s="22">
        <v>30</v>
      </c>
      <c r="R224" s="22">
        <v>27</v>
      </c>
      <c r="S224" s="22">
        <v>20</v>
      </c>
      <c r="T224" s="21" t="s">
        <v>281</v>
      </c>
      <c r="U224" s="21">
        <v>0.7</v>
      </c>
      <c r="V224" s="21">
        <v>0.7</v>
      </c>
      <c r="W224" s="24">
        <f t="shared" si="47"/>
        <v>9910.0198540635301</v>
      </c>
      <c r="X224" s="24">
        <f t="shared" si="48"/>
        <v>5934.5999999999995</v>
      </c>
      <c r="Y224" s="21">
        <v>1</v>
      </c>
      <c r="Z224" s="24">
        <f t="shared" si="44"/>
        <v>9910.0198540635301</v>
      </c>
      <c r="AA224" s="24">
        <f t="shared" si="45"/>
        <v>5934.5999999999995</v>
      </c>
      <c r="AE224" s="21"/>
      <c r="AF224" s="21" t="s">
        <v>247</v>
      </c>
      <c r="AG224" s="21"/>
      <c r="AH224" s="24"/>
      <c r="AI224" s="24"/>
      <c r="AJ224" s="21">
        <v>5937.6</v>
      </c>
      <c r="AK224" s="21">
        <v>30</v>
      </c>
      <c r="AL224" s="22" t="s">
        <v>161</v>
      </c>
      <c r="AM224" s="22">
        <v>0.13</v>
      </c>
      <c r="AP224" s="22" t="s">
        <v>673</v>
      </c>
      <c r="AQ224" s="22" t="str">
        <f t="shared" si="46"/>
        <v>Microphytoplankton</v>
      </c>
      <c r="AR224" s="22">
        <v>1</v>
      </c>
      <c r="AS224" s="22">
        <v>1</v>
      </c>
      <c r="AT224" s="22">
        <v>0</v>
      </c>
      <c r="AU224" s="22">
        <v>0</v>
      </c>
      <c r="AV224" s="22">
        <v>0</v>
      </c>
      <c r="AW224" s="22">
        <v>0</v>
      </c>
      <c r="AX224" s="22">
        <v>1</v>
      </c>
      <c r="AY224" s="22">
        <v>0</v>
      </c>
    </row>
    <row r="225" spans="1:51">
      <c r="A225" s="22" t="s">
        <v>818</v>
      </c>
      <c r="B225" s="22" t="s">
        <v>663</v>
      </c>
      <c r="C225" s="22" t="s">
        <v>664</v>
      </c>
      <c r="D225" s="22" t="s">
        <v>665</v>
      </c>
      <c r="E225" s="22" t="s">
        <v>666</v>
      </c>
      <c r="F225" s="22" t="s">
        <v>667</v>
      </c>
      <c r="G225" s="22" t="s">
        <v>813</v>
      </c>
      <c r="H225" s="22" t="s">
        <v>814</v>
      </c>
      <c r="I225" s="22" t="s">
        <v>815</v>
      </c>
      <c r="J225" s="22" t="s">
        <v>819</v>
      </c>
      <c r="N225" s="22" t="s">
        <v>820</v>
      </c>
      <c r="O225" s="21" t="s">
        <v>672</v>
      </c>
      <c r="P225" s="22">
        <v>20276</v>
      </c>
      <c r="Q225" s="22">
        <v>45</v>
      </c>
      <c r="R225" s="22">
        <v>30</v>
      </c>
      <c r="S225" s="22">
        <v>20</v>
      </c>
      <c r="T225" s="21" t="s">
        <v>281</v>
      </c>
      <c r="U225" s="21">
        <v>0.8</v>
      </c>
      <c r="V225" s="21">
        <v>0.8</v>
      </c>
      <c r="W225" s="24">
        <f t="shared" si="47"/>
        <v>13892.510433113513</v>
      </c>
      <c r="X225" s="24">
        <f t="shared" si="48"/>
        <v>11304</v>
      </c>
      <c r="Y225" s="21">
        <v>1</v>
      </c>
      <c r="Z225" s="24">
        <f t="shared" si="44"/>
        <v>13892.510433113513</v>
      </c>
      <c r="AA225" s="24">
        <f t="shared" si="45"/>
        <v>11304</v>
      </c>
      <c r="AE225" s="21"/>
      <c r="AF225" s="21" t="s">
        <v>247</v>
      </c>
      <c r="AG225" s="21"/>
      <c r="AH225" s="24"/>
      <c r="AI225" s="24"/>
      <c r="AJ225" s="21">
        <v>21600</v>
      </c>
      <c r="AK225" s="21">
        <v>45</v>
      </c>
      <c r="AL225" s="22" t="s">
        <v>161</v>
      </c>
      <c r="AM225" s="22">
        <v>0.13</v>
      </c>
      <c r="AP225" s="22" t="s">
        <v>673</v>
      </c>
      <c r="AQ225" s="22" t="str">
        <f t="shared" si="46"/>
        <v>Microphytoplankton</v>
      </c>
      <c r="AR225" s="22">
        <v>1</v>
      </c>
      <c r="AS225" s="22">
        <v>1</v>
      </c>
      <c r="AT225" s="22">
        <v>0</v>
      </c>
      <c r="AU225" s="22">
        <v>0</v>
      </c>
      <c r="AV225" s="22">
        <v>0</v>
      </c>
      <c r="AW225" s="22">
        <v>0</v>
      </c>
      <c r="AX225" s="22">
        <v>1</v>
      </c>
      <c r="AY225" s="22">
        <v>0</v>
      </c>
    </row>
    <row r="226" spans="1:51">
      <c r="A226" s="21" t="s">
        <v>821</v>
      </c>
      <c r="B226" s="22" t="s">
        <v>663</v>
      </c>
      <c r="C226" s="23" t="s">
        <v>822</v>
      </c>
      <c r="D226" s="23" t="s">
        <v>823</v>
      </c>
      <c r="E226" s="23" t="s">
        <v>64</v>
      </c>
      <c r="F226" s="23" t="s">
        <v>824</v>
      </c>
      <c r="G226" s="22" t="s">
        <v>825</v>
      </c>
      <c r="H226" s="23" t="s">
        <v>826</v>
      </c>
      <c r="I226" s="22" t="s">
        <v>827</v>
      </c>
      <c r="J226" s="22" t="s">
        <v>211</v>
      </c>
      <c r="M226" s="22" t="s">
        <v>1</v>
      </c>
      <c r="N226" s="22" t="s">
        <v>828</v>
      </c>
      <c r="O226" s="21" t="s">
        <v>829</v>
      </c>
      <c r="P226" s="22">
        <v>30310</v>
      </c>
      <c r="Q226" s="22">
        <v>13</v>
      </c>
      <c r="R226" s="22">
        <v>13</v>
      </c>
      <c r="S226" s="22">
        <v>9</v>
      </c>
      <c r="T226" s="21" t="s">
        <v>281</v>
      </c>
      <c r="U226" s="21">
        <v>1</v>
      </c>
      <c r="V226" s="22">
        <v>1</v>
      </c>
      <c r="W226" s="24">
        <f t="shared" si="47"/>
        <v>1422.304847769326</v>
      </c>
      <c r="X226" s="24">
        <f t="shared" si="48"/>
        <v>795.99</v>
      </c>
      <c r="Y226" s="21">
        <v>1</v>
      </c>
      <c r="Z226" s="24">
        <f t="shared" si="44"/>
        <v>1422.304847769326</v>
      </c>
      <c r="AA226" s="24">
        <f t="shared" si="45"/>
        <v>795.99</v>
      </c>
      <c r="AB226" s="21"/>
      <c r="AC226" s="21"/>
      <c r="AD226" s="21"/>
      <c r="AE226" s="21"/>
      <c r="AF226" s="21" t="s">
        <v>247</v>
      </c>
      <c r="AG226" s="21"/>
      <c r="AH226" s="24"/>
      <c r="AI226" s="24"/>
      <c r="AJ226" s="21">
        <v>796.4</v>
      </c>
      <c r="AK226" s="21">
        <v>13</v>
      </c>
      <c r="AL226" s="22" t="s">
        <v>161</v>
      </c>
      <c r="AM226" s="22">
        <v>0.11</v>
      </c>
      <c r="AO226" s="22" t="s">
        <v>830</v>
      </c>
      <c r="AP226" s="22" t="s">
        <v>673</v>
      </c>
      <c r="AQ226" s="22" t="str">
        <f t="shared" si="46"/>
        <v>Nanophytoplankton</v>
      </c>
      <c r="AR226" s="22">
        <v>1</v>
      </c>
      <c r="AS226" s="22">
        <v>1</v>
      </c>
      <c r="AT226" s="22">
        <v>0</v>
      </c>
      <c r="AU226" s="22">
        <v>0</v>
      </c>
      <c r="AV226" s="22">
        <v>0</v>
      </c>
      <c r="AW226" s="22">
        <v>0</v>
      </c>
      <c r="AX226" s="22">
        <v>1</v>
      </c>
      <c r="AY226" s="22">
        <v>0</v>
      </c>
    </row>
    <row r="227" spans="1:51">
      <c r="A227" s="33" t="s">
        <v>831</v>
      </c>
      <c r="B227" s="22" t="s">
        <v>663</v>
      </c>
      <c r="C227" s="23" t="s">
        <v>822</v>
      </c>
      <c r="D227" s="23" t="s">
        <v>823</v>
      </c>
      <c r="E227" s="23" t="s">
        <v>64</v>
      </c>
      <c r="F227" s="23" t="s">
        <v>824</v>
      </c>
      <c r="G227" s="22" t="s">
        <v>825</v>
      </c>
      <c r="H227" s="23" t="s">
        <v>826</v>
      </c>
      <c r="I227" s="22" t="s">
        <v>827</v>
      </c>
      <c r="J227" s="22" t="s">
        <v>832</v>
      </c>
      <c r="N227" s="22" t="s">
        <v>833</v>
      </c>
      <c r="O227" s="21" t="s">
        <v>829</v>
      </c>
      <c r="P227" s="22">
        <v>30320</v>
      </c>
      <c r="Q227" s="22">
        <v>7</v>
      </c>
      <c r="R227" s="22">
        <v>6</v>
      </c>
      <c r="S227" s="22">
        <v>5</v>
      </c>
      <c r="T227" s="22" t="s">
        <v>159</v>
      </c>
      <c r="U227" s="21">
        <v>1</v>
      </c>
      <c r="V227" s="22">
        <v>1</v>
      </c>
      <c r="W227" s="24">
        <f t="shared" si="47"/>
        <v>386.6093936165235</v>
      </c>
      <c r="X227" s="24">
        <f t="shared" si="48"/>
        <v>109.89999999999998</v>
      </c>
      <c r="Y227" s="21">
        <v>1</v>
      </c>
      <c r="Z227" s="24">
        <f t="shared" si="44"/>
        <v>386.6093936165235</v>
      </c>
      <c r="AA227" s="24">
        <f t="shared" si="45"/>
        <v>109.89999999999998</v>
      </c>
      <c r="AB227" s="21"/>
      <c r="AC227" s="21"/>
      <c r="AD227" s="21"/>
      <c r="AE227" s="21"/>
      <c r="AF227" s="21" t="s">
        <v>247</v>
      </c>
      <c r="AG227" s="21"/>
      <c r="AH227" s="24"/>
      <c r="AI227" s="24"/>
      <c r="AJ227" s="21">
        <v>109.89999999999998</v>
      </c>
      <c r="AK227" s="21">
        <v>7</v>
      </c>
      <c r="AL227" s="22" t="s">
        <v>748</v>
      </c>
      <c r="AM227" s="22">
        <v>0.11</v>
      </c>
      <c r="AO227" s="22" t="s">
        <v>830</v>
      </c>
      <c r="AP227" s="22" t="s">
        <v>626</v>
      </c>
      <c r="AQ227" s="22" t="str">
        <f t="shared" si="46"/>
        <v>Nanophytoplankton</v>
      </c>
      <c r="AR227" s="22">
        <v>1</v>
      </c>
      <c r="AS227" s="22">
        <v>1</v>
      </c>
      <c r="AT227" s="22">
        <v>0</v>
      </c>
      <c r="AU227" s="22">
        <v>0</v>
      </c>
      <c r="AV227" s="22">
        <v>0</v>
      </c>
      <c r="AW227" s="22">
        <v>0</v>
      </c>
      <c r="AX227" s="22">
        <v>1</v>
      </c>
      <c r="AY227" s="22">
        <v>0</v>
      </c>
    </row>
    <row r="228" spans="1:51">
      <c r="A228" s="21" t="s">
        <v>834</v>
      </c>
      <c r="B228" s="22" t="s">
        <v>663</v>
      </c>
      <c r="C228" s="23" t="s">
        <v>822</v>
      </c>
      <c r="D228" s="23" t="s">
        <v>823</v>
      </c>
      <c r="E228" s="23" t="s">
        <v>64</v>
      </c>
      <c r="F228" s="23" t="s">
        <v>824</v>
      </c>
      <c r="G228" s="22" t="s">
        <v>835</v>
      </c>
      <c r="H228" s="23" t="s">
        <v>836</v>
      </c>
      <c r="I228" s="22" t="s">
        <v>57</v>
      </c>
      <c r="J228" s="22" t="s">
        <v>837</v>
      </c>
      <c r="L228" s="22" t="s">
        <v>513</v>
      </c>
      <c r="N228" s="22" t="s">
        <v>838</v>
      </c>
      <c r="O228" s="21" t="s">
        <v>829</v>
      </c>
      <c r="P228" s="21">
        <v>30130</v>
      </c>
      <c r="Q228" s="22">
        <v>24</v>
      </c>
      <c r="R228" s="22">
        <v>15</v>
      </c>
      <c r="S228" s="22">
        <v>10</v>
      </c>
      <c r="T228" s="22" t="s">
        <v>281</v>
      </c>
      <c r="U228" s="21">
        <v>1</v>
      </c>
      <c r="V228" s="22">
        <v>1</v>
      </c>
      <c r="W228" s="24">
        <f t="shared" si="47"/>
        <v>2970.9854840144453</v>
      </c>
      <c r="X228" s="24">
        <f t="shared" si="48"/>
        <v>1883.9999999999998</v>
      </c>
      <c r="Y228" s="21">
        <v>1</v>
      </c>
      <c r="Z228" s="24">
        <f t="shared" si="44"/>
        <v>2970.9854840144453</v>
      </c>
      <c r="AA228" s="24">
        <f t="shared" si="45"/>
        <v>1883.9999999999998</v>
      </c>
      <c r="AB228" s="21"/>
      <c r="AC228" s="21"/>
      <c r="AD228" s="21"/>
      <c r="AE228" s="21"/>
      <c r="AF228" s="21" t="s">
        <v>247</v>
      </c>
      <c r="AG228" s="21"/>
      <c r="AH228" s="24"/>
      <c r="AI228" s="24"/>
      <c r="AJ228" s="21">
        <v>1696.5</v>
      </c>
      <c r="AK228" s="21">
        <v>24</v>
      </c>
      <c r="AL228" s="22" t="s">
        <v>161</v>
      </c>
      <c r="AM228" s="22">
        <v>0.11</v>
      </c>
      <c r="AN228" s="22" t="s">
        <v>713</v>
      </c>
      <c r="AO228" s="22" t="s">
        <v>713</v>
      </c>
      <c r="AP228" s="22" t="s">
        <v>673</v>
      </c>
      <c r="AQ228" s="22" t="str">
        <f t="shared" si="46"/>
        <v>Microphytoplankton</v>
      </c>
      <c r="AR228" s="22">
        <v>1</v>
      </c>
      <c r="AS228" s="22">
        <v>1</v>
      </c>
      <c r="AT228" s="22">
        <v>0</v>
      </c>
      <c r="AU228" s="22">
        <v>0</v>
      </c>
      <c r="AV228" s="22">
        <v>0</v>
      </c>
      <c r="AW228" s="22">
        <v>0</v>
      </c>
      <c r="AX228" s="22">
        <v>1</v>
      </c>
      <c r="AY228" s="22">
        <v>0</v>
      </c>
    </row>
    <row r="229" spans="1:51">
      <c r="A229" s="21" t="s">
        <v>839</v>
      </c>
      <c r="B229" s="22" t="s">
        <v>663</v>
      </c>
      <c r="C229" s="23" t="s">
        <v>822</v>
      </c>
      <c r="D229" s="23" t="s">
        <v>823</v>
      </c>
      <c r="E229" s="23" t="s">
        <v>64</v>
      </c>
      <c r="F229" s="23" t="s">
        <v>824</v>
      </c>
      <c r="G229" s="22" t="s">
        <v>835</v>
      </c>
      <c r="H229" s="23" t="s">
        <v>836</v>
      </c>
      <c r="I229" s="22" t="s">
        <v>57</v>
      </c>
      <c r="J229" s="22" t="s">
        <v>840</v>
      </c>
      <c r="L229" s="22" t="s">
        <v>513</v>
      </c>
      <c r="N229" s="22" t="s">
        <v>157</v>
      </c>
      <c r="O229" s="21" t="s">
        <v>829</v>
      </c>
      <c r="P229" s="21">
        <v>30170</v>
      </c>
      <c r="Q229" s="22">
        <v>13</v>
      </c>
      <c r="R229" s="22">
        <v>8</v>
      </c>
      <c r="S229" s="22">
        <v>7</v>
      </c>
      <c r="T229" s="22" t="s">
        <v>281</v>
      </c>
      <c r="U229" s="21">
        <v>1</v>
      </c>
      <c r="V229" s="22">
        <v>1</v>
      </c>
      <c r="W229" s="24">
        <f t="shared" si="47"/>
        <v>961.52369801916825</v>
      </c>
      <c r="X229" s="24">
        <f t="shared" si="48"/>
        <v>380.98666666666662</v>
      </c>
      <c r="Y229" s="21">
        <v>1</v>
      </c>
      <c r="Z229" s="24">
        <f t="shared" si="44"/>
        <v>961.52369801916825</v>
      </c>
      <c r="AA229" s="24">
        <f t="shared" si="45"/>
        <v>380.98666666666662</v>
      </c>
      <c r="AB229" s="21"/>
      <c r="AC229" s="21"/>
      <c r="AD229" s="21"/>
      <c r="AE229" s="21"/>
      <c r="AF229" s="21" t="s">
        <v>247</v>
      </c>
      <c r="AG229" s="21"/>
      <c r="AH229" s="24"/>
      <c r="AI229" s="24"/>
      <c r="AJ229" s="21">
        <v>381.2</v>
      </c>
      <c r="AK229" s="21">
        <v>13</v>
      </c>
      <c r="AL229" s="22" t="s">
        <v>161</v>
      </c>
      <c r="AM229" s="22">
        <v>0.11</v>
      </c>
      <c r="AN229" s="22" t="s">
        <v>713</v>
      </c>
      <c r="AO229" s="22" t="s">
        <v>713</v>
      </c>
      <c r="AP229" s="22" t="s">
        <v>673</v>
      </c>
      <c r="AQ229" s="22" t="str">
        <f t="shared" si="46"/>
        <v>Nanophytoplankton</v>
      </c>
      <c r="AR229" s="22">
        <v>1</v>
      </c>
      <c r="AS229" s="22">
        <v>1</v>
      </c>
      <c r="AT229" s="22">
        <v>0</v>
      </c>
      <c r="AU229" s="22">
        <v>0</v>
      </c>
      <c r="AV229" s="22">
        <v>0</v>
      </c>
      <c r="AW229" s="22">
        <v>0</v>
      </c>
      <c r="AX229" s="22">
        <v>1</v>
      </c>
      <c r="AY229" s="22">
        <v>0</v>
      </c>
    </row>
    <row r="230" spans="1:51">
      <c r="A230" s="21" t="s">
        <v>841</v>
      </c>
      <c r="B230" s="22" t="s">
        <v>663</v>
      </c>
      <c r="C230" s="23" t="s">
        <v>822</v>
      </c>
      <c r="D230" s="23" t="s">
        <v>823</v>
      </c>
      <c r="E230" s="23" t="s">
        <v>64</v>
      </c>
      <c r="F230" s="23" t="s">
        <v>824</v>
      </c>
      <c r="G230" s="22" t="s">
        <v>835</v>
      </c>
      <c r="H230" s="23" t="s">
        <v>836</v>
      </c>
      <c r="I230" s="22" t="s">
        <v>57</v>
      </c>
      <c r="J230" s="22" t="s">
        <v>842</v>
      </c>
      <c r="L230" s="22" t="s">
        <v>513</v>
      </c>
      <c r="N230" s="22" t="s">
        <v>444</v>
      </c>
      <c r="O230" s="21" t="s">
        <v>829</v>
      </c>
      <c r="P230" s="21">
        <v>30160</v>
      </c>
      <c r="Q230" s="22">
        <v>16</v>
      </c>
      <c r="R230" s="22">
        <v>10</v>
      </c>
      <c r="S230" s="22">
        <v>10</v>
      </c>
      <c r="T230" s="22" t="s">
        <v>281</v>
      </c>
      <c r="U230" s="21">
        <v>1</v>
      </c>
      <c r="V230" s="22">
        <v>1</v>
      </c>
      <c r="W230" s="24">
        <f t="shared" si="47"/>
        <v>1571.2594387106371</v>
      </c>
      <c r="X230" s="24">
        <f t="shared" si="48"/>
        <v>837.33333333333337</v>
      </c>
      <c r="Y230" s="21">
        <v>1</v>
      </c>
      <c r="Z230" s="24">
        <f t="shared" si="44"/>
        <v>1571.2594387106371</v>
      </c>
      <c r="AA230" s="24">
        <f t="shared" si="45"/>
        <v>837.33333333333337</v>
      </c>
      <c r="AB230" s="21"/>
      <c r="AC230" s="21"/>
      <c r="AD230" s="21"/>
      <c r="AE230" s="21"/>
      <c r="AF230" s="21" t="s">
        <v>247</v>
      </c>
      <c r="AG230" s="21"/>
      <c r="AH230" s="24"/>
      <c r="AI230" s="24"/>
      <c r="AJ230" s="21">
        <v>837.7</v>
      </c>
      <c r="AK230" s="21">
        <v>16</v>
      </c>
      <c r="AL230" s="22" t="s">
        <v>161</v>
      </c>
      <c r="AM230" s="22">
        <v>0.11</v>
      </c>
      <c r="AN230" s="22" t="s">
        <v>713</v>
      </c>
      <c r="AO230" s="22" t="s">
        <v>713</v>
      </c>
      <c r="AP230" s="22" t="s">
        <v>673</v>
      </c>
      <c r="AQ230" s="22" t="str">
        <f t="shared" si="46"/>
        <v>Nanophytoplankton</v>
      </c>
      <c r="AR230" s="22">
        <v>1</v>
      </c>
      <c r="AS230" s="22">
        <v>1</v>
      </c>
      <c r="AT230" s="22">
        <v>0</v>
      </c>
      <c r="AU230" s="22">
        <v>0</v>
      </c>
      <c r="AV230" s="22">
        <v>0</v>
      </c>
      <c r="AW230" s="22">
        <v>0</v>
      </c>
      <c r="AX230" s="22">
        <v>1</v>
      </c>
      <c r="AY230" s="22">
        <v>0</v>
      </c>
    </row>
    <row r="231" spans="1:51">
      <c r="A231" s="21" t="s">
        <v>843</v>
      </c>
      <c r="B231" s="22" t="s">
        <v>663</v>
      </c>
      <c r="C231" s="23" t="s">
        <v>822</v>
      </c>
      <c r="D231" s="23" t="s">
        <v>823</v>
      </c>
      <c r="E231" s="23" t="s">
        <v>64</v>
      </c>
      <c r="F231" s="23" t="s">
        <v>824</v>
      </c>
      <c r="G231" s="22" t="s">
        <v>835</v>
      </c>
      <c r="H231" s="23" t="s">
        <v>836</v>
      </c>
      <c r="I231" s="22" t="s">
        <v>57</v>
      </c>
      <c r="J231" s="22" t="s">
        <v>844</v>
      </c>
      <c r="N231" s="22" t="s">
        <v>157</v>
      </c>
      <c r="O231" s="21" t="s">
        <v>829</v>
      </c>
      <c r="P231" s="21">
        <v>30120</v>
      </c>
      <c r="Q231" s="22">
        <v>28</v>
      </c>
      <c r="R231" s="22">
        <v>9</v>
      </c>
      <c r="S231" s="22">
        <v>9</v>
      </c>
      <c r="T231" s="22" t="s">
        <v>281</v>
      </c>
      <c r="U231" s="21">
        <v>1</v>
      </c>
      <c r="V231" s="22">
        <v>1</v>
      </c>
      <c r="W231" s="24">
        <f t="shared" si="47"/>
        <v>2464.0119946244799</v>
      </c>
      <c r="X231" s="24">
        <f t="shared" si="48"/>
        <v>1186.92</v>
      </c>
      <c r="Y231" s="21">
        <v>1</v>
      </c>
      <c r="Z231" s="24">
        <f t="shared" si="44"/>
        <v>2464.0119946244799</v>
      </c>
      <c r="AA231" s="24">
        <f t="shared" si="45"/>
        <v>1186.92</v>
      </c>
      <c r="AB231" s="21"/>
      <c r="AC231" s="21"/>
      <c r="AD231" s="21"/>
      <c r="AE231" s="21"/>
      <c r="AF231" s="21" t="s">
        <v>247</v>
      </c>
      <c r="AG231" s="21"/>
      <c r="AH231" s="24"/>
      <c r="AI231" s="24"/>
      <c r="AJ231" s="21">
        <v>1187.5</v>
      </c>
      <c r="AK231" s="21">
        <v>28</v>
      </c>
      <c r="AL231" s="22" t="s">
        <v>161</v>
      </c>
      <c r="AM231" s="22">
        <v>0.11</v>
      </c>
      <c r="AN231" s="22" t="s">
        <v>713</v>
      </c>
      <c r="AO231" s="22" t="s">
        <v>713</v>
      </c>
      <c r="AP231" s="22" t="s">
        <v>673</v>
      </c>
      <c r="AQ231" s="22" t="str">
        <f t="shared" si="46"/>
        <v>Microphytoplankton</v>
      </c>
      <c r="AR231" s="22">
        <v>1</v>
      </c>
      <c r="AS231" s="22">
        <v>1</v>
      </c>
      <c r="AT231" s="22">
        <v>0</v>
      </c>
      <c r="AU231" s="22">
        <v>0</v>
      </c>
      <c r="AV231" s="22">
        <v>0</v>
      </c>
      <c r="AW231" s="22">
        <v>0</v>
      </c>
      <c r="AX231" s="22">
        <v>1</v>
      </c>
      <c r="AY231" s="22">
        <v>0</v>
      </c>
    </row>
    <row r="232" spans="1:51">
      <c r="A232" s="21" t="s">
        <v>845</v>
      </c>
      <c r="B232" s="22" t="s">
        <v>663</v>
      </c>
      <c r="C232" s="23" t="s">
        <v>822</v>
      </c>
      <c r="D232" s="23" t="s">
        <v>823</v>
      </c>
      <c r="E232" s="23" t="s">
        <v>64</v>
      </c>
      <c r="F232" s="23" t="s">
        <v>824</v>
      </c>
      <c r="G232" s="22" t="s">
        <v>835</v>
      </c>
      <c r="H232" s="23" t="s">
        <v>836</v>
      </c>
      <c r="I232" s="22" t="s">
        <v>57</v>
      </c>
      <c r="J232" s="22" t="s">
        <v>846</v>
      </c>
      <c r="N232" s="22" t="s">
        <v>694</v>
      </c>
      <c r="O232" s="21" t="s">
        <v>829</v>
      </c>
      <c r="P232" s="22">
        <v>30105</v>
      </c>
      <c r="Q232" s="22">
        <f>(20+80)/2</f>
        <v>50</v>
      </c>
      <c r="R232" s="22">
        <f>(20+6)/2</f>
        <v>13</v>
      </c>
      <c r="S232" s="22">
        <f>(5+18)/2</f>
        <v>11.5</v>
      </c>
      <c r="T232" s="22" t="s">
        <v>159</v>
      </c>
      <c r="U232" s="21">
        <v>1</v>
      </c>
      <c r="V232" s="22">
        <v>1</v>
      </c>
      <c r="W232" s="24">
        <f t="shared" si="47"/>
        <v>5984.7415090968807</v>
      </c>
      <c r="X232" s="24">
        <f t="shared" si="48"/>
        <v>3911.9166666666661</v>
      </c>
      <c r="Y232" s="21">
        <v>1</v>
      </c>
      <c r="Z232" s="24">
        <f t="shared" si="44"/>
        <v>5984.7415090968807</v>
      </c>
      <c r="AA232" s="24">
        <f t="shared" si="45"/>
        <v>3911.9166666666661</v>
      </c>
      <c r="AB232" s="21"/>
      <c r="AC232" s="21"/>
      <c r="AD232" s="21"/>
      <c r="AE232" s="21"/>
      <c r="AF232" s="21" t="s">
        <v>247</v>
      </c>
      <c r="AG232" s="21"/>
      <c r="AH232" s="24"/>
      <c r="AI232" s="24"/>
      <c r="AJ232" s="21">
        <v>3911.9166666666661</v>
      </c>
      <c r="AK232" s="21">
        <v>50</v>
      </c>
      <c r="AL232" s="22" t="s">
        <v>847</v>
      </c>
      <c r="AM232" s="22">
        <v>0.11</v>
      </c>
      <c r="AN232" s="22" t="s">
        <v>713</v>
      </c>
      <c r="AO232" s="22" t="s">
        <v>713</v>
      </c>
      <c r="AP232" s="22" t="s">
        <v>673</v>
      </c>
      <c r="AQ232" s="22" t="str">
        <f t="shared" si="46"/>
        <v>Microphytoplankton</v>
      </c>
      <c r="AR232" s="22">
        <v>1</v>
      </c>
      <c r="AS232" s="22">
        <v>1</v>
      </c>
      <c r="AT232" s="22">
        <v>0</v>
      </c>
      <c r="AU232" s="22">
        <v>0</v>
      </c>
      <c r="AV232" s="22">
        <v>0</v>
      </c>
      <c r="AW232" s="22">
        <v>0</v>
      </c>
      <c r="AX232" s="22">
        <v>1</v>
      </c>
      <c r="AY232" s="22">
        <v>0</v>
      </c>
    </row>
    <row r="233" spans="1:51">
      <c r="A233" s="21" t="s">
        <v>848</v>
      </c>
      <c r="B233" s="22" t="s">
        <v>663</v>
      </c>
      <c r="C233" s="23" t="s">
        <v>822</v>
      </c>
      <c r="D233" s="23" t="s">
        <v>823</v>
      </c>
      <c r="E233" s="23" t="s">
        <v>64</v>
      </c>
      <c r="F233" s="23" t="s">
        <v>824</v>
      </c>
      <c r="G233" s="22" t="s">
        <v>835</v>
      </c>
      <c r="H233" s="23" t="s">
        <v>836</v>
      </c>
      <c r="I233" s="22" t="s">
        <v>57</v>
      </c>
      <c r="J233" s="22" t="s">
        <v>849</v>
      </c>
      <c r="N233" s="22" t="s">
        <v>850</v>
      </c>
      <c r="O233" s="21" t="s">
        <v>829</v>
      </c>
      <c r="P233" s="21">
        <v>30110</v>
      </c>
      <c r="Q233" s="22">
        <v>39</v>
      </c>
      <c r="R233" s="22">
        <v>14</v>
      </c>
      <c r="S233" s="22">
        <v>9</v>
      </c>
      <c r="T233" s="22" t="s">
        <v>281</v>
      </c>
      <c r="U233" s="21">
        <v>1</v>
      </c>
      <c r="V233" s="22">
        <v>1</v>
      </c>
      <c r="W233" s="24">
        <f t="shared" si="47"/>
        <v>4441.897280768475</v>
      </c>
      <c r="X233" s="24">
        <f t="shared" si="48"/>
        <v>2571.66</v>
      </c>
      <c r="Y233" s="21">
        <v>1</v>
      </c>
      <c r="Z233" s="24">
        <f t="shared" si="44"/>
        <v>4441.897280768475</v>
      </c>
      <c r="AA233" s="24">
        <f t="shared" si="45"/>
        <v>2571.66</v>
      </c>
      <c r="AB233" s="21"/>
      <c r="AC233" s="21"/>
      <c r="AD233" s="21"/>
      <c r="AE233" s="21"/>
      <c r="AF233" s="21" t="s">
        <v>247</v>
      </c>
      <c r="AG233" s="21"/>
      <c r="AH233" s="24"/>
      <c r="AI233" s="24"/>
      <c r="AJ233" s="21">
        <v>2573</v>
      </c>
      <c r="AK233" s="21">
        <v>39</v>
      </c>
      <c r="AL233" s="22" t="s">
        <v>161</v>
      </c>
      <c r="AM233" s="22">
        <v>0.11</v>
      </c>
      <c r="AN233" s="22" t="s">
        <v>713</v>
      </c>
      <c r="AO233" s="22" t="s">
        <v>713</v>
      </c>
      <c r="AP233" s="22" t="s">
        <v>673</v>
      </c>
      <c r="AQ233" s="22" t="str">
        <f t="shared" si="46"/>
        <v>Microphytoplankton</v>
      </c>
      <c r="AR233" s="22">
        <v>1</v>
      </c>
      <c r="AS233" s="22">
        <v>1</v>
      </c>
      <c r="AT233" s="22">
        <v>0</v>
      </c>
      <c r="AU233" s="22">
        <v>0</v>
      </c>
      <c r="AV233" s="22">
        <v>0</v>
      </c>
      <c r="AW233" s="22">
        <v>0</v>
      </c>
      <c r="AX233" s="22">
        <v>1</v>
      </c>
      <c r="AY233" s="22">
        <v>0</v>
      </c>
    </row>
    <row r="234" spans="1:51">
      <c r="A234" s="21" t="s">
        <v>851</v>
      </c>
      <c r="B234" s="22" t="s">
        <v>663</v>
      </c>
      <c r="C234" s="23" t="s">
        <v>822</v>
      </c>
      <c r="D234" s="23" t="s">
        <v>823</v>
      </c>
      <c r="E234" s="23" t="s">
        <v>64</v>
      </c>
      <c r="F234" s="23" t="s">
        <v>824</v>
      </c>
      <c r="G234" s="22" t="s">
        <v>835</v>
      </c>
      <c r="H234" s="23" t="s">
        <v>836</v>
      </c>
      <c r="I234" s="22" t="s">
        <v>57</v>
      </c>
      <c r="J234" s="22" t="s">
        <v>852</v>
      </c>
      <c r="N234" s="22" t="s">
        <v>853</v>
      </c>
      <c r="O234" s="21" t="s">
        <v>829</v>
      </c>
      <c r="P234" s="21">
        <v>30111</v>
      </c>
      <c r="Q234" s="22">
        <v>42</v>
      </c>
      <c r="R234" s="22">
        <v>18</v>
      </c>
      <c r="S234" s="22">
        <v>13</v>
      </c>
      <c r="T234" s="22" t="s">
        <v>159</v>
      </c>
      <c r="U234" s="21">
        <v>1</v>
      </c>
      <c r="V234" s="22">
        <v>1</v>
      </c>
      <c r="W234" s="24">
        <f t="shared" si="47"/>
        <v>6405.7715948716959</v>
      </c>
      <c r="X234" s="24">
        <f t="shared" si="48"/>
        <v>5143.32</v>
      </c>
      <c r="Y234" s="21">
        <v>1</v>
      </c>
      <c r="Z234" s="24">
        <f t="shared" si="44"/>
        <v>6405.7715948716959</v>
      </c>
      <c r="AA234" s="24">
        <f t="shared" si="45"/>
        <v>5143.32</v>
      </c>
      <c r="AB234" s="21"/>
      <c r="AC234" s="21"/>
      <c r="AD234" s="21"/>
      <c r="AE234" s="21"/>
      <c r="AF234" s="21" t="s">
        <v>247</v>
      </c>
      <c r="AG234" s="21"/>
      <c r="AH234" s="24"/>
      <c r="AI234" s="24"/>
      <c r="AJ234" s="21">
        <v>5143.32</v>
      </c>
      <c r="AK234" s="21">
        <v>42</v>
      </c>
      <c r="AL234" s="22" t="s">
        <v>847</v>
      </c>
      <c r="AM234" s="22">
        <v>0.11</v>
      </c>
      <c r="AN234" s="22" t="s">
        <v>713</v>
      </c>
      <c r="AO234" s="22" t="s">
        <v>713</v>
      </c>
      <c r="AP234" s="22" t="s">
        <v>673</v>
      </c>
      <c r="AQ234" s="22" t="str">
        <f t="shared" si="46"/>
        <v>Microphytoplankton</v>
      </c>
      <c r="AR234" s="22">
        <v>1</v>
      </c>
      <c r="AS234" s="22">
        <v>1</v>
      </c>
      <c r="AT234" s="22">
        <v>0</v>
      </c>
      <c r="AU234" s="22">
        <v>0</v>
      </c>
      <c r="AV234" s="22">
        <v>0</v>
      </c>
      <c r="AW234" s="22">
        <v>0</v>
      </c>
      <c r="AX234" s="22">
        <v>1</v>
      </c>
      <c r="AY234" s="22">
        <v>0</v>
      </c>
    </row>
    <row r="235" spans="1:51">
      <c r="A235" s="21" t="s">
        <v>854</v>
      </c>
      <c r="B235" s="22" t="s">
        <v>663</v>
      </c>
      <c r="C235" s="23" t="s">
        <v>822</v>
      </c>
      <c r="D235" s="23" t="s">
        <v>823</v>
      </c>
      <c r="E235" s="23" t="s">
        <v>64</v>
      </c>
      <c r="F235" s="23" t="s">
        <v>824</v>
      </c>
      <c r="G235" s="22" t="s">
        <v>835</v>
      </c>
      <c r="H235" s="23" t="s">
        <v>836</v>
      </c>
      <c r="I235" s="22" t="s">
        <v>57</v>
      </c>
      <c r="J235" s="22" t="s">
        <v>211</v>
      </c>
      <c r="M235" s="22" t="s">
        <v>1</v>
      </c>
      <c r="N235" s="22" t="s">
        <v>694</v>
      </c>
      <c r="O235" s="21" t="s">
        <v>829</v>
      </c>
      <c r="P235" s="21">
        <v>30100</v>
      </c>
      <c r="Q235" s="22">
        <v>22</v>
      </c>
      <c r="R235" s="22">
        <v>11</v>
      </c>
      <c r="S235" s="22">
        <v>9</v>
      </c>
      <c r="T235" s="22" t="s">
        <v>281</v>
      </c>
      <c r="U235" s="21">
        <v>1</v>
      </c>
      <c r="V235" s="22">
        <v>1</v>
      </c>
      <c r="W235" s="24">
        <f t="shared" si="47"/>
        <v>2160.6272333322695</v>
      </c>
      <c r="X235" s="24">
        <f t="shared" si="48"/>
        <v>1139.8200000000002</v>
      </c>
      <c r="Y235" s="21">
        <v>1</v>
      </c>
      <c r="Z235" s="24">
        <f t="shared" si="44"/>
        <v>2160.6272333322695</v>
      </c>
      <c r="AA235" s="24">
        <f t="shared" si="45"/>
        <v>1139.8200000000002</v>
      </c>
      <c r="AB235" s="21"/>
      <c r="AC235" s="21"/>
      <c r="AD235" s="21"/>
      <c r="AE235" s="21"/>
      <c r="AF235" s="21" t="s">
        <v>247</v>
      </c>
      <c r="AG235" s="21"/>
      <c r="AH235" s="24"/>
      <c r="AI235" s="24"/>
      <c r="AJ235" s="21">
        <v>1368.5</v>
      </c>
      <c r="AK235" s="21">
        <v>22</v>
      </c>
      <c r="AL235" s="22" t="s">
        <v>161</v>
      </c>
      <c r="AM235" s="22">
        <v>0.11</v>
      </c>
      <c r="AN235" s="22" t="s">
        <v>713</v>
      </c>
      <c r="AO235" s="22" t="s">
        <v>713</v>
      </c>
      <c r="AP235" s="22" t="s">
        <v>673</v>
      </c>
      <c r="AQ235" s="22" t="str">
        <f t="shared" si="46"/>
        <v>Microphytoplankton</v>
      </c>
      <c r="AR235" s="22">
        <v>1</v>
      </c>
      <c r="AS235" s="22">
        <v>1</v>
      </c>
      <c r="AT235" s="22">
        <v>0</v>
      </c>
      <c r="AU235" s="22">
        <v>0</v>
      </c>
      <c r="AV235" s="22">
        <v>0</v>
      </c>
      <c r="AW235" s="22">
        <v>0</v>
      </c>
      <c r="AX235" s="22">
        <v>1</v>
      </c>
      <c r="AY235" s="22">
        <v>0</v>
      </c>
    </row>
    <row r="236" spans="1:51">
      <c r="A236" s="21" t="s">
        <v>855</v>
      </c>
      <c r="B236" s="22" t="s">
        <v>663</v>
      </c>
      <c r="C236" s="23" t="s">
        <v>822</v>
      </c>
      <c r="D236" s="23" t="s">
        <v>823</v>
      </c>
      <c r="E236" s="23" t="s">
        <v>64</v>
      </c>
      <c r="F236" s="23" t="s">
        <v>824</v>
      </c>
      <c r="G236" s="22" t="s">
        <v>825</v>
      </c>
      <c r="H236" s="22" t="s">
        <v>856</v>
      </c>
      <c r="I236" s="22" t="s">
        <v>58</v>
      </c>
      <c r="J236" s="22" t="s">
        <v>586</v>
      </c>
      <c r="N236" s="22" t="s">
        <v>157</v>
      </c>
      <c r="O236" s="21" t="s">
        <v>829</v>
      </c>
      <c r="P236" s="21">
        <v>30210</v>
      </c>
      <c r="Q236" s="22">
        <v>14</v>
      </c>
      <c r="R236" s="22">
        <v>10</v>
      </c>
      <c r="S236" s="22">
        <v>8</v>
      </c>
      <c r="T236" s="22" t="s">
        <v>281</v>
      </c>
      <c r="U236" s="21">
        <v>1</v>
      </c>
      <c r="V236" s="22">
        <v>1</v>
      </c>
      <c r="W236" s="24">
        <f t="shared" si="47"/>
        <v>1244.1098047866894</v>
      </c>
      <c r="X236" s="24">
        <f t="shared" si="48"/>
        <v>586.13333333333333</v>
      </c>
      <c r="Y236" s="21">
        <v>1</v>
      </c>
      <c r="Z236" s="24">
        <f t="shared" si="44"/>
        <v>1244.1098047866894</v>
      </c>
      <c r="AA236" s="24">
        <f t="shared" si="45"/>
        <v>586.13333333333333</v>
      </c>
      <c r="AB236" s="21"/>
      <c r="AC236" s="21"/>
      <c r="AD236" s="21"/>
      <c r="AE236" s="21"/>
      <c r="AF236" s="21" t="s">
        <v>247</v>
      </c>
      <c r="AG236" s="21"/>
      <c r="AH236" s="24"/>
      <c r="AI236" s="24"/>
      <c r="AJ236" s="21">
        <v>527.79999999999995</v>
      </c>
      <c r="AK236" s="21">
        <v>14</v>
      </c>
      <c r="AL236" s="22" t="s">
        <v>161</v>
      </c>
      <c r="AM236" s="22">
        <v>0.11</v>
      </c>
      <c r="AO236" s="22" t="s">
        <v>830</v>
      </c>
      <c r="AP236" s="22" t="s">
        <v>673</v>
      </c>
      <c r="AQ236" s="22" t="str">
        <f t="shared" si="46"/>
        <v>Nanophytoplankton</v>
      </c>
      <c r="AR236" s="22">
        <v>1</v>
      </c>
      <c r="AS236" s="22">
        <v>1</v>
      </c>
      <c r="AT236" s="22">
        <v>0</v>
      </c>
      <c r="AU236" s="22">
        <v>0</v>
      </c>
      <c r="AV236" s="22">
        <v>0</v>
      </c>
      <c r="AW236" s="22">
        <v>0</v>
      </c>
      <c r="AX236" s="22">
        <v>1</v>
      </c>
      <c r="AY236" s="22">
        <v>0</v>
      </c>
    </row>
    <row r="237" spans="1:51">
      <c r="A237" s="21" t="s">
        <v>857</v>
      </c>
      <c r="B237" s="22" t="s">
        <v>663</v>
      </c>
      <c r="C237" s="23" t="s">
        <v>822</v>
      </c>
      <c r="D237" s="23" t="s">
        <v>823</v>
      </c>
      <c r="E237" s="23" t="s">
        <v>64</v>
      </c>
      <c r="F237" s="23" t="s">
        <v>824</v>
      </c>
      <c r="G237" s="22" t="s">
        <v>825</v>
      </c>
      <c r="H237" s="22" t="s">
        <v>856</v>
      </c>
      <c r="I237" s="22" t="s">
        <v>58</v>
      </c>
      <c r="J237" s="22" t="s">
        <v>586</v>
      </c>
      <c r="K237" s="22" t="s">
        <v>175</v>
      </c>
      <c r="L237" s="22" t="s">
        <v>858</v>
      </c>
      <c r="N237" s="22" t="s">
        <v>859</v>
      </c>
      <c r="O237" s="21" t="s">
        <v>829</v>
      </c>
      <c r="P237" s="21">
        <v>30220</v>
      </c>
      <c r="Q237" s="22">
        <v>9</v>
      </c>
      <c r="R237" s="22">
        <v>4.7</v>
      </c>
      <c r="S237" s="22">
        <v>4</v>
      </c>
      <c r="T237" s="22" t="s">
        <v>281</v>
      </c>
      <c r="U237" s="21">
        <v>1</v>
      </c>
      <c r="V237" s="22">
        <v>1</v>
      </c>
      <c r="W237" s="24">
        <f t="shared" si="47"/>
        <v>389.45670447278138</v>
      </c>
      <c r="X237" s="24">
        <f t="shared" si="48"/>
        <v>88.548000000000002</v>
      </c>
      <c r="Y237" s="21">
        <v>1</v>
      </c>
      <c r="Z237" s="24">
        <f t="shared" si="44"/>
        <v>389.45670447278138</v>
      </c>
      <c r="AA237" s="24">
        <f t="shared" si="45"/>
        <v>88.548000000000002</v>
      </c>
      <c r="AB237" s="21"/>
      <c r="AC237" s="21"/>
      <c r="AD237" s="21"/>
      <c r="AE237" s="21"/>
      <c r="AF237" s="21" t="s">
        <v>247</v>
      </c>
      <c r="AG237" s="21"/>
      <c r="AH237" s="24"/>
      <c r="AI237" s="24"/>
      <c r="AJ237" s="21">
        <v>70.900000000000006</v>
      </c>
      <c r="AK237" s="21">
        <v>9</v>
      </c>
      <c r="AL237" s="22" t="s">
        <v>161</v>
      </c>
      <c r="AM237" s="22">
        <v>0.11</v>
      </c>
      <c r="AO237" s="22" t="s">
        <v>830</v>
      </c>
      <c r="AP237" s="22" t="s">
        <v>626</v>
      </c>
      <c r="AQ237" s="22" t="str">
        <f t="shared" si="46"/>
        <v>Nanophytoplankton</v>
      </c>
      <c r="AR237" s="22">
        <v>1</v>
      </c>
      <c r="AS237" s="22">
        <v>1</v>
      </c>
      <c r="AT237" s="22">
        <v>0</v>
      </c>
      <c r="AU237" s="22">
        <v>0</v>
      </c>
      <c r="AV237" s="22">
        <v>0</v>
      </c>
      <c r="AW237" s="22">
        <v>0</v>
      </c>
      <c r="AX237" s="22">
        <v>1</v>
      </c>
      <c r="AY237" s="22">
        <v>0</v>
      </c>
    </row>
    <row r="238" spans="1:51">
      <c r="A238" s="21" t="s">
        <v>860</v>
      </c>
      <c r="B238" s="22" t="s">
        <v>663</v>
      </c>
      <c r="C238" s="23" t="s">
        <v>822</v>
      </c>
      <c r="D238" s="23" t="s">
        <v>823</v>
      </c>
      <c r="E238" s="23" t="s">
        <v>64</v>
      </c>
      <c r="F238" s="23" t="s">
        <v>824</v>
      </c>
      <c r="G238" s="22" t="s">
        <v>825</v>
      </c>
      <c r="H238" s="22" t="s">
        <v>856</v>
      </c>
      <c r="I238" s="22" t="s">
        <v>861</v>
      </c>
      <c r="J238" s="22" t="s">
        <v>586</v>
      </c>
      <c r="K238" s="22" t="s">
        <v>175</v>
      </c>
      <c r="L238" s="22" t="s">
        <v>858</v>
      </c>
      <c r="N238" s="22" t="s">
        <v>862</v>
      </c>
      <c r="O238" s="21" t="s">
        <v>829</v>
      </c>
      <c r="P238" s="21">
        <v>30221</v>
      </c>
      <c r="Q238" s="22">
        <v>9</v>
      </c>
      <c r="R238" s="22">
        <v>4.7</v>
      </c>
      <c r="S238" s="22">
        <v>4</v>
      </c>
      <c r="T238" s="22" t="s">
        <v>281</v>
      </c>
      <c r="U238" s="21">
        <v>1</v>
      </c>
      <c r="V238" s="22">
        <v>1</v>
      </c>
      <c r="W238" s="24">
        <f t="shared" si="47"/>
        <v>389.45670447278138</v>
      </c>
      <c r="X238" s="24">
        <f t="shared" si="48"/>
        <v>88.548000000000002</v>
      </c>
      <c r="Y238" s="21">
        <v>1</v>
      </c>
      <c r="Z238" s="24">
        <f t="shared" si="44"/>
        <v>389.45670447278138</v>
      </c>
      <c r="AA238" s="24">
        <f t="shared" si="45"/>
        <v>88.548000000000002</v>
      </c>
      <c r="AB238" s="21"/>
      <c r="AC238" s="21"/>
      <c r="AD238" s="21"/>
      <c r="AE238" s="21"/>
      <c r="AF238" s="21" t="s">
        <v>247</v>
      </c>
      <c r="AG238" s="21"/>
      <c r="AH238" s="24"/>
      <c r="AI238" s="24"/>
      <c r="AJ238" s="21">
        <v>70.900000000000006</v>
      </c>
      <c r="AK238" s="21">
        <v>9</v>
      </c>
      <c r="AL238" s="22" t="s">
        <v>161</v>
      </c>
      <c r="AM238" s="22">
        <v>0.11</v>
      </c>
      <c r="AO238" s="22" t="s">
        <v>830</v>
      </c>
      <c r="AP238" s="22" t="s">
        <v>626</v>
      </c>
      <c r="AQ238" s="22" t="str">
        <f t="shared" si="46"/>
        <v>Nanophytoplankton</v>
      </c>
      <c r="AR238" s="22">
        <v>1</v>
      </c>
      <c r="AS238" s="22">
        <v>1</v>
      </c>
      <c r="AT238" s="22">
        <v>0</v>
      </c>
      <c r="AU238" s="22">
        <v>0</v>
      </c>
      <c r="AV238" s="22">
        <v>0</v>
      </c>
      <c r="AW238" s="22">
        <v>0</v>
      </c>
      <c r="AX238" s="22">
        <v>1</v>
      </c>
      <c r="AY238" s="22">
        <v>0</v>
      </c>
    </row>
    <row r="239" spans="1:51">
      <c r="A239" s="21" t="s">
        <v>863</v>
      </c>
      <c r="B239" s="22" t="s">
        <v>663</v>
      </c>
      <c r="C239" s="23" t="s">
        <v>822</v>
      </c>
      <c r="D239" s="23" t="s">
        <v>823</v>
      </c>
      <c r="E239" s="23" t="s">
        <v>64</v>
      </c>
      <c r="F239" s="23" t="s">
        <v>824</v>
      </c>
      <c r="G239" s="22" t="s">
        <v>825</v>
      </c>
      <c r="H239" s="22" t="s">
        <v>856</v>
      </c>
      <c r="I239" s="22" t="s">
        <v>861</v>
      </c>
      <c r="J239" s="22" t="s">
        <v>864</v>
      </c>
      <c r="N239" s="22" t="s">
        <v>865</v>
      </c>
      <c r="O239" s="21" t="s">
        <v>829</v>
      </c>
      <c r="P239" s="21">
        <v>30222</v>
      </c>
      <c r="Q239" s="22">
        <v>14</v>
      </c>
      <c r="R239" s="22">
        <v>10</v>
      </c>
      <c r="S239" s="22">
        <v>8</v>
      </c>
      <c r="T239" s="22" t="s">
        <v>281</v>
      </c>
      <c r="U239" s="21">
        <v>1</v>
      </c>
      <c r="V239" s="22">
        <v>1</v>
      </c>
      <c r="W239" s="24">
        <f t="shared" si="47"/>
        <v>1244.1098047866894</v>
      </c>
      <c r="X239" s="24">
        <f t="shared" si="48"/>
        <v>586.13333333333333</v>
      </c>
      <c r="Y239" s="21">
        <v>1</v>
      </c>
      <c r="Z239" s="24">
        <f t="shared" si="44"/>
        <v>1244.1098047866894</v>
      </c>
      <c r="AA239" s="24">
        <f t="shared" si="45"/>
        <v>586.13333333333333</v>
      </c>
      <c r="AB239" s="21"/>
      <c r="AC239" s="21"/>
      <c r="AD239" s="21"/>
      <c r="AE239" s="21"/>
      <c r="AF239" s="21" t="s">
        <v>247</v>
      </c>
      <c r="AG239" s="21"/>
      <c r="AH239" s="24"/>
      <c r="AI239" s="24"/>
      <c r="AJ239" s="21">
        <v>527.79999999999995</v>
      </c>
      <c r="AK239" s="21">
        <v>14</v>
      </c>
      <c r="AL239" s="22" t="s">
        <v>161</v>
      </c>
      <c r="AM239" s="22">
        <v>0.11</v>
      </c>
      <c r="AO239" s="22" t="s">
        <v>830</v>
      </c>
      <c r="AP239" s="22" t="s">
        <v>673</v>
      </c>
      <c r="AQ239" s="22" t="str">
        <f t="shared" si="46"/>
        <v>Nanophytoplankton</v>
      </c>
      <c r="AR239" s="22">
        <v>1</v>
      </c>
      <c r="AS239" s="22">
        <v>1</v>
      </c>
      <c r="AT239" s="22">
        <v>0</v>
      </c>
      <c r="AU239" s="22">
        <v>0</v>
      </c>
      <c r="AV239" s="22">
        <v>0</v>
      </c>
      <c r="AW239" s="22">
        <v>0</v>
      </c>
      <c r="AX239" s="22">
        <v>1</v>
      </c>
      <c r="AY239" s="22">
        <v>0</v>
      </c>
    </row>
    <row r="240" spans="1:51">
      <c r="A240" s="21" t="s">
        <v>866</v>
      </c>
      <c r="B240" s="22" t="s">
        <v>663</v>
      </c>
      <c r="C240" s="23" t="s">
        <v>664</v>
      </c>
      <c r="D240" s="23" t="s">
        <v>665</v>
      </c>
      <c r="E240" s="23" t="s">
        <v>867</v>
      </c>
      <c r="F240" s="22" t="s">
        <v>868</v>
      </c>
      <c r="G240" s="23" t="s">
        <v>869</v>
      </c>
      <c r="H240" s="22" t="s">
        <v>870</v>
      </c>
      <c r="I240" s="22" t="s">
        <v>871</v>
      </c>
      <c r="J240" s="22" t="s">
        <v>872</v>
      </c>
      <c r="N240" s="22" t="s">
        <v>694</v>
      </c>
      <c r="O240" s="22" t="s">
        <v>873</v>
      </c>
      <c r="P240" s="21">
        <v>40210</v>
      </c>
      <c r="Q240" s="21">
        <v>157</v>
      </c>
      <c r="R240" s="21">
        <v>12</v>
      </c>
      <c r="S240" s="21">
        <v>12</v>
      </c>
      <c r="T240" s="21" t="s">
        <v>874</v>
      </c>
      <c r="U240" s="21">
        <v>0.5</v>
      </c>
      <c r="V240" s="21">
        <v>0.5</v>
      </c>
      <c r="W240" s="24">
        <f t="shared" si="47"/>
        <v>36738.94689662115</v>
      </c>
      <c r="X240" s="24">
        <f>3.14/12*R240*S240*Q240*V240</f>
        <v>2957.8799999999992</v>
      </c>
      <c r="Y240" s="21">
        <v>1</v>
      </c>
      <c r="Z240" s="24">
        <f t="shared" si="44"/>
        <v>36738.94689662115</v>
      </c>
      <c r="AA240" s="24">
        <f t="shared" si="45"/>
        <v>2957.8799999999992</v>
      </c>
      <c r="AB240" s="21"/>
      <c r="AC240" s="21"/>
      <c r="AD240" s="21"/>
      <c r="AE240" s="21"/>
      <c r="AF240" s="21" t="s">
        <v>247</v>
      </c>
      <c r="AG240" s="21"/>
      <c r="AH240" s="24"/>
      <c r="AI240" s="24"/>
      <c r="AJ240" s="21">
        <v>5915.7599999999984</v>
      </c>
      <c r="AK240" s="21">
        <v>157</v>
      </c>
      <c r="AL240" s="22" t="s">
        <v>875</v>
      </c>
      <c r="AM240" s="22">
        <v>0.11</v>
      </c>
      <c r="AN240" s="22" t="s">
        <v>876</v>
      </c>
      <c r="AO240" s="22" t="s">
        <v>876</v>
      </c>
      <c r="AP240" s="22" t="s">
        <v>673</v>
      </c>
      <c r="AQ240" s="22" t="str">
        <f t="shared" si="46"/>
        <v>Microphytoplankton</v>
      </c>
      <c r="AR240" s="22">
        <v>1</v>
      </c>
      <c r="AS240" s="22">
        <v>1</v>
      </c>
      <c r="AT240" s="22">
        <v>0</v>
      </c>
      <c r="AU240" s="22">
        <v>0</v>
      </c>
      <c r="AV240" s="22">
        <v>0</v>
      </c>
      <c r="AW240" s="22">
        <v>0</v>
      </c>
      <c r="AX240" s="22">
        <v>1</v>
      </c>
      <c r="AY240" s="22">
        <v>0</v>
      </c>
    </row>
    <row r="241" spans="1:51">
      <c r="A241" s="22" t="s">
        <v>877</v>
      </c>
      <c r="B241" s="22" t="s">
        <v>663</v>
      </c>
      <c r="C241" s="23" t="s">
        <v>664</v>
      </c>
      <c r="D241" s="23" t="s">
        <v>665</v>
      </c>
      <c r="E241" s="23" t="s">
        <v>867</v>
      </c>
      <c r="F241" s="22" t="s">
        <v>868</v>
      </c>
      <c r="G241" s="23" t="s">
        <v>869</v>
      </c>
      <c r="H241" s="22" t="s">
        <v>870</v>
      </c>
      <c r="I241" s="22" t="s">
        <v>871</v>
      </c>
      <c r="J241" s="22" t="s">
        <v>878</v>
      </c>
      <c r="L241" s="22" t="s">
        <v>513</v>
      </c>
      <c r="N241" s="22" t="s">
        <v>879</v>
      </c>
      <c r="O241" s="22" t="s">
        <v>873</v>
      </c>
      <c r="P241" s="22">
        <v>40211</v>
      </c>
      <c r="Q241" s="22">
        <v>65</v>
      </c>
      <c r="R241" s="22">
        <v>11</v>
      </c>
      <c r="S241" s="22">
        <v>10</v>
      </c>
      <c r="T241" s="22" t="s">
        <v>281</v>
      </c>
      <c r="U241" s="21">
        <v>0.5</v>
      </c>
      <c r="V241" s="21">
        <v>0.5</v>
      </c>
      <c r="W241" s="24">
        <f t="shared" si="47"/>
        <v>13326.053234629146</v>
      </c>
      <c r="X241" s="24">
        <f t="shared" ref="X241:X270" si="49">3.14/6*Q241*R241*S241*U241</f>
        <v>1870.9166666666667</v>
      </c>
      <c r="Y241" s="21">
        <v>1</v>
      </c>
      <c r="Z241" s="24">
        <f t="shared" si="44"/>
        <v>13326.053234629146</v>
      </c>
      <c r="AA241" s="24">
        <f t="shared" si="45"/>
        <v>1870.9166666666667</v>
      </c>
      <c r="AE241" s="21"/>
      <c r="AF241" s="21" t="s">
        <v>247</v>
      </c>
      <c r="AG241" s="21"/>
      <c r="AH241" s="24"/>
      <c r="AI241" s="24"/>
      <c r="AJ241" s="21">
        <v>2058.0083333333332</v>
      </c>
      <c r="AK241" s="21">
        <v>65</v>
      </c>
      <c r="AL241" s="22" t="s">
        <v>161</v>
      </c>
      <c r="AM241" s="22">
        <v>0.11</v>
      </c>
      <c r="AN241" s="22" t="s">
        <v>876</v>
      </c>
      <c r="AO241" s="22" t="s">
        <v>876</v>
      </c>
      <c r="AP241" s="22" t="s">
        <v>673</v>
      </c>
      <c r="AQ241" s="22" t="str">
        <f t="shared" si="46"/>
        <v>Microphytoplankton</v>
      </c>
      <c r="AR241" s="22">
        <v>1</v>
      </c>
      <c r="AS241" s="22">
        <v>1</v>
      </c>
      <c r="AT241" s="22">
        <v>0</v>
      </c>
      <c r="AU241" s="22">
        <v>0</v>
      </c>
      <c r="AV241" s="22">
        <v>0</v>
      </c>
      <c r="AW241" s="22">
        <v>0</v>
      </c>
      <c r="AX241" s="22">
        <v>1</v>
      </c>
      <c r="AY241" s="22">
        <v>0</v>
      </c>
    </row>
    <row r="242" spans="1:51">
      <c r="A242" s="22" t="s">
        <v>880</v>
      </c>
      <c r="B242" s="22" t="s">
        <v>663</v>
      </c>
      <c r="C242" s="23" t="s">
        <v>664</v>
      </c>
      <c r="D242" s="23" t="s">
        <v>665</v>
      </c>
      <c r="E242" s="23" t="s">
        <v>867</v>
      </c>
      <c r="F242" s="22" t="s">
        <v>868</v>
      </c>
      <c r="G242" s="23" t="s">
        <v>869</v>
      </c>
      <c r="H242" s="22" t="s">
        <v>870</v>
      </c>
      <c r="I242" s="22" t="s">
        <v>871</v>
      </c>
      <c r="J242" s="22" t="s">
        <v>881</v>
      </c>
      <c r="N242" s="22" t="s">
        <v>882</v>
      </c>
      <c r="O242" s="22" t="s">
        <v>873</v>
      </c>
      <c r="P242" s="22">
        <v>40212</v>
      </c>
      <c r="Q242" s="22">
        <v>30</v>
      </c>
      <c r="R242" s="22">
        <v>13.5</v>
      </c>
      <c r="S242" s="22">
        <v>10</v>
      </c>
      <c r="T242" s="22" t="s">
        <v>281</v>
      </c>
      <c r="U242" s="21">
        <v>0.5</v>
      </c>
      <c r="V242" s="21">
        <v>0.5</v>
      </c>
      <c r="W242" s="24">
        <f t="shared" si="47"/>
        <v>6937.0138978444711</v>
      </c>
      <c r="X242" s="24">
        <f t="shared" si="49"/>
        <v>1059.75</v>
      </c>
      <c r="Y242" s="21">
        <v>1</v>
      </c>
      <c r="Z242" s="24">
        <f t="shared" si="44"/>
        <v>6937.0138978444711</v>
      </c>
      <c r="AA242" s="24">
        <f t="shared" si="45"/>
        <v>1059.75</v>
      </c>
      <c r="AE242" s="21"/>
      <c r="AF242" s="21" t="s">
        <v>247</v>
      </c>
      <c r="AG242" s="21"/>
      <c r="AH242" s="24"/>
      <c r="AI242" s="24"/>
      <c r="AJ242" s="21">
        <v>1430.6624999999999</v>
      </c>
      <c r="AK242" s="21">
        <v>30</v>
      </c>
      <c r="AL242" s="22" t="s">
        <v>161</v>
      </c>
      <c r="AM242" s="22">
        <v>0.11</v>
      </c>
      <c r="AN242" s="22" t="s">
        <v>876</v>
      </c>
      <c r="AO242" s="22" t="s">
        <v>876</v>
      </c>
      <c r="AP242" s="22" t="s">
        <v>673</v>
      </c>
      <c r="AQ242" s="22" t="str">
        <f t="shared" si="46"/>
        <v>Microphytoplankton</v>
      </c>
      <c r="AR242" s="22">
        <v>1</v>
      </c>
      <c r="AS242" s="22">
        <v>1</v>
      </c>
      <c r="AT242" s="22">
        <v>0</v>
      </c>
      <c r="AU242" s="22">
        <v>0</v>
      </c>
      <c r="AV242" s="22">
        <v>0</v>
      </c>
      <c r="AW242" s="22">
        <v>0</v>
      </c>
      <c r="AX242" s="22">
        <v>1</v>
      </c>
      <c r="AY242" s="22">
        <v>0</v>
      </c>
    </row>
    <row r="243" spans="1:51">
      <c r="A243" s="22" t="s">
        <v>883</v>
      </c>
      <c r="B243" s="22" t="s">
        <v>663</v>
      </c>
      <c r="C243" s="23" t="s">
        <v>664</v>
      </c>
      <c r="D243" s="23" t="s">
        <v>665</v>
      </c>
      <c r="E243" s="23" t="s">
        <v>867</v>
      </c>
      <c r="F243" s="22" t="s">
        <v>868</v>
      </c>
      <c r="G243" s="23" t="s">
        <v>869</v>
      </c>
      <c r="H243" s="22" t="s">
        <v>870</v>
      </c>
      <c r="I243" s="22" t="s">
        <v>871</v>
      </c>
      <c r="J243" s="22" t="s">
        <v>884</v>
      </c>
      <c r="N243" s="22" t="s">
        <v>885</v>
      </c>
      <c r="O243" s="22" t="s">
        <v>873</v>
      </c>
      <c r="P243" s="22">
        <v>40213</v>
      </c>
      <c r="Q243" s="22">
        <v>248.5</v>
      </c>
      <c r="R243" s="22">
        <v>24</v>
      </c>
      <c r="S243" s="22">
        <v>15</v>
      </c>
      <c r="T243" s="22" t="s">
        <v>281</v>
      </c>
      <c r="U243" s="21">
        <v>0.5</v>
      </c>
      <c r="V243" s="21">
        <v>0.5</v>
      </c>
      <c r="W243" s="24">
        <f t="shared" si="47"/>
        <v>95991.286528257449</v>
      </c>
      <c r="X243" s="24">
        <f t="shared" si="49"/>
        <v>23408.699999999997</v>
      </c>
      <c r="Y243" s="21">
        <v>1</v>
      </c>
      <c r="Z243" s="24">
        <f t="shared" si="44"/>
        <v>95991.286528257449</v>
      </c>
      <c r="AA243" s="24">
        <f t="shared" si="45"/>
        <v>23408.699999999997</v>
      </c>
      <c r="AE243" s="21"/>
      <c r="AF243" s="21" t="s">
        <v>247</v>
      </c>
      <c r="AG243" s="21"/>
      <c r="AH243" s="24"/>
      <c r="AI243" s="24"/>
      <c r="AJ243" s="21">
        <v>37453.919999999998</v>
      </c>
      <c r="AK243" s="21">
        <v>248.5</v>
      </c>
      <c r="AL243" s="22" t="s">
        <v>161</v>
      </c>
      <c r="AM243" s="22">
        <v>0.11</v>
      </c>
      <c r="AN243" s="22" t="s">
        <v>876</v>
      </c>
      <c r="AO243" s="22" t="s">
        <v>876</v>
      </c>
      <c r="AP243" s="22" t="s">
        <v>673</v>
      </c>
      <c r="AQ243" s="22" t="str">
        <f t="shared" si="46"/>
        <v>Microphytoplankton</v>
      </c>
      <c r="AR243" s="22">
        <v>1</v>
      </c>
      <c r="AS243" s="22">
        <v>1</v>
      </c>
      <c r="AT243" s="22">
        <v>0</v>
      </c>
      <c r="AU243" s="22">
        <v>0</v>
      </c>
      <c r="AV243" s="22">
        <v>0</v>
      </c>
      <c r="AW243" s="22">
        <v>0</v>
      </c>
      <c r="AX243" s="22">
        <v>1</v>
      </c>
      <c r="AY243" s="22">
        <v>0</v>
      </c>
    </row>
    <row r="244" spans="1:51">
      <c r="A244" s="22" t="s">
        <v>886</v>
      </c>
      <c r="B244" s="22" t="s">
        <v>663</v>
      </c>
      <c r="C244" s="23" t="s">
        <v>664</v>
      </c>
      <c r="D244" s="23" t="s">
        <v>665</v>
      </c>
      <c r="E244" s="23" t="s">
        <v>867</v>
      </c>
      <c r="F244" s="22" t="s">
        <v>868</v>
      </c>
      <c r="G244" s="23" t="s">
        <v>869</v>
      </c>
      <c r="H244" s="22" t="s">
        <v>870</v>
      </c>
      <c r="I244" s="22" t="s">
        <v>871</v>
      </c>
      <c r="J244" s="22" t="s">
        <v>887</v>
      </c>
      <c r="N244" s="22" t="s">
        <v>888</v>
      </c>
      <c r="O244" s="22" t="s">
        <v>873</v>
      </c>
      <c r="P244" s="22">
        <v>40214</v>
      </c>
      <c r="Q244" s="22">
        <v>66</v>
      </c>
      <c r="R244" s="22">
        <v>16.5</v>
      </c>
      <c r="S244" s="22">
        <v>15</v>
      </c>
      <c r="T244" s="22" t="s">
        <v>281</v>
      </c>
      <c r="U244" s="21">
        <v>0.5</v>
      </c>
      <c r="V244" s="21">
        <v>0.5</v>
      </c>
      <c r="W244" s="24">
        <f t="shared" si="47"/>
        <v>20296.219837894692</v>
      </c>
      <c r="X244" s="24">
        <f t="shared" si="49"/>
        <v>4274.3249999999998</v>
      </c>
      <c r="Y244" s="21">
        <v>1</v>
      </c>
      <c r="Z244" s="24">
        <f t="shared" si="44"/>
        <v>20296.219837894692</v>
      </c>
      <c r="AA244" s="24">
        <f t="shared" si="45"/>
        <v>4274.3249999999998</v>
      </c>
      <c r="AE244" s="21"/>
      <c r="AF244" s="21" t="s">
        <v>247</v>
      </c>
      <c r="AG244" s="21"/>
      <c r="AH244" s="24"/>
      <c r="AI244" s="24"/>
      <c r="AJ244" s="21">
        <v>4701.7574999999997</v>
      </c>
      <c r="AK244" s="21">
        <v>66</v>
      </c>
      <c r="AL244" s="22" t="s">
        <v>161</v>
      </c>
      <c r="AM244" s="22">
        <v>0.11</v>
      </c>
      <c r="AN244" s="22" t="s">
        <v>876</v>
      </c>
      <c r="AO244" s="22" t="s">
        <v>876</v>
      </c>
      <c r="AP244" s="22" t="s">
        <v>673</v>
      </c>
      <c r="AQ244" s="22" t="str">
        <f t="shared" si="46"/>
        <v>Microphytoplankton</v>
      </c>
      <c r="AR244" s="22">
        <v>1</v>
      </c>
      <c r="AS244" s="22">
        <v>1</v>
      </c>
      <c r="AT244" s="22">
        <v>0</v>
      </c>
      <c r="AU244" s="22">
        <v>0</v>
      </c>
      <c r="AV244" s="22">
        <v>0</v>
      </c>
      <c r="AW244" s="22">
        <v>0</v>
      </c>
      <c r="AX244" s="22">
        <v>1</v>
      </c>
      <c r="AY244" s="22">
        <v>0</v>
      </c>
    </row>
    <row r="245" spans="1:51">
      <c r="A245" s="22" t="s">
        <v>889</v>
      </c>
      <c r="B245" s="22" t="s">
        <v>663</v>
      </c>
      <c r="C245" s="23" t="s">
        <v>664</v>
      </c>
      <c r="D245" s="23" t="s">
        <v>665</v>
      </c>
      <c r="E245" s="23" t="s">
        <v>867</v>
      </c>
      <c r="F245" s="22" t="s">
        <v>868</v>
      </c>
      <c r="G245" s="23" t="s">
        <v>869</v>
      </c>
      <c r="H245" s="22" t="s">
        <v>870</v>
      </c>
      <c r="I245" s="22" t="s">
        <v>871</v>
      </c>
      <c r="J245" s="22" t="s">
        <v>890</v>
      </c>
      <c r="N245" s="22" t="s">
        <v>891</v>
      </c>
      <c r="O245" s="22" t="s">
        <v>873</v>
      </c>
      <c r="P245" s="22">
        <v>40215</v>
      </c>
      <c r="Q245" s="22">
        <v>120</v>
      </c>
      <c r="R245" s="22">
        <v>45</v>
      </c>
      <c r="S245" s="22">
        <v>15</v>
      </c>
      <c r="T245" s="22" t="s">
        <v>281</v>
      </c>
      <c r="U245" s="21">
        <v>0.5</v>
      </c>
      <c r="V245" s="21">
        <v>0.5</v>
      </c>
      <c r="W245" s="24">
        <f t="shared" si="47"/>
        <v>75425.675685571405</v>
      </c>
      <c r="X245" s="24">
        <f t="shared" si="49"/>
        <v>21195</v>
      </c>
      <c r="Y245" s="21">
        <v>1</v>
      </c>
      <c r="Z245" s="24">
        <f t="shared" si="44"/>
        <v>75425.675685571405</v>
      </c>
      <c r="AA245" s="24">
        <f t="shared" si="45"/>
        <v>21195</v>
      </c>
      <c r="AE245" s="21"/>
      <c r="AF245" s="21" t="s">
        <v>247</v>
      </c>
      <c r="AG245" s="21"/>
      <c r="AH245" s="24"/>
      <c r="AI245" s="24"/>
      <c r="AJ245" s="21">
        <v>63585</v>
      </c>
      <c r="AK245" s="21">
        <v>120</v>
      </c>
      <c r="AL245" s="22" t="s">
        <v>161</v>
      </c>
      <c r="AM245" s="22">
        <v>0.11</v>
      </c>
      <c r="AN245" s="22" t="s">
        <v>876</v>
      </c>
      <c r="AO245" s="22" t="s">
        <v>876</v>
      </c>
      <c r="AP245" s="22" t="s">
        <v>673</v>
      </c>
      <c r="AQ245" s="22" t="str">
        <f t="shared" si="46"/>
        <v>Microphytoplankton</v>
      </c>
      <c r="AR245" s="22">
        <v>1</v>
      </c>
      <c r="AS245" s="22">
        <v>1</v>
      </c>
      <c r="AT245" s="22">
        <v>0</v>
      </c>
      <c r="AU245" s="22">
        <v>0</v>
      </c>
      <c r="AV245" s="22">
        <v>0</v>
      </c>
      <c r="AW245" s="22">
        <v>0</v>
      </c>
      <c r="AX245" s="22">
        <v>1</v>
      </c>
      <c r="AY245" s="22">
        <v>0</v>
      </c>
    </row>
    <row r="246" spans="1:51">
      <c r="A246" s="21" t="s">
        <v>892</v>
      </c>
      <c r="B246" s="22" t="s">
        <v>663</v>
      </c>
      <c r="C246" s="23" t="s">
        <v>664</v>
      </c>
      <c r="D246" s="23" t="s">
        <v>665</v>
      </c>
      <c r="E246" s="23" t="s">
        <v>867</v>
      </c>
      <c r="F246" s="22" t="s">
        <v>868</v>
      </c>
      <c r="G246" s="23" t="s">
        <v>869</v>
      </c>
      <c r="H246" s="22" t="s">
        <v>870</v>
      </c>
      <c r="I246" s="22" t="s">
        <v>871</v>
      </c>
      <c r="J246" s="22" t="s">
        <v>211</v>
      </c>
      <c r="M246" s="22" t="s">
        <v>1</v>
      </c>
      <c r="N246" s="22" t="s">
        <v>694</v>
      </c>
      <c r="O246" s="22" t="s">
        <v>873</v>
      </c>
      <c r="P246" s="21">
        <v>40200</v>
      </c>
      <c r="Q246" s="21">
        <v>40</v>
      </c>
      <c r="R246" s="21">
        <v>7</v>
      </c>
      <c r="S246" s="21">
        <v>7</v>
      </c>
      <c r="T246" s="22" t="s">
        <v>281</v>
      </c>
      <c r="U246" s="21">
        <v>1</v>
      </c>
      <c r="V246" s="22">
        <v>1</v>
      </c>
      <c r="W246" s="24">
        <f t="shared" si="47"/>
        <v>2734.2080707835198</v>
      </c>
      <c r="X246" s="24">
        <f t="shared" si="49"/>
        <v>1025.7333333333333</v>
      </c>
      <c r="Y246" s="21">
        <v>1</v>
      </c>
      <c r="Z246" s="24">
        <f t="shared" si="44"/>
        <v>2734.2080707835198</v>
      </c>
      <c r="AA246" s="24">
        <f t="shared" si="45"/>
        <v>1025.7333333333333</v>
      </c>
      <c r="AB246" s="21"/>
      <c r="AC246" s="21"/>
      <c r="AD246" s="21"/>
      <c r="AE246" s="21"/>
      <c r="AF246" s="21" t="s">
        <v>247</v>
      </c>
      <c r="AG246" s="21"/>
      <c r="AH246" s="24"/>
      <c r="AI246" s="24"/>
      <c r="AJ246" s="21">
        <v>1026.3</v>
      </c>
      <c r="AK246" s="21">
        <v>40</v>
      </c>
      <c r="AL246" s="22" t="s">
        <v>161</v>
      </c>
      <c r="AM246" s="22">
        <v>0.11</v>
      </c>
      <c r="AN246" s="22" t="s">
        <v>876</v>
      </c>
      <c r="AO246" s="22" t="s">
        <v>876</v>
      </c>
      <c r="AP246" s="22" t="s">
        <v>673</v>
      </c>
      <c r="AQ246" s="22" t="str">
        <f t="shared" si="46"/>
        <v>Microphytoplankton</v>
      </c>
      <c r="AR246" s="22">
        <v>1</v>
      </c>
      <c r="AS246" s="22">
        <v>1</v>
      </c>
      <c r="AT246" s="22">
        <v>0</v>
      </c>
      <c r="AU246" s="22">
        <v>0</v>
      </c>
      <c r="AV246" s="22">
        <v>0</v>
      </c>
      <c r="AW246" s="22">
        <v>0</v>
      </c>
      <c r="AX246" s="22">
        <v>1</v>
      </c>
      <c r="AY246" s="22">
        <v>0</v>
      </c>
    </row>
    <row r="247" spans="1:51">
      <c r="A247" s="22" t="s">
        <v>893</v>
      </c>
      <c r="B247" s="22" t="s">
        <v>663</v>
      </c>
      <c r="C247" s="23" t="s">
        <v>664</v>
      </c>
      <c r="D247" s="23" t="s">
        <v>665</v>
      </c>
      <c r="E247" s="23" t="s">
        <v>867</v>
      </c>
      <c r="F247" s="22" t="s">
        <v>868</v>
      </c>
      <c r="G247" s="23" t="s">
        <v>869</v>
      </c>
      <c r="H247" s="22" t="s">
        <v>870</v>
      </c>
      <c r="I247" s="22" t="s">
        <v>871</v>
      </c>
      <c r="J247" s="22" t="s">
        <v>894</v>
      </c>
      <c r="N247" s="22" t="s">
        <v>895</v>
      </c>
      <c r="O247" s="22" t="s">
        <v>873</v>
      </c>
      <c r="P247" s="22">
        <v>40216</v>
      </c>
      <c r="Q247" s="22">
        <v>180</v>
      </c>
      <c r="R247" s="22">
        <v>17</v>
      </c>
      <c r="S247" s="22">
        <v>10</v>
      </c>
      <c r="T247" s="22" t="s">
        <v>281</v>
      </c>
      <c r="U247" s="21">
        <v>0.5</v>
      </c>
      <c r="V247" s="21">
        <v>0.5</v>
      </c>
      <c r="W247" s="24">
        <f t="shared" si="47"/>
        <v>48337.247619493726</v>
      </c>
      <c r="X247" s="24">
        <f t="shared" si="49"/>
        <v>8007</v>
      </c>
      <c r="Y247" s="21">
        <v>1</v>
      </c>
      <c r="Z247" s="24">
        <f t="shared" si="44"/>
        <v>48337.247619493726</v>
      </c>
      <c r="AA247" s="24">
        <f t="shared" si="45"/>
        <v>8007</v>
      </c>
      <c r="AE247" s="21"/>
      <c r="AF247" s="21" t="s">
        <v>247</v>
      </c>
      <c r="AG247" s="21"/>
      <c r="AH247" s="24"/>
      <c r="AI247" s="24"/>
      <c r="AJ247" s="21">
        <v>13611.900000000001</v>
      </c>
      <c r="AK247" s="21">
        <v>180</v>
      </c>
      <c r="AL247" s="22" t="s">
        <v>161</v>
      </c>
      <c r="AM247" s="22">
        <v>0.11</v>
      </c>
      <c r="AN247" s="22" t="s">
        <v>876</v>
      </c>
      <c r="AO247" s="22" t="s">
        <v>876</v>
      </c>
      <c r="AP247" s="22" t="s">
        <v>673</v>
      </c>
      <c r="AQ247" s="22" t="str">
        <f t="shared" si="46"/>
        <v>Microphytoplankton</v>
      </c>
      <c r="AR247" s="22">
        <v>1</v>
      </c>
      <c r="AS247" s="22">
        <v>1</v>
      </c>
      <c r="AT247" s="22">
        <v>0</v>
      </c>
      <c r="AU247" s="22">
        <v>0</v>
      </c>
      <c r="AV247" s="22">
        <v>0</v>
      </c>
      <c r="AW247" s="22">
        <v>0</v>
      </c>
      <c r="AX247" s="22">
        <v>1</v>
      </c>
      <c r="AY247" s="22">
        <v>0</v>
      </c>
    </row>
    <row r="248" spans="1:51">
      <c r="A248" s="21" t="s">
        <v>896</v>
      </c>
      <c r="B248" s="22" t="s">
        <v>663</v>
      </c>
      <c r="C248" s="23" t="s">
        <v>664</v>
      </c>
      <c r="D248" s="23" t="s">
        <v>665</v>
      </c>
      <c r="E248" s="23" t="s">
        <v>867</v>
      </c>
      <c r="F248" s="22" t="s">
        <v>868</v>
      </c>
      <c r="G248" s="23" t="s">
        <v>869</v>
      </c>
      <c r="H248" s="22" t="s">
        <v>870</v>
      </c>
      <c r="I248" s="22" t="s">
        <v>871</v>
      </c>
      <c r="J248" s="22" t="s">
        <v>897</v>
      </c>
      <c r="N248" s="22" t="s">
        <v>898</v>
      </c>
      <c r="O248" s="22" t="s">
        <v>873</v>
      </c>
      <c r="P248" s="21">
        <v>40220</v>
      </c>
      <c r="Q248" s="21">
        <v>65</v>
      </c>
      <c r="R248" s="21">
        <v>20</v>
      </c>
      <c r="S248" s="21">
        <v>20</v>
      </c>
      <c r="T248" s="22" t="s">
        <v>281</v>
      </c>
      <c r="U248" s="21">
        <v>1</v>
      </c>
      <c r="V248" s="22">
        <v>1</v>
      </c>
      <c r="W248" s="24">
        <f t="shared" si="47"/>
        <v>12682.852327087696</v>
      </c>
      <c r="X248" s="24">
        <f t="shared" si="49"/>
        <v>13606.666666666664</v>
      </c>
      <c r="Y248" s="21">
        <v>1</v>
      </c>
      <c r="Z248" s="24">
        <f t="shared" si="44"/>
        <v>12682.852327087696</v>
      </c>
      <c r="AA248" s="24">
        <f t="shared" si="45"/>
        <v>13606.666666666664</v>
      </c>
      <c r="AB248" s="21"/>
      <c r="AC248" s="21"/>
      <c r="AD248" s="21"/>
      <c r="AE248" s="21"/>
      <c r="AF248" s="21" t="s">
        <v>247</v>
      </c>
      <c r="AG248" s="21"/>
      <c r="AH248" s="24"/>
      <c r="AI248" s="24"/>
      <c r="AJ248" s="21">
        <v>13613.6</v>
      </c>
      <c r="AK248" s="21">
        <v>65</v>
      </c>
      <c r="AL248" s="22" t="s">
        <v>161</v>
      </c>
      <c r="AM248" s="22">
        <v>0.11</v>
      </c>
      <c r="AN248" s="22" t="s">
        <v>876</v>
      </c>
      <c r="AO248" s="22" t="s">
        <v>876</v>
      </c>
      <c r="AP248" s="22" t="s">
        <v>673</v>
      </c>
      <c r="AQ248" s="22" t="str">
        <f t="shared" si="46"/>
        <v>Microphytoplankton</v>
      </c>
      <c r="AR248" s="22">
        <v>1</v>
      </c>
      <c r="AS248" s="22">
        <v>1</v>
      </c>
      <c r="AT248" s="22">
        <v>0</v>
      </c>
      <c r="AU248" s="22">
        <v>0</v>
      </c>
      <c r="AV248" s="22">
        <v>0</v>
      </c>
      <c r="AW248" s="22">
        <v>0</v>
      </c>
      <c r="AX248" s="22">
        <v>1</v>
      </c>
      <c r="AY248" s="22">
        <v>0</v>
      </c>
    </row>
    <row r="249" spans="1:51">
      <c r="A249" s="22" t="s">
        <v>899</v>
      </c>
      <c r="B249" s="22" t="s">
        <v>663</v>
      </c>
      <c r="C249" s="23" t="s">
        <v>664</v>
      </c>
      <c r="D249" s="23" t="s">
        <v>665</v>
      </c>
      <c r="E249" s="23" t="s">
        <v>867</v>
      </c>
      <c r="F249" s="22" t="s">
        <v>868</v>
      </c>
      <c r="G249" s="23" t="s">
        <v>869</v>
      </c>
      <c r="H249" s="22" t="s">
        <v>870</v>
      </c>
      <c r="I249" s="22" t="s">
        <v>900</v>
      </c>
      <c r="J249" s="22" t="s">
        <v>901</v>
      </c>
      <c r="N249" s="22" t="s">
        <v>902</v>
      </c>
      <c r="O249" s="22" t="s">
        <v>873</v>
      </c>
      <c r="P249" s="22">
        <v>40501</v>
      </c>
      <c r="Q249" s="22">
        <v>33.5</v>
      </c>
      <c r="R249" s="22">
        <v>20</v>
      </c>
      <c r="S249" s="22">
        <v>15</v>
      </c>
      <c r="T249" s="22" t="s">
        <v>281</v>
      </c>
      <c r="U249" s="21">
        <v>0.7</v>
      </c>
      <c r="V249" s="21">
        <v>0.7</v>
      </c>
      <c r="W249" s="24">
        <f t="shared" si="47"/>
        <v>8232.8370082029523</v>
      </c>
      <c r="X249" s="24">
        <f t="shared" si="49"/>
        <v>3681.6499999999996</v>
      </c>
      <c r="Y249" s="21">
        <v>1</v>
      </c>
      <c r="Z249" s="24">
        <f t="shared" si="44"/>
        <v>8232.8370082029523</v>
      </c>
      <c r="AA249" s="24">
        <f t="shared" si="45"/>
        <v>3681.6499999999996</v>
      </c>
      <c r="AE249" s="21"/>
      <c r="AF249" s="21" t="s">
        <v>247</v>
      </c>
      <c r="AG249" s="21"/>
      <c r="AH249" s="24"/>
      <c r="AI249" s="24"/>
      <c r="AJ249" s="21">
        <v>4908.8666666666659</v>
      </c>
      <c r="AK249" s="21">
        <v>33.5</v>
      </c>
      <c r="AL249" s="22" t="s">
        <v>161</v>
      </c>
      <c r="AM249" s="22">
        <v>0.11</v>
      </c>
      <c r="AN249" s="22" t="s">
        <v>876</v>
      </c>
      <c r="AO249" s="22" t="s">
        <v>876</v>
      </c>
      <c r="AP249" s="22" t="s">
        <v>673</v>
      </c>
      <c r="AQ249" s="22" t="str">
        <f t="shared" si="46"/>
        <v>Microphytoplankton</v>
      </c>
      <c r="AR249" s="22">
        <v>1</v>
      </c>
      <c r="AS249" s="22">
        <v>1</v>
      </c>
      <c r="AT249" s="22">
        <v>0</v>
      </c>
      <c r="AU249" s="22">
        <v>0</v>
      </c>
      <c r="AV249" s="22">
        <v>0</v>
      </c>
      <c r="AW249" s="22">
        <v>0</v>
      </c>
      <c r="AX249" s="22">
        <v>1</v>
      </c>
      <c r="AY249" s="22">
        <v>0</v>
      </c>
    </row>
    <row r="250" spans="1:51">
      <c r="A250" s="21" t="s">
        <v>903</v>
      </c>
      <c r="B250" s="22" t="s">
        <v>663</v>
      </c>
      <c r="C250" s="23" t="s">
        <v>664</v>
      </c>
      <c r="D250" s="23" t="s">
        <v>665</v>
      </c>
      <c r="E250" s="23" t="s">
        <v>867</v>
      </c>
      <c r="F250" s="22" t="s">
        <v>868</v>
      </c>
      <c r="G250" s="23" t="s">
        <v>869</v>
      </c>
      <c r="H250" s="22" t="s">
        <v>870</v>
      </c>
      <c r="I250" s="22" t="s">
        <v>904</v>
      </c>
      <c r="J250" s="22" t="s">
        <v>905</v>
      </c>
      <c r="N250" s="22" t="s">
        <v>906</v>
      </c>
      <c r="O250" s="22" t="s">
        <v>873</v>
      </c>
      <c r="P250" s="21">
        <v>40420</v>
      </c>
      <c r="Q250" s="21">
        <v>34</v>
      </c>
      <c r="R250" s="21">
        <v>30</v>
      </c>
      <c r="S250" s="21">
        <v>15</v>
      </c>
      <c r="T250" s="22" t="s">
        <v>281</v>
      </c>
      <c r="U250" s="21">
        <v>0.6</v>
      </c>
      <c r="V250" s="21">
        <v>0.6</v>
      </c>
      <c r="W250" s="24">
        <f t="shared" si="47"/>
        <v>12870.058314833044</v>
      </c>
      <c r="X250" s="24">
        <f t="shared" si="49"/>
        <v>4804.1999999999989</v>
      </c>
      <c r="Y250" s="21">
        <v>1</v>
      </c>
      <c r="Z250" s="24">
        <f t="shared" si="44"/>
        <v>12870.058314833044</v>
      </c>
      <c r="AA250" s="24">
        <f t="shared" si="45"/>
        <v>4804.1999999999989</v>
      </c>
      <c r="AB250" s="21"/>
      <c r="AC250" s="21"/>
      <c r="AD250" s="21"/>
      <c r="AE250" s="21"/>
      <c r="AF250" s="21" t="s">
        <v>247</v>
      </c>
      <c r="AG250" s="21"/>
      <c r="AH250" s="24"/>
      <c r="AI250" s="24"/>
      <c r="AJ250" s="21">
        <v>9180</v>
      </c>
      <c r="AK250" s="21">
        <v>34</v>
      </c>
      <c r="AL250" s="22" t="s">
        <v>161</v>
      </c>
      <c r="AM250" s="22">
        <v>0.11</v>
      </c>
      <c r="AN250" s="22" t="s">
        <v>876</v>
      </c>
      <c r="AO250" s="22" t="s">
        <v>876</v>
      </c>
      <c r="AP250" s="22" t="s">
        <v>673</v>
      </c>
      <c r="AQ250" s="22" t="str">
        <f t="shared" si="46"/>
        <v>Microphytoplankton</v>
      </c>
      <c r="AR250" s="22">
        <v>1</v>
      </c>
      <c r="AS250" s="22">
        <v>1</v>
      </c>
      <c r="AT250" s="22">
        <v>0</v>
      </c>
      <c r="AU250" s="22">
        <v>0</v>
      </c>
      <c r="AV250" s="22">
        <v>0</v>
      </c>
      <c r="AW250" s="22">
        <v>0</v>
      </c>
      <c r="AX250" s="22">
        <v>1</v>
      </c>
      <c r="AY250" s="22">
        <v>0</v>
      </c>
    </row>
    <row r="251" spans="1:51">
      <c r="A251" s="22" t="s">
        <v>907</v>
      </c>
      <c r="B251" s="22" t="s">
        <v>663</v>
      </c>
      <c r="C251" s="23" t="s">
        <v>664</v>
      </c>
      <c r="D251" s="23" t="s">
        <v>665</v>
      </c>
      <c r="E251" s="23" t="s">
        <v>867</v>
      </c>
      <c r="F251" s="22" t="s">
        <v>868</v>
      </c>
      <c r="G251" s="23" t="s">
        <v>869</v>
      </c>
      <c r="H251" s="22" t="s">
        <v>870</v>
      </c>
      <c r="I251" s="22" t="s">
        <v>904</v>
      </c>
      <c r="J251" s="22" t="s">
        <v>908</v>
      </c>
      <c r="L251" s="22" t="s">
        <v>513</v>
      </c>
      <c r="N251" s="22" t="s">
        <v>167</v>
      </c>
      <c r="O251" s="22" t="s">
        <v>873</v>
      </c>
      <c r="P251" s="22">
        <v>40421</v>
      </c>
      <c r="Q251" s="22">
        <v>19</v>
      </c>
      <c r="R251" s="22">
        <v>8</v>
      </c>
      <c r="S251" s="22">
        <v>8</v>
      </c>
      <c r="T251" s="22" t="s">
        <v>281</v>
      </c>
      <c r="U251" s="21">
        <v>0.7</v>
      </c>
      <c r="V251" s="21">
        <v>0.7</v>
      </c>
      <c r="W251" s="24">
        <f t="shared" si="47"/>
        <v>2128.6719904203505</v>
      </c>
      <c r="X251" s="24">
        <f t="shared" si="49"/>
        <v>445.4613333333333</v>
      </c>
      <c r="Y251" s="21">
        <v>1</v>
      </c>
      <c r="Z251" s="24">
        <f t="shared" si="44"/>
        <v>2128.6719904203505</v>
      </c>
      <c r="AA251" s="24">
        <f t="shared" si="45"/>
        <v>445.4613333333333</v>
      </c>
      <c r="AE251" s="21"/>
      <c r="AF251" s="21" t="s">
        <v>247</v>
      </c>
      <c r="AG251" s="21"/>
      <c r="AH251" s="24"/>
      <c r="AI251" s="24"/>
      <c r="AJ251" s="21">
        <v>445.4613333333333</v>
      </c>
      <c r="AK251" s="21">
        <v>19</v>
      </c>
      <c r="AL251" s="22" t="s">
        <v>161</v>
      </c>
      <c r="AM251" s="22">
        <v>0.11</v>
      </c>
      <c r="AN251" s="22" t="s">
        <v>876</v>
      </c>
      <c r="AO251" s="22" t="s">
        <v>876</v>
      </c>
      <c r="AP251" s="22" t="s">
        <v>673</v>
      </c>
      <c r="AQ251" s="22" t="str">
        <f t="shared" si="46"/>
        <v>Nanophytoplankton</v>
      </c>
      <c r="AR251" s="22">
        <v>1</v>
      </c>
      <c r="AS251" s="22">
        <v>1</v>
      </c>
      <c r="AT251" s="22">
        <v>0</v>
      </c>
      <c r="AU251" s="22">
        <v>0</v>
      </c>
      <c r="AV251" s="22">
        <v>0</v>
      </c>
      <c r="AW251" s="22">
        <v>0</v>
      </c>
      <c r="AX251" s="22">
        <v>1</v>
      </c>
      <c r="AY251" s="22">
        <v>0</v>
      </c>
    </row>
    <row r="252" spans="1:51">
      <c r="A252" s="22" t="s">
        <v>909</v>
      </c>
      <c r="B252" s="22" t="s">
        <v>663</v>
      </c>
      <c r="C252" s="23" t="s">
        <v>664</v>
      </c>
      <c r="D252" s="23" t="s">
        <v>665</v>
      </c>
      <c r="E252" s="23" t="s">
        <v>867</v>
      </c>
      <c r="F252" s="22" t="s">
        <v>868</v>
      </c>
      <c r="G252" s="23" t="s">
        <v>869</v>
      </c>
      <c r="H252" s="22" t="s">
        <v>870</v>
      </c>
      <c r="I252" s="22" t="s">
        <v>904</v>
      </c>
      <c r="J252" s="22" t="s">
        <v>910</v>
      </c>
      <c r="N252" s="22" t="s">
        <v>911</v>
      </c>
      <c r="O252" s="22" t="s">
        <v>873</v>
      </c>
      <c r="P252" s="21">
        <v>40422</v>
      </c>
      <c r="Q252" s="22">
        <v>20.5</v>
      </c>
      <c r="R252" s="22">
        <v>10</v>
      </c>
      <c r="S252" s="22">
        <v>10</v>
      </c>
      <c r="T252" s="22" t="s">
        <v>281</v>
      </c>
      <c r="U252" s="21">
        <v>0.7</v>
      </c>
      <c r="V252" s="21">
        <v>0.7</v>
      </c>
      <c r="W252" s="24">
        <f t="shared" si="47"/>
        <v>2869.074799504835</v>
      </c>
      <c r="X252" s="24">
        <f t="shared" si="49"/>
        <v>750.98333333333323</v>
      </c>
      <c r="Y252" s="21">
        <v>1</v>
      </c>
      <c r="Z252" s="24">
        <f t="shared" si="44"/>
        <v>2869.074799504835</v>
      </c>
      <c r="AA252" s="24">
        <f t="shared" si="45"/>
        <v>750.98333333333323</v>
      </c>
      <c r="AE252" s="21"/>
      <c r="AF252" s="21" t="s">
        <v>247</v>
      </c>
      <c r="AG252" s="21"/>
      <c r="AH252" s="24"/>
      <c r="AI252" s="24"/>
      <c r="AJ252" s="21">
        <v>750.98333333333323</v>
      </c>
      <c r="AK252" s="21">
        <v>20.5</v>
      </c>
      <c r="AL252" s="22" t="s">
        <v>161</v>
      </c>
      <c r="AM252" s="22">
        <v>0.11</v>
      </c>
      <c r="AN252" s="22" t="s">
        <v>876</v>
      </c>
      <c r="AO252" s="22" t="s">
        <v>876</v>
      </c>
      <c r="AP252" s="22" t="s">
        <v>673</v>
      </c>
      <c r="AQ252" s="22" t="str">
        <f t="shared" si="46"/>
        <v>Microphytoplankton</v>
      </c>
      <c r="AR252" s="22">
        <v>1</v>
      </c>
      <c r="AS252" s="22">
        <v>1</v>
      </c>
      <c r="AT252" s="22">
        <v>0</v>
      </c>
      <c r="AU252" s="22">
        <v>0</v>
      </c>
      <c r="AV252" s="22">
        <v>0</v>
      </c>
      <c r="AW252" s="22">
        <v>0</v>
      </c>
      <c r="AX252" s="22">
        <v>1</v>
      </c>
      <c r="AY252" s="22">
        <v>0</v>
      </c>
    </row>
    <row r="253" spans="1:51">
      <c r="A253" s="21" t="s">
        <v>912</v>
      </c>
      <c r="B253" s="22" t="s">
        <v>663</v>
      </c>
      <c r="C253" s="23" t="s">
        <v>664</v>
      </c>
      <c r="D253" s="23" t="s">
        <v>665</v>
      </c>
      <c r="E253" s="23" t="s">
        <v>867</v>
      </c>
      <c r="F253" s="22" t="s">
        <v>868</v>
      </c>
      <c r="G253" s="23" t="s">
        <v>869</v>
      </c>
      <c r="H253" s="22" t="s">
        <v>870</v>
      </c>
      <c r="I253" s="22" t="s">
        <v>904</v>
      </c>
      <c r="J253" s="22" t="s">
        <v>913</v>
      </c>
      <c r="N253" s="22" t="s">
        <v>914</v>
      </c>
      <c r="O253" s="22" t="s">
        <v>873</v>
      </c>
      <c r="P253" s="21">
        <v>40410</v>
      </c>
      <c r="Q253" s="21">
        <v>120</v>
      </c>
      <c r="R253" s="21">
        <v>50</v>
      </c>
      <c r="S253" s="21">
        <v>35</v>
      </c>
      <c r="T253" s="22" t="s">
        <v>281</v>
      </c>
      <c r="U253" s="21">
        <v>0.5</v>
      </c>
      <c r="V253" s="21">
        <v>0.5</v>
      </c>
      <c r="W253" s="24">
        <f t="shared" si="47"/>
        <v>100390.80350271237</v>
      </c>
      <c r="X253" s="24">
        <f t="shared" si="49"/>
        <v>54950</v>
      </c>
      <c r="Y253" s="21">
        <v>1</v>
      </c>
      <c r="Z253" s="24">
        <f t="shared" si="44"/>
        <v>100390.80350271237</v>
      </c>
      <c r="AA253" s="24">
        <f t="shared" si="45"/>
        <v>54950</v>
      </c>
      <c r="AB253" s="21"/>
      <c r="AC253" s="21"/>
      <c r="AD253" s="21"/>
      <c r="AE253" s="21"/>
      <c r="AF253" s="21" t="s">
        <v>247</v>
      </c>
      <c r="AG253" s="21"/>
      <c r="AH253" s="24"/>
      <c r="AI253" s="24"/>
      <c r="AJ253" s="21">
        <v>105000</v>
      </c>
      <c r="AK253" s="21">
        <v>120</v>
      </c>
      <c r="AL253" s="22" t="s">
        <v>161</v>
      </c>
      <c r="AM253" s="22">
        <v>0.11</v>
      </c>
      <c r="AN253" s="22" t="s">
        <v>876</v>
      </c>
      <c r="AO253" s="22" t="s">
        <v>876</v>
      </c>
      <c r="AP253" s="22" t="s">
        <v>673</v>
      </c>
      <c r="AQ253" s="22" t="str">
        <f t="shared" si="46"/>
        <v>Microphytoplankton</v>
      </c>
      <c r="AR253" s="22">
        <v>1</v>
      </c>
      <c r="AS253" s="22">
        <v>1</v>
      </c>
      <c r="AT253" s="22">
        <v>0</v>
      </c>
      <c r="AU253" s="22">
        <v>0</v>
      </c>
      <c r="AV253" s="22">
        <v>0</v>
      </c>
      <c r="AW253" s="22">
        <v>0</v>
      </c>
      <c r="AX253" s="22">
        <v>1</v>
      </c>
      <c r="AY253" s="22">
        <v>0</v>
      </c>
    </row>
    <row r="254" spans="1:51">
      <c r="A254" s="22" t="s">
        <v>915</v>
      </c>
      <c r="B254" s="22" t="s">
        <v>663</v>
      </c>
      <c r="C254" s="23" t="s">
        <v>664</v>
      </c>
      <c r="D254" s="23" t="s">
        <v>665</v>
      </c>
      <c r="E254" s="23" t="s">
        <v>867</v>
      </c>
      <c r="F254" s="22" t="s">
        <v>868</v>
      </c>
      <c r="G254" s="23" t="s">
        <v>869</v>
      </c>
      <c r="H254" s="22" t="s">
        <v>870</v>
      </c>
      <c r="I254" s="22" t="s">
        <v>904</v>
      </c>
      <c r="J254" s="22" t="s">
        <v>916</v>
      </c>
      <c r="N254" s="22" t="s">
        <v>906</v>
      </c>
      <c r="O254" s="22" t="s">
        <v>873</v>
      </c>
      <c r="P254" s="21">
        <v>40423</v>
      </c>
      <c r="Q254" s="22">
        <v>32.5</v>
      </c>
      <c r="R254" s="22">
        <v>20</v>
      </c>
      <c r="S254" s="22">
        <v>15</v>
      </c>
      <c r="T254" s="22" t="s">
        <v>281</v>
      </c>
      <c r="U254" s="21">
        <v>0.7</v>
      </c>
      <c r="V254" s="21">
        <v>0.7</v>
      </c>
      <c r="W254" s="24">
        <f t="shared" si="47"/>
        <v>7987.9777345202947</v>
      </c>
      <c r="X254" s="24">
        <f t="shared" si="49"/>
        <v>3571.7499999999991</v>
      </c>
      <c r="Y254" s="21">
        <v>1</v>
      </c>
      <c r="Z254" s="24">
        <f t="shared" si="44"/>
        <v>7987.9777345202947</v>
      </c>
      <c r="AA254" s="24">
        <f t="shared" si="45"/>
        <v>3571.7499999999991</v>
      </c>
      <c r="AE254" s="21"/>
      <c r="AF254" s="21" t="s">
        <v>247</v>
      </c>
      <c r="AG254" s="21"/>
      <c r="AH254" s="24"/>
      <c r="AI254" s="24"/>
      <c r="AJ254" s="21">
        <v>4762.333333333333</v>
      </c>
      <c r="AK254" s="21">
        <v>32.5</v>
      </c>
      <c r="AL254" s="22" t="s">
        <v>161</v>
      </c>
      <c r="AM254" s="22">
        <v>0.11</v>
      </c>
      <c r="AN254" s="22" t="s">
        <v>876</v>
      </c>
      <c r="AO254" s="22" t="s">
        <v>876</v>
      </c>
      <c r="AP254" s="22" t="s">
        <v>673</v>
      </c>
      <c r="AQ254" s="22" t="str">
        <f t="shared" si="46"/>
        <v>Microphytoplankton</v>
      </c>
      <c r="AR254" s="22">
        <v>1</v>
      </c>
      <c r="AS254" s="22">
        <v>1</v>
      </c>
      <c r="AT254" s="22">
        <v>0</v>
      </c>
      <c r="AU254" s="22">
        <v>0</v>
      </c>
      <c r="AV254" s="22">
        <v>0</v>
      </c>
      <c r="AW254" s="22">
        <v>0</v>
      </c>
      <c r="AX254" s="22">
        <v>1</v>
      </c>
      <c r="AY254" s="22">
        <v>0</v>
      </c>
    </row>
    <row r="255" spans="1:51">
      <c r="A255" s="22" t="s">
        <v>917</v>
      </c>
      <c r="B255" s="22" t="s">
        <v>663</v>
      </c>
      <c r="C255" s="23" t="s">
        <v>664</v>
      </c>
      <c r="D255" s="23" t="s">
        <v>665</v>
      </c>
      <c r="E255" s="23" t="s">
        <v>867</v>
      </c>
      <c r="F255" s="22" t="s">
        <v>868</v>
      </c>
      <c r="G255" s="23" t="s">
        <v>869</v>
      </c>
      <c r="H255" s="22" t="s">
        <v>870</v>
      </c>
      <c r="I255" s="22" t="s">
        <v>904</v>
      </c>
      <c r="J255" s="22" t="s">
        <v>918</v>
      </c>
      <c r="N255" s="22" t="s">
        <v>919</v>
      </c>
      <c r="O255" s="22" t="s">
        <v>873</v>
      </c>
      <c r="P255" s="21">
        <v>40424</v>
      </c>
      <c r="Q255" s="22">
        <v>77.5</v>
      </c>
      <c r="R255" s="22">
        <v>59</v>
      </c>
      <c r="S255" s="22">
        <v>20</v>
      </c>
      <c r="T255" s="22" t="s">
        <v>281</v>
      </c>
      <c r="U255" s="21">
        <v>0.7</v>
      </c>
      <c r="V255" s="21">
        <v>0.7</v>
      </c>
      <c r="W255" s="24">
        <f t="shared" si="47"/>
        <v>45747.407362545906</v>
      </c>
      <c r="X255" s="24">
        <f t="shared" si="49"/>
        <v>33501.183333333327</v>
      </c>
      <c r="Y255" s="21">
        <v>1</v>
      </c>
      <c r="Z255" s="24">
        <f t="shared" si="44"/>
        <v>45747.407362545906</v>
      </c>
      <c r="AA255" s="24">
        <f t="shared" si="45"/>
        <v>33501.183333333327</v>
      </c>
      <c r="AE255" s="21"/>
      <c r="AF255" s="21" t="s">
        <v>247</v>
      </c>
      <c r="AG255" s="21"/>
      <c r="AH255" s="24"/>
      <c r="AI255" s="24"/>
      <c r="AJ255" s="21">
        <v>98828.490833333344</v>
      </c>
      <c r="AK255" s="21">
        <v>77.5</v>
      </c>
      <c r="AL255" s="22" t="s">
        <v>161</v>
      </c>
      <c r="AM255" s="22">
        <v>0.11</v>
      </c>
      <c r="AN255" s="22" t="s">
        <v>876</v>
      </c>
      <c r="AO255" s="22" t="s">
        <v>876</v>
      </c>
      <c r="AP255" s="22" t="s">
        <v>673</v>
      </c>
      <c r="AQ255" s="22" t="str">
        <f t="shared" si="46"/>
        <v>Microphytoplankton</v>
      </c>
      <c r="AR255" s="22">
        <v>1</v>
      </c>
      <c r="AS255" s="22">
        <v>1</v>
      </c>
      <c r="AT255" s="22">
        <v>0</v>
      </c>
      <c r="AU255" s="22">
        <v>0</v>
      </c>
      <c r="AV255" s="22">
        <v>0</v>
      </c>
      <c r="AW255" s="22">
        <v>0</v>
      </c>
      <c r="AX255" s="22">
        <v>1</v>
      </c>
      <c r="AY255" s="22">
        <v>0</v>
      </c>
    </row>
    <row r="256" spans="1:51">
      <c r="A256" s="22" t="s">
        <v>920</v>
      </c>
      <c r="B256" s="22" t="s">
        <v>663</v>
      </c>
      <c r="C256" s="23" t="s">
        <v>664</v>
      </c>
      <c r="D256" s="23" t="s">
        <v>665</v>
      </c>
      <c r="E256" s="23" t="s">
        <v>867</v>
      </c>
      <c r="F256" s="22" t="s">
        <v>868</v>
      </c>
      <c r="G256" s="23" t="s">
        <v>869</v>
      </c>
      <c r="H256" s="22" t="s">
        <v>870</v>
      </c>
      <c r="I256" s="22" t="s">
        <v>904</v>
      </c>
      <c r="J256" s="22" t="s">
        <v>921</v>
      </c>
      <c r="K256" s="22" t="s">
        <v>175</v>
      </c>
      <c r="L256" s="22" t="s">
        <v>921</v>
      </c>
      <c r="N256" s="22" t="s">
        <v>922</v>
      </c>
      <c r="O256" s="22" t="s">
        <v>873</v>
      </c>
      <c r="P256" s="21">
        <v>40425</v>
      </c>
      <c r="Q256" s="22">
        <v>34</v>
      </c>
      <c r="R256" s="22">
        <v>23</v>
      </c>
      <c r="S256" s="22">
        <v>20</v>
      </c>
      <c r="T256" s="22" t="s">
        <v>281</v>
      </c>
      <c r="U256" s="21">
        <v>0.7</v>
      </c>
      <c r="V256" s="21">
        <v>0.7</v>
      </c>
      <c r="W256" s="24">
        <f t="shared" si="47"/>
        <v>10217.534020758198</v>
      </c>
      <c r="X256" s="24">
        <f t="shared" si="49"/>
        <v>5729.4533333333329</v>
      </c>
      <c r="Y256" s="21">
        <v>1</v>
      </c>
      <c r="Z256" s="24">
        <f t="shared" si="44"/>
        <v>10217.534020758198</v>
      </c>
      <c r="AA256" s="24">
        <f t="shared" si="45"/>
        <v>5729.4533333333329</v>
      </c>
      <c r="AE256" s="21"/>
      <c r="AF256" s="21" t="s">
        <v>247</v>
      </c>
      <c r="AG256" s="21"/>
      <c r="AH256" s="24"/>
      <c r="AI256" s="24"/>
      <c r="AJ256" s="21">
        <v>6588.8713333333326</v>
      </c>
      <c r="AK256" s="21">
        <v>34</v>
      </c>
      <c r="AL256" s="22" t="s">
        <v>161</v>
      </c>
      <c r="AM256" s="22">
        <v>0.11</v>
      </c>
      <c r="AN256" s="22" t="s">
        <v>876</v>
      </c>
      <c r="AO256" s="22" t="s">
        <v>876</v>
      </c>
      <c r="AP256" s="22" t="s">
        <v>673</v>
      </c>
      <c r="AQ256" s="22" t="str">
        <f t="shared" si="46"/>
        <v>Microphytoplankton</v>
      </c>
      <c r="AR256" s="22">
        <v>1</v>
      </c>
      <c r="AS256" s="22">
        <v>1</v>
      </c>
      <c r="AT256" s="22">
        <v>0</v>
      </c>
      <c r="AU256" s="22">
        <v>0</v>
      </c>
      <c r="AV256" s="22">
        <v>0</v>
      </c>
      <c r="AW256" s="22">
        <v>0</v>
      </c>
      <c r="AX256" s="22">
        <v>1</v>
      </c>
      <c r="AY256" s="22">
        <v>0</v>
      </c>
    </row>
    <row r="257" spans="1:51">
      <c r="A257" s="22" t="s">
        <v>923</v>
      </c>
      <c r="B257" s="22" t="s">
        <v>663</v>
      </c>
      <c r="C257" s="23" t="s">
        <v>664</v>
      </c>
      <c r="D257" s="23" t="s">
        <v>665</v>
      </c>
      <c r="E257" s="23" t="s">
        <v>867</v>
      </c>
      <c r="F257" s="22" t="s">
        <v>868</v>
      </c>
      <c r="G257" s="23" t="s">
        <v>869</v>
      </c>
      <c r="H257" s="22" t="s">
        <v>870</v>
      </c>
      <c r="I257" s="22" t="s">
        <v>904</v>
      </c>
      <c r="J257" s="22" t="s">
        <v>211</v>
      </c>
      <c r="M257" s="22" t="s">
        <v>1</v>
      </c>
      <c r="N257" s="22" t="s">
        <v>924</v>
      </c>
      <c r="O257" s="22" t="s">
        <v>873</v>
      </c>
      <c r="P257" s="21">
        <v>40426</v>
      </c>
      <c r="Q257" s="21">
        <v>120</v>
      </c>
      <c r="R257" s="21">
        <v>50</v>
      </c>
      <c r="S257" s="21">
        <v>35</v>
      </c>
      <c r="T257" s="22" t="s">
        <v>281</v>
      </c>
      <c r="U257" s="21">
        <v>0.7</v>
      </c>
      <c r="V257" s="21">
        <v>0.7</v>
      </c>
      <c r="W257" s="24">
        <f t="shared" si="47"/>
        <v>71707.716787651691</v>
      </c>
      <c r="X257" s="24">
        <f t="shared" si="49"/>
        <v>76930</v>
      </c>
      <c r="Y257" s="21">
        <v>1</v>
      </c>
      <c r="Z257" s="24">
        <f t="shared" si="44"/>
        <v>71707.716787651691</v>
      </c>
      <c r="AA257" s="24">
        <f t="shared" si="45"/>
        <v>76930</v>
      </c>
      <c r="AB257" s="21"/>
      <c r="AC257" s="21"/>
      <c r="AD257" s="21"/>
      <c r="AE257" s="21"/>
      <c r="AF257" s="21" t="s">
        <v>247</v>
      </c>
      <c r="AG257" s="21"/>
      <c r="AH257" s="24"/>
      <c r="AI257" s="24"/>
      <c r="AJ257" s="21">
        <v>109900</v>
      </c>
      <c r="AK257" s="21">
        <v>20</v>
      </c>
      <c r="AL257" s="22" t="s">
        <v>748</v>
      </c>
      <c r="AM257" s="22">
        <v>0.11</v>
      </c>
      <c r="AN257" s="22" t="s">
        <v>876</v>
      </c>
      <c r="AO257" s="22" t="s">
        <v>876</v>
      </c>
      <c r="AP257" s="22" t="s">
        <v>673</v>
      </c>
      <c r="AQ257" s="22" t="str">
        <f t="shared" si="46"/>
        <v>Microphytoplankton</v>
      </c>
      <c r="AR257" s="22">
        <v>1</v>
      </c>
      <c r="AS257" s="22">
        <v>1</v>
      </c>
      <c r="AT257" s="22">
        <v>0</v>
      </c>
      <c r="AU257" s="22">
        <v>0</v>
      </c>
      <c r="AV257" s="22">
        <v>0</v>
      </c>
      <c r="AW257" s="22">
        <v>0</v>
      </c>
      <c r="AX257" s="22">
        <v>1</v>
      </c>
      <c r="AY257" s="22">
        <v>0</v>
      </c>
    </row>
    <row r="258" spans="1:51">
      <c r="A258" s="22" t="s">
        <v>925</v>
      </c>
      <c r="B258" s="22" t="s">
        <v>663</v>
      </c>
      <c r="C258" s="23" t="s">
        <v>664</v>
      </c>
      <c r="D258" s="23" t="s">
        <v>665</v>
      </c>
      <c r="E258" s="23" t="s">
        <v>867</v>
      </c>
      <c r="F258" s="22" t="s">
        <v>868</v>
      </c>
      <c r="G258" s="23" t="s">
        <v>869</v>
      </c>
      <c r="H258" s="22" t="s">
        <v>870</v>
      </c>
      <c r="I258" s="22" t="s">
        <v>904</v>
      </c>
      <c r="J258" s="22" t="s">
        <v>926</v>
      </c>
      <c r="N258" s="22" t="s">
        <v>927</v>
      </c>
      <c r="O258" s="22" t="s">
        <v>873</v>
      </c>
      <c r="P258" s="21">
        <v>40427</v>
      </c>
      <c r="Q258" s="22">
        <v>81</v>
      </c>
      <c r="R258" s="22">
        <v>34</v>
      </c>
      <c r="S258" s="22">
        <v>20</v>
      </c>
      <c r="T258" s="22" t="s">
        <v>281</v>
      </c>
      <c r="U258" s="21">
        <v>0.7</v>
      </c>
      <c r="V258" s="21">
        <v>0.7</v>
      </c>
      <c r="W258" s="24">
        <f t="shared" si="47"/>
        <v>31086.323062999374</v>
      </c>
      <c r="X258" s="24">
        <f t="shared" si="49"/>
        <v>20177.64</v>
      </c>
      <c r="Y258" s="21">
        <v>1</v>
      </c>
      <c r="Z258" s="24">
        <f t="shared" ref="Z258:Z321" si="50">Y258*W258</f>
        <v>31086.323062999374</v>
      </c>
      <c r="AA258" s="24">
        <f t="shared" ref="AA258:AA321" si="51">Y258*X258</f>
        <v>20177.64</v>
      </c>
      <c r="AE258" s="21"/>
      <c r="AF258" s="21" t="s">
        <v>247</v>
      </c>
      <c r="AG258" s="21"/>
      <c r="AH258" s="24"/>
      <c r="AI258" s="24"/>
      <c r="AJ258" s="21">
        <v>34301.987999999998</v>
      </c>
      <c r="AK258" s="21">
        <v>81</v>
      </c>
      <c r="AL258" s="22" t="s">
        <v>161</v>
      </c>
      <c r="AM258" s="22">
        <v>0.11</v>
      </c>
      <c r="AN258" s="22" t="s">
        <v>876</v>
      </c>
      <c r="AO258" s="22" t="s">
        <v>876</v>
      </c>
      <c r="AP258" s="22" t="s">
        <v>673</v>
      </c>
      <c r="AQ258" s="22" t="str">
        <f t="shared" ref="AQ258:AQ321" si="52">IF(AND($AK258&lt;20,AJ258&lt;10000),"Nanophytoplankton","Microphytoplankton")</f>
        <v>Microphytoplankton</v>
      </c>
      <c r="AR258" s="22">
        <v>1</v>
      </c>
      <c r="AS258" s="22">
        <v>1</v>
      </c>
      <c r="AT258" s="22">
        <v>0</v>
      </c>
      <c r="AU258" s="22">
        <v>0</v>
      </c>
      <c r="AV258" s="22">
        <v>0</v>
      </c>
      <c r="AW258" s="22">
        <v>0</v>
      </c>
      <c r="AX258" s="22">
        <v>1</v>
      </c>
      <c r="AY258" s="22">
        <v>0</v>
      </c>
    </row>
    <row r="259" spans="1:51">
      <c r="A259" s="22" t="s">
        <v>928</v>
      </c>
      <c r="B259" s="22" t="s">
        <v>663</v>
      </c>
      <c r="C259" s="23" t="s">
        <v>664</v>
      </c>
      <c r="D259" s="23" t="s">
        <v>665</v>
      </c>
      <c r="E259" s="23" t="s">
        <v>867</v>
      </c>
      <c r="F259" s="22" t="s">
        <v>868</v>
      </c>
      <c r="G259" s="23" t="s">
        <v>869</v>
      </c>
      <c r="H259" s="22" t="s">
        <v>870</v>
      </c>
      <c r="I259" s="22" t="s">
        <v>929</v>
      </c>
      <c r="J259" s="22" t="s">
        <v>211</v>
      </c>
      <c r="M259" s="22" t="s">
        <v>1</v>
      </c>
      <c r="N259" s="22" t="s">
        <v>930</v>
      </c>
      <c r="O259" s="22" t="s">
        <v>873</v>
      </c>
      <c r="P259" s="21">
        <v>40600</v>
      </c>
      <c r="Q259" s="22">
        <v>40</v>
      </c>
      <c r="R259" s="22">
        <v>30</v>
      </c>
      <c r="S259" s="22">
        <v>20</v>
      </c>
      <c r="T259" s="22" t="s">
        <v>281</v>
      </c>
      <c r="U259" s="21">
        <v>1</v>
      </c>
      <c r="V259" s="22">
        <v>1</v>
      </c>
      <c r="W259" s="24">
        <f t="shared" si="47"/>
        <v>9882.0105760324041</v>
      </c>
      <c r="X259" s="24">
        <f t="shared" si="49"/>
        <v>12560</v>
      </c>
      <c r="Y259" s="21">
        <v>1</v>
      </c>
      <c r="Z259" s="24">
        <f t="shared" si="50"/>
        <v>9882.0105760324041</v>
      </c>
      <c r="AA259" s="24">
        <f t="shared" si="51"/>
        <v>12560</v>
      </c>
      <c r="AE259" s="21"/>
      <c r="AF259" s="21" t="s">
        <v>247</v>
      </c>
      <c r="AG259" s="21"/>
      <c r="AH259" s="24"/>
      <c r="AI259" s="24"/>
      <c r="AJ259" s="21">
        <v>18840</v>
      </c>
      <c r="AK259" s="21">
        <v>40</v>
      </c>
      <c r="AL259" s="22" t="s">
        <v>748</v>
      </c>
      <c r="AM259" s="22">
        <v>0.11</v>
      </c>
      <c r="AO259" s="22" t="s">
        <v>931</v>
      </c>
      <c r="AP259" s="22" t="s">
        <v>673</v>
      </c>
      <c r="AQ259" s="22" t="str">
        <f t="shared" si="52"/>
        <v>Microphytoplankton</v>
      </c>
      <c r="AR259" s="22">
        <v>1</v>
      </c>
      <c r="AS259" s="22">
        <v>1</v>
      </c>
      <c r="AT259" s="22">
        <v>0</v>
      </c>
      <c r="AU259" s="22">
        <v>0</v>
      </c>
      <c r="AV259" s="22">
        <v>0</v>
      </c>
      <c r="AW259" s="22">
        <v>0</v>
      </c>
      <c r="AX259" s="22">
        <v>1</v>
      </c>
      <c r="AY259" s="22">
        <v>0</v>
      </c>
    </row>
    <row r="260" spans="1:51">
      <c r="A260" s="22" t="s">
        <v>932</v>
      </c>
      <c r="B260" s="22" t="s">
        <v>663</v>
      </c>
      <c r="C260" s="23" t="s">
        <v>664</v>
      </c>
      <c r="D260" s="23" t="s">
        <v>665</v>
      </c>
      <c r="E260" s="23" t="s">
        <v>867</v>
      </c>
      <c r="F260" s="22" t="s">
        <v>868</v>
      </c>
      <c r="G260" s="23" t="s">
        <v>869</v>
      </c>
      <c r="H260" s="22" t="s">
        <v>870</v>
      </c>
      <c r="I260" s="22" t="s">
        <v>933</v>
      </c>
      <c r="J260" s="22" t="s">
        <v>934</v>
      </c>
      <c r="N260" s="22" t="s">
        <v>935</v>
      </c>
      <c r="O260" s="22" t="s">
        <v>873</v>
      </c>
      <c r="P260" s="21">
        <v>40301</v>
      </c>
      <c r="Q260" s="22">
        <v>29.5</v>
      </c>
      <c r="R260" s="22">
        <v>8.5</v>
      </c>
      <c r="S260" s="22">
        <v>8</v>
      </c>
      <c r="T260" s="22" t="s">
        <v>281</v>
      </c>
      <c r="U260" s="21">
        <v>1</v>
      </c>
      <c r="V260" s="22">
        <v>1</v>
      </c>
      <c r="W260" s="24">
        <f t="shared" si="47"/>
        <v>2379.7601058868909</v>
      </c>
      <c r="X260" s="24">
        <f t="shared" si="49"/>
        <v>1049.8066666666666</v>
      </c>
      <c r="Y260" s="21">
        <v>1</v>
      </c>
      <c r="Z260" s="24">
        <f t="shared" si="50"/>
        <v>2379.7601058868909</v>
      </c>
      <c r="AA260" s="24">
        <f t="shared" si="51"/>
        <v>1049.8066666666666</v>
      </c>
      <c r="AE260" s="21"/>
      <c r="AF260" s="21" t="s">
        <v>247</v>
      </c>
      <c r="AG260" s="21"/>
      <c r="AH260" s="24"/>
      <c r="AI260" s="24"/>
      <c r="AJ260" s="21">
        <v>1115.4195833333333</v>
      </c>
      <c r="AK260" s="21">
        <v>29.5</v>
      </c>
      <c r="AL260" s="22" t="s">
        <v>161</v>
      </c>
      <c r="AM260" s="22">
        <v>0.11</v>
      </c>
      <c r="AN260" s="22" t="s">
        <v>931</v>
      </c>
      <c r="AO260" s="22" t="s">
        <v>931</v>
      </c>
      <c r="AP260" s="22" t="s">
        <v>673</v>
      </c>
      <c r="AQ260" s="22" t="str">
        <f t="shared" si="52"/>
        <v>Microphytoplankton</v>
      </c>
      <c r="AR260" s="22">
        <v>1</v>
      </c>
      <c r="AS260" s="22">
        <v>1</v>
      </c>
      <c r="AT260" s="22">
        <v>0</v>
      </c>
      <c r="AU260" s="22">
        <v>0</v>
      </c>
      <c r="AV260" s="22">
        <v>0</v>
      </c>
      <c r="AW260" s="22">
        <v>0</v>
      </c>
      <c r="AX260" s="22">
        <v>1</v>
      </c>
      <c r="AY260" s="22">
        <v>0</v>
      </c>
    </row>
    <row r="261" spans="1:51">
      <c r="A261" s="22" t="s">
        <v>936</v>
      </c>
      <c r="B261" s="22" t="s">
        <v>663</v>
      </c>
      <c r="C261" s="23" t="s">
        <v>664</v>
      </c>
      <c r="D261" s="23" t="s">
        <v>665</v>
      </c>
      <c r="E261" s="23" t="s">
        <v>867</v>
      </c>
      <c r="F261" s="22" t="s">
        <v>868</v>
      </c>
      <c r="G261" s="23" t="s">
        <v>869</v>
      </c>
      <c r="H261" s="22" t="s">
        <v>870</v>
      </c>
      <c r="I261" s="22" t="s">
        <v>933</v>
      </c>
      <c r="J261" s="22" t="s">
        <v>937</v>
      </c>
      <c r="N261" s="22" t="s">
        <v>938</v>
      </c>
      <c r="O261" s="22" t="s">
        <v>873</v>
      </c>
      <c r="P261" s="21">
        <v>40302</v>
      </c>
      <c r="Q261" s="22">
        <v>25</v>
      </c>
      <c r="R261" s="22">
        <v>16</v>
      </c>
      <c r="S261" s="22">
        <v>16</v>
      </c>
      <c r="T261" s="22" t="s">
        <v>281</v>
      </c>
      <c r="U261" s="21">
        <v>1</v>
      </c>
      <c r="V261" s="22">
        <v>1</v>
      </c>
      <c r="W261" s="24">
        <f t="shared" si="47"/>
        <v>3913.4689072807146</v>
      </c>
      <c r="X261" s="24">
        <f t="shared" si="49"/>
        <v>3349.333333333333</v>
      </c>
      <c r="Y261" s="21">
        <v>1</v>
      </c>
      <c r="Z261" s="24">
        <f t="shared" si="50"/>
        <v>3913.4689072807146</v>
      </c>
      <c r="AA261" s="24">
        <f t="shared" si="51"/>
        <v>3349.333333333333</v>
      </c>
      <c r="AE261" s="21"/>
      <c r="AF261" s="21" t="s">
        <v>247</v>
      </c>
      <c r="AG261" s="21"/>
      <c r="AH261" s="24"/>
      <c r="AI261" s="24"/>
      <c r="AJ261" s="21">
        <v>3349.333333333333</v>
      </c>
      <c r="AK261" s="21">
        <v>25</v>
      </c>
      <c r="AL261" s="22" t="s">
        <v>161</v>
      </c>
      <c r="AM261" s="22">
        <v>0.11</v>
      </c>
      <c r="AN261" s="22" t="s">
        <v>931</v>
      </c>
      <c r="AO261" s="22" t="s">
        <v>931</v>
      </c>
      <c r="AP261" s="22" t="s">
        <v>673</v>
      </c>
      <c r="AQ261" s="22" t="str">
        <f t="shared" si="52"/>
        <v>Microphytoplankton</v>
      </c>
      <c r="AR261" s="22">
        <v>1</v>
      </c>
      <c r="AS261" s="22">
        <v>1</v>
      </c>
      <c r="AT261" s="22">
        <v>0</v>
      </c>
      <c r="AU261" s="22">
        <v>0</v>
      </c>
      <c r="AV261" s="22">
        <v>0</v>
      </c>
      <c r="AW261" s="22">
        <v>0</v>
      </c>
      <c r="AX261" s="22">
        <v>1</v>
      </c>
      <c r="AY261" s="22">
        <v>0</v>
      </c>
    </row>
    <row r="262" spans="1:51">
      <c r="A262" s="22" t="s">
        <v>939</v>
      </c>
      <c r="B262" s="22" t="s">
        <v>663</v>
      </c>
      <c r="C262" s="23" t="s">
        <v>664</v>
      </c>
      <c r="D262" s="23" t="s">
        <v>665</v>
      </c>
      <c r="E262" s="23" t="s">
        <v>867</v>
      </c>
      <c r="F262" s="22" t="s">
        <v>868</v>
      </c>
      <c r="G262" s="23" t="s">
        <v>869</v>
      </c>
      <c r="H262" s="22" t="s">
        <v>870</v>
      </c>
      <c r="I262" s="22" t="s">
        <v>933</v>
      </c>
      <c r="J262" s="22" t="s">
        <v>496</v>
      </c>
      <c r="N262" s="22" t="s">
        <v>940</v>
      </c>
      <c r="O262" s="22" t="s">
        <v>873</v>
      </c>
      <c r="P262" s="21">
        <v>40305</v>
      </c>
      <c r="Q262" s="22">
        <v>9.5</v>
      </c>
      <c r="R262" s="22">
        <v>9</v>
      </c>
      <c r="S262" s="22">
        <v>9</v>
      </c>
      <c r="T262" s="22" t="s">
        <v>281</v>
      </c>
      <c r="U262" s="21">
        <v>1</v>
      </c>
      <c r="V262" s="22">
        <v>1</v>
      </c>
      <c r="W262" s="24">
        <f t="shared" si="47"/>
        <v>847.61939138733237</v>
      </c>
      <c r="X262" s="24">
        <f t="shared" si="49"/>
        <v>402.70499999999998</v>
      </c>
      <c r="Y262" s="21">
        <v>1</v>
      </c>
      <c r="Z262" s="24">
        <f t="shared" si="50"/>
        <v>847.61939138733237</v>
      </c>
      <c r="AA262" s="24">
        <f t="shared" si="51"/>
        <v>402.70499999999998</v>
      </c>
      <c r="AE262" s="21"/>
      <c r="AF262" s="21"/>
      <c r="AG262" s="21"/>
      <c r="AH262" s="24"/>
      <c r="AI262" s="24"/>
      <c r="AJ262" s="21">
        <v>402</v>
      </c>
      <c r="AK262" s="21">
        <v>9.5</v>
      </c>
      <c r="AL262" s="22" t="s">
        <v>161</v>
      </c>
      <c r="AM262" s="22">
        <v>0.11</v>
      </c>
      <c r="AN262" s="22" t="s">
        <v>931</v>
      </c>
      <c r="AO262" s="22" t="s">
        <v>931</v>
      </c>
      <c r="AP262" s="22" t="s">
        <v>673</v>
      </c>
      <c r="AQ262" s="22" t="str">
        <f t="shared" si="52"/>
        <v>Nanophytoplankton</v>
      </c>
      <c r="AR262" s="22">
        <v>1</v>
      </c>
      <c r="AS262" s="22">
        <v>1</v>
      </c>
      <c r="AT262" s="22">
        <v>0</v>
      </c>
      <c r="AU262" s="22">
        <v>0</v>
      </c>
      <c r="AV262" s="22">
        <v>0</v>
      </c>
      <c r="AW262" s="22">
        <v>0</v>
      </c>
      <c r="AX262" s="22">
        <v>1</v>
      </c>
      <c r="AY262" s="22">
        <v>0</v>
      </c>
    </row>
    <row r="263" spans="1:51">
      <c r="A263" s="22" t="s">
        <v>941</v>
      </c>
      <c r="B263" s="22" t="s">
        <v>663</v>
      </c>
      <c r="C263" s="23" t="s">
        <v>664</v>
      </c>
      <c r="D263" s="23" t="s">
        <v>665</v>
      </c>
      <c r="E263" s="23" t="s">
        <v>867</v>
      </c>
      <c r="F263" s="22" t="s">
        <v>868</v>
      </c>
      <c r="G263" s="23" t="s">
        <v>869</v>
      </c>
      <c r="H263" s="22" t="s">
        <v>870</v>
      </c>
      <c r="I263" s="22" t="s">
        <v>933</v>
      </c>
      <c r="J263" s="22" t="s">
        <v>942</v>
      </c>
      <c r="N263" s="22" t="s">
        <v>943</v>
      </c>
      <c r="O263" s="22" t="s">
        <v>873</v>
      </c>
      <c r="P263" s="21">
        <v>40304</v>
      </c>
      <c r="Q263" s="22">
        <v>22</v>
      </c>
      <c r="R263" s="22">
        <v>20</v>
      </c>
      <c r="S263" s="22">
        <v>20</v>
      </c>
      <c r="T263" s="22" t="s">
        <v>281</v>
      </c>
      <c r="U263" s="21">
        <v>1</v>
      </c>
      <c r="V263" s="22">
        <v>1</v>
      </c>
      <c r="W263" s="24">
        <f t="shared" si="47"/>
        <v>4308.3350312647599</v>
      </c>
      <c r="X263" s="24">
        <f t="shared" si="49"/>
        <v>4605.3333333333339</v>
      </c>
      <c r="Y263" s="21">
        <v>1</v>
      </c>
      <c r="Z263" s="24">
        <f t="shared" si="50"/>
        <v>4308.3350312647599</v>
      </c>
      <c r="AA263" s="24">
        <f t="shared" si="51"/>
        <v>4605.3333333333339</v>
      </c>
      <c r="AE263" s="21"/>
      <c r="AF263" s="21" t="s">
        <v>247</v>
      </c>
      <c r="AG263" s="21"/>
      <c r="AH263" s="24"/>
      <c r="AI263" s="24"/>
      <c r="AJ263" s="21">
        <v>4605.333333333333</v>
      </c>
      <c r="AK263" s="21">
        <v>22</v>
      </c>
      <c r="AL263" s="22" t="s">
        <v>161</v>
      </c>
      <c r="AM263" s="22">
        <v>0.11</v>
      </c>
      <c r="AN263" s="22" t="s">
        <v>931</v>
      </c>
      <c r="AO263" s="22" t="s">
        <v>931</v>
      </c>
      <c r="AP263" s="22" t="s">
        <v>673</v>
      </c>
      <c r="AQ263" s="22" t="str">
        <f t="shared" si="52"/>
        <v>Microphytoplankton</v>
      </c>
      <c r="AR263" s="22">
        <v>1</v>
      </c>
      <c r="AS263" s="22">
        <v>1</v>
      </c>
      <c r="AT263" s="22">
        <v>0</v>
      </c>
      <c r="AU263" s="22">
        <v>0</v>
      </c>
      <c r="AV263" s="22">
        <v>0</v>
      </c>
      <c r="AW263" s="22">
        <v>0</v>
      </c>
      <c r="AX263" s="22">
        <v>1</v>
      </c>
      <c r="AY263" s="22">
        <v>0</v>
      </c>
    </row>
    <row r="264" spans="1:51">
      <c r="A264" s="22" t="s">
        <v>944</v>
      </c>
      <c r="B264" s="22" t="s">
        <v>663</v>
      </c>
      <c r="C264" s="23" t="s">
        <v>664</v>
      </c>
      <c r="D264" s="23" t="s">
        <v>665</v>
      </c>
      <c r="E264" s="23" t="s">
        <v>867</v>
      </c>
      <c r="F264" s="22" t="s">
        <v>868</v>
      </c>
      <c r="G264" s="23" t="s">
        <v>869</v>
      </c>
      <c r="H264" s="22" t="s">
        <v>870</v>
      </c>
      <c r="I264" s="22" t="s">
        <v>933</v>
      </c>
      <c r="J264" s="22" t="s">
        <v>945</v>
      </c>
      <c r="N264" s="22" t="s">
        <v>946</v>
      </c>
      <c r="O264" s="22" t="s">
        <v>873</v>
      </c>
      <c r="P264" s="21">
        <v>40303</v>
      </c>
      <c r="Q264" s="22">
        <v>31.5</v>
      </c>
      <c r="R264" s="22">
        <v>24.5</v>
      </c>
      <c r="S264" s="22">
        <v>15</v>
      </c>
      <c r="T264" s="22" t="s">
        <v>281</v>
      </c>
      <c r="U264" s="21">
        <v>1</v>
      </c>
      <c r="V264" s="22">
        <v>1</v>
      </c>
      <c r="W264" s="24">
        <f t="shared" si="47"/>
        <v>6185.1341521779841</v>
      </c>
      <c r="X264" s="24">
        <f t="shared" si="49"/>
        <v>6058.2375000000002</v>
      </c>
      <c r="Y264" s="21">
        <v>1</v>
      </c>
      <c r="Z264" s="24">
        <f t="shared" si="50"/>
        <v>6185.1341521779841</v>
      </c>
      <c r="AA264" s="24">
        <f t="shared" si="51"/>
        <v>6058.2375000000002</v>
      </c>
      <c r="AE264" s="21"/>
      <c r="AF264" s="21" t="s">
        <v>247</v>
      </c>
      <c r="AG264" s="21"/>
      <c r="AH264" s="24"/>
      <c r="AI264" s="24"/>
      <c r="AJ264" s="21">
        <v>9895.1212500000001</v>
      </c>
      <c r="AK264" s="21">
        <v>31.5</v>
      </c>
      <c r="AL264" s="22" t="s">
        <v>161</v>
      </c>
      <c r="AM264" s="22">
        <v>0.11</v>
      </c>
      <c r="AN264" s="22" t="s">
        <v>931</v>
      </c>
      <c r="AO264" s="22" t="s">
        <v>931</v>
      </c>
      <c r="AP264" s="22" t="s">
        <v>673</v>
      </c>
      <c r="AQ264" s="22" t="str">
        <f t="shared" si="52"/>
        <v>Microphytoplankton</v>
      </c>
      <c r="AR264" s="22">
        <v>1</v>
      </c>
      <c r="AS264" s="22">
        <v>1</v>
      </c>
      <c r="AT264" s="22">
        <v>0</v>
      </c>
      <c r="AU264" s="22">
        <v>0</v>
      </c>
      <c r="AV264" s="22">
        <v>0</v>
      </c>
      <c r="AW264" s="22">
        <v>0</v>
      </c>
      <c r="AX264" s="22">
        <v>1</v>
      </c>
      <c r="AY264" s="22">
        <v>0</v>
      </c>
    </row>
    <row r="265" spans="1:51">
      <c r="A265" s="21" t="s">
        <v>947</v>
      </c>
      <c r="B265" s="22" t="s">
        <v>663</v>
      </c>
      <c r="C265" s="23" t="s">
        <v>664</v>
      </c>
      <c r="D265" s="23" t="s">
        <v>665</v>
      </c>
      <c r="E265" s="23" t="s">
        <v>867</v>
      </c>
      <c r="F265" s="22" t="s">
        <v>868</v>
      </c>
      <c r="G265" s="23" t="s">
        <v>869</v>
      </c>
      <c r="H265" s="22" t="s">
        <v>870</v>
      </c>
      <c r="I265" s="22" t="s">
        <v>933</v>
      </c>
      <c r="J265" s="22" t="s">
        <v>211</v>
      </c>
      <c r="M265" s="22" t="s">
        <v>1</v>
      </c>
      <c r="N265" s="22" t="s">
        <v>694</v>
      </c>
      <c r="O265" s="22" t="s">
        <v>873</v>
      </c>
      <c r="P265" s="21">
        <v>40300</v>
      </c>
      <c r="Q265" s="21">
        <v>12</v>
      </c>
      <c r="R265" s="21">
        <v>12</v>
      </c>
      <c r="S265" s="21">
        <v>12</v>
      </c>
      <c r="T265" s="22" t="s">
        <v>281</v>
      </c>
      <c r="U265" s="21">
        <v>1</v>
      </c>
      <c r="V265" s="22">
        <v>1</v>
      </c>
      <c r="W265" s="24">
        <f t="shared" si="47"/>
        <v>1420.171885313606</v>
      </c>
      <c r="X265" s="24">
        <f t="shared" si="49"/>
        <v>904.31999999999982</v>
      </c>
      <c r="Y265" s="21">
        <v>1</v>
      </c>
      <c r="Z265" s="24">
        <f t="shared" si="50"/>
        <v>1420.171885313606</v>
      </c>
      <c r="AA265" s="24">
        <f t="shared" si="51"/>
        <v>904.31999999999982</v>
      </c>
      <c r="AB265" s="21"/>
      <c r="AC265" s="21"/>
      <c r="AD265" s="21"/>
      <c r="AE265" s="21"/>
      <c r="AF265" s="21" t="s">
        <v>247</v>
      </c>
      <c r="AG265" s="21"/>
      <c r="AH265" s="24"/>
      <c r="AI265" s="24"/>
      <c r="AJ265" s="21">
        <v>904.8</v>
      </c>
      <c r="AK265" s="21">
        <v>12</v>
      </c>
      <c r="AL265" s="22" t="s">
        <v>161</v>
      </c>
      <c r="AM265" s="22">
        <v>0.11</v>
      </c>
      <c r="AN265" s="22" t="s">
        <v>931</v>
      </c>
      <c r="AO265" s="22" t="s">
        <v>931</v>
      </c>
      <c r="AP265" s="22" t="s">
        <v>673</v>
      </c>
      <c r="AQ265" s="22" t="str">
        <f t="shared" si="52"/>
        <v>Nanophytoplankton</v>
      </c>
      <c r="AR265" s="22">
        <v>1</v>
      </c>
      <c r="AS265" s="22">
        <v>1</v>
      </c>
      <c r="AT265" s="22">
        <v>0</v>
      </c>
      <c r="AU265" s="22">
        <v>0</v>
      </c>
      <c r="AV265" s="22">
        <v>0</v>
      </c>
      <c r="AW265" s="22">
        <v>0</v>
      </c>
      <c r="AX265" s="22">
        <v>1</v>
      </c>
      <c r="AY265" s="22">
        <v>0</v>
      </c>
    </row>
    <row r="266" spans="1:51">
      <c r="A266" s="21" t="s">
        <v>948</v>
      </c>
      <c r="B266" s="22" t="s">
        <v>663</v>
      </c>
      <c r="C266" s="23" t="s">
        <v>664</v>
      </c>
      <c r="D266" s="23" t="s">
        <v>665</v>
      </c>
      <c r="E266" s="23" t="s">
        <v>867</v>
      </c>
      <c r="F266" s="22" t="s">
        <v>868</v>
      </c>
      <c r="G266" s="23" t="s">
        <v>869</v>
      </c>
      <c r="H266" s="22" t="s">
        <v>870</v>
      </c>
      <c r="I266" s="22" t="s">
        <v>933</v>
      </c>
      <c r="J266" s="22" t="s">
        <v>949</v>
      </c>
      <c r="N266" s="22" t="s">
        <v>950</v>
      </c>
      <c r="O266" s="22" t="s">
        <v>873</v>
      </c>
      <c r="P266" s="21">
        <v>40310</v>
      </c>
      <c r="Q266" s="21">
        <v>13</v>
      </c>
      <c r="R266" s="21">
        <v>13</v>
      </c>
      <c r="S266" s="21">
        <v>13</v>
      </c>
      <c r="T266" s="22" t="s">
        <v>281</v>
      </c>
      <c r="U266" s="21">
        <v>1</v>
      </c>
      <c r="V266" s="22">
        <v>1</v>
      </c>
      <c r="W266" s="24">
        <f t="shared" si="47"/>
        <v>1664.4222732199528</v>
      </c>
      <c r="X266" s="24">
        <f t="shared" si="49"/>
        <v>1149.7633333333333</v>
      </c>
      <c r="Y266" s="21">
        <v>1</v>
      </c>
      <c r="Z266" s="24">
        <f t="shared" si="50"/>
        <v>1664.4222732199528</v>
      </c>
      <c r="AA266" s="24">
        <f t="shared" si="51"/>
        <v>1149.7633333333333</v>
      </c>
      <c r="AB266" s="21"/>
      <c r="AC266" s="21"/>
      <c r="AD266" s="21"/>
      <c r="AE266" s="21"/>
      <c r="AF266" s="21" t="s">
        <v>247</v>
      </c>
      <c r="AG266" s="21"/>
      <c r="AH266" s="24"/>
      <c r="AI266" s="24"/>
      <c r="AJ266" s="21">
        <v>1150.3</v>
      </c>
      <c r="AK266" s="21">
        <v>13</v>
      </c>
      <c r="AL266" s="22" t="s">
        <v>161</v>
      </c>
      <c r="AM266" s="22">
        <v>0.11</v>
      </c>
      <c r="AN266" s="22" t="s">
        <v>931</v>
      </c>
      <c r="AO266" s="22" t="s">
        <v>931</v>
      </c>
      <c r="AP266" s="22" t="s">
        <v>673</v>
      </c>
      <c r="AQ266" s="22" t="str">
        <f t="shared" si="52"/>
        <v>Nanophytoplankton</v>
      </c>
      <c r="AR266" s="22">
        <v>1</v>
      </c>
      <c r="AS266" s="22">
        <v>1</v>
      </c>
      <c r="AT266" s="22">
        <v>0</v>
      </c>
      <c r="AU266" s="22">
        <v>0</v>
      </c>
      <c r="AV266" s="22">
        <v>0</v>
      </c>
      <c r="AW266" s="22">
        <v>0</v>
      </c>
      <c r="AX266" s="22">
        <v>1</v>
      </c>
      <c r="AY266" s="22">
        <v>0</v>
      </c>
    </row>
    <row r="267" spans="1:51">
      <c r="A267" s="22" t="s">
        <v>951</v>
      </c>
      <c r="B267" s="22" t="s">
        <v>663</v>
      </c>
      <c r="C267" s="23" t="s">
        <v>664</v>
      </c>
      <c r="D267" s="23" t="s">
        <v>665</v>
      </c>
      <c r="E267" s="23" t="s">
        <v>867</v>
      </c>
      <c r="F267" s="22" t="s">
        <v>868</v>
      </c>
      <c r="G267" s="23" t="s">
        <v>869</v>
      </c>
      <c r="H267" s="22" t="s">
        <v>870</v>
      </c>
      <c r="I267" s="22" t="s">
        <v>933</v>
      </c>
      <c r="J267" s="22" t="s">
        <v>949</v>
      </c>
      <c r="K267" s="22" t="s">
        <v>175</v>
      </c>
      <c r="L267" s="22" t="s">
        <v>952</v>
      </c>
      <c r="N267" s="22" t="s">
        <v>167</v>
      </c>
      <c r="O267" s="22" t="s">
        <v>873</v>
      </c>
      <c r="P267" s="21">
        <v>40311</v>
      </c>
      <c r="Q267" s="22">
        <v>16</v>
      </c>
      <c r="R267" s="22">
        <v>14</v>
      </c>
      <c r="S267" s="22">
        <v>14</v>
      </c>
      <c r="T267" s="22" t="s">
        <v>281</v>
      </c>
      <c r="U267" s="21">
        <v>1</v>
      </c>
      <c r="V267" s="22">
        <v>1</v>
      </c>
      <c r="W267" s="24">
        <f t="shared" si="47"/>
        <v>2199.763214194892</v>
      </c>
      <c r="X267" s="24">
        <f t="shared" si="49"/>
        <v>1641.1733333333332</v>
      </c>
      <c r="Y267" s="21">
        <v>1</v>
      </c>
      <c r="Z267" s="24">
        <f t="shared" si="50"/>
        <v>2199.763214194892</v>
      </c>
      <c r="AA267" s="24">
        <f t="shared" si="51"/>
        <v>1641.1733333333332</v>
      </c>
      <c r="AE267" s="21"/>
      <c r="AF267" s="21" t="s">
        <v>247</v>
      </c>
      <c r="AG267" s="21"/>
      <c r="AH267" s="24"/>
      <c r="AI267" s="24"/>
      <c r="AJ267" s="21">
        <v>1641.1733333333332</v>
      </c>
      <c r="AK267" s="21">
        <v>16</v>
      </c>
      <c r="AL267" s="22" t="s">
        <v>161</v>
      </c>
      <c r="AM267" s="22">
        <v>0.11</v>
      </c>
      <c r="AN267" s="22" t="s">
        <v>931</v>
      </c>
      <c r="AO267" s="22" t="s">
        <v>931</v>
      </c>
      <c r="AP267" s="22" t="s">
        <v>673</v>
      </c>
      <c r="AQ267" s="22" t="str">
        <f t="shared" si="52"/>
        <v>Nanophytoplankton</v>
      </c>
      <c r="AR267" s="22">
        <v>1</v>
      </c>
      <c r="AS267" s="22">
        <v>1</v>
      </c>
      <c r="AT267" s="22">
        <v>0</v>
      </c>
      <c r="AU267" s="22">
        <v>0</v>
      </c>
      <c r="AV267" s="22">
        <v>0</v>
      </c>
      <c r="AW267" s="22">
        <v>0</v>
      </c>
      <c r="AX267" s="22">
        <v>1</v>
      </c>
      <c r="AY267" s="22">
        <v>0</v>
      </c>
    </row>
    <row r="268" spans="1:51">
      <c r="A268" s="22" t="s">
        <v>953</v>
      </c>
      <c r="B268" s="22" t="s">
        <v>663</v>
      </c>
      <c r="C268" s="22" t="s">
        <v>664</v>
      </c>
      <c r="D268" s="22" t="s">
        <v>954</v>
      </c>
      <c r="E268" s="22" t="s">
        <v>955</v>
      </c>
      <c r="F268" s="22" t="s">
        <v>956</v>
      </c>
      <c r="G268" s="22" t="s">
        <v>957</v>
      </c>
      <c r="H268" s="22" t="s">
        <v>958</v>
      </c>
      <c r="I268" s="22" t="s">
        <v>959</v>
      </c>
      <c r="J268" s="22" t="s">
        <v>960</v>
      </c>
      <c r="N268" s="22" t="s">
        <v>961</v>
      </c>
      <c r="O268" s="22" t="s">
        <v>962</v>
      </c>
      <c r="P268" s="22">
        <v>50632</v>
      </c>
      <c r="Q268" s="22">
        <v>6.3</v>
      </c>
      <c r="R268" s="22">
        <v>4.0999999999999996</v>
      </c>
      <c r="S268" s="22">
        <v>3</v>
      </c>
      <c r="T268" s="22" t="s">
        <v>281</v>
      </c>
      <c r="U268" s="21">
        <v>1</v>
      </c>
      <c r="V268" s="22">
        <v>1</v>
      </c>
      <c r="W268" s="24">
        <f t="shared" ref="W268:W311" si="53">(4*3.14*(((Q268^1.6*R268^1.6+Q268^1.6*S268^1.6+R268^1.6+S268^1.6)/3)^(1/1.6)))*(1/V268)</f>
        <v>226.74160509793739</v>
      </c>
      <c r="X268" s="24">
        <f t="shared" si="49"/>
        <v>40.553099999999993</v>
      </c>
      <c r="Y268" s="21">
        <v>1</v>
      </c>
      <c r="Z268" s="24">
        <f t="shared" si="50"/>
        <v>226.74160509793739</v>
      </c>
      <c r="AA268" s="24">
        <f t="shared" si="51"/>
        <v>40.553099999999993</v>
      </c>
      <c r="AE268" s="21"/>
      <c r="AF268" s="21" t="s">
        <v>247</v>
      </c>
      <c r="AG268" s="21"/>
      <c r="AH268" s="24"/>
      <c r="AI268" s="24"/>
      <c r="AJ268" s="21">
        <v>55.422569999999993</v>
      </c>
      <c r="AK268" s="21">
        <v>6.3</v>
      </c>
      <c r="AL268" s="22" t="s">
        <v>161</v>
      </c>
      <c r="AM268" s="22">
        <v>0.11</v>
      </c>
      <c r="AP268" s="22" t="s">
        <v>963</v>
      </c>
      <c r="AQ268" s="22" t="str">
        <f t="shared" si="52"/>
        <v>Nanophytoplankton</v>
      </c>
      <c r="AR268" s="22">
        <v>1</v>
      </c>
      <c r="AS268" s="22">
        <v>1</v>
      </c>
      <c r="AT268" s="22">
        <v>0</v>
      </c>
      <c r="AU268" s="22">
        <v>0</v>
      </c>
      <c r="AV268" s="22">
        <v>0</v>
      </c>
      <c r="AW268" s="22">
        <v>1</v>
      </c>
      <c r="AX268" s="22">
        <v>0</v>
      </c>
      <c r="AY268" s="22">
        <v>0</v>
      </c>
    </row>
    <row r="269" spans="1:51">
      <c r="A269" s="21" t="s">
        <v>964</v>
      </c>
      <c r="B269" s="22" t="s">
        <v>663</v>
      </c>
      <c r="C269" s="23" t="s">
        <v>822</v>
      </c>
      <c r="D269" s="23" t="s">
        <v>965</v>
      </c>
      <c r="E269" s="22" t="s">
        <v>966</v>
      </c>
      <c r="F269" s="23" t="s">
        <v>967</v>
      </c>
      <c r="G269" s="22" t="s">
        <v>968</v>
      </c>
      <c r="H269" s="22" t="s">
        <v>969</v>
      </c>
      <c r="I269" s="22" t="s">
        <v>970</v>
      </c>
      <c r="J269" s="22" t="s">
        <v>971</v>
      </c>
      <c r="N269" s="22" t="s">
        <v>972</v>
      </c>
      <c r="O269" s="22" t="s">
        <v>962</v>
      </c>
      <c r="P269" s="21">
        <v>50910</v>
      </c>
      <c r="Q269" s="21">
        <v>37</v>
      </c>
      <c r="R269" s="21">
        <v>10</v>
      </c>
      <c r="S269" s="21">
        <v>10</v>
      </c>
      <c r="T269" s="22" t="s">
        <v>281</v>
      </c>
      <c r="U269" s="21">
        <v>0.5</v>
      </c>
      <c r="V269" s="21">
        <v>0.5</v>
      </c>
      <c r="W269" s="24">
        <f t="shared" si="53"/>
        <v>7227.7568009388024</v>
      </c>
      <c r="X269" s="24">
        <f t="shared" si="49"/>
        <v>968.16666666666663</v>
      </c>
      <c r="Y269" s="21">
        <v>1</v>
      </c>
      <c r="Z269" s="24">
        <f t="shared" si="50"/>
        <v>7227.7568009388024</v>
      </c>
      <c r="AA269" s="24">
        <f t="shared" si="51"/>
        <v>968.16666666666663</v>
      </c>
      <c r="AB269" s="21"/>
      <c r="AC269" s="21"/>
      <c r="AD269" s="21"/>
      <c r="AE269" s="21"/>
      <c r="AF269" s="21" t="s">
        <v>247</v>
      </c>
      <c r="AG269" s="21"/>
      <c r="AH269" s="24"/>
      <c r="AI269" s="24"/>
      <c r="AJ269" s="21">
        <v>968.7</v>
      </c>
      <c r="AK269" s="21">
        <v>37</v>
      </c>
      <c r="AL269" s="22" t="s">
        <v>161</v>
      </c>
      <c r="AM269" s="22">
        <v>0.11</v>
      </c>
      <c r="AP269" s="22" t="s">
        <v>963</v>
      </c>
      <c r="AQ269" s="22" t="str">
        <f t="shared" si="52"/>
        <v>Microphytoplankton</v>
      </c>
      <c r="AR269" s="22">
        <v>0</v>
      </c>
      <c r="AS269" s="22">
        <v>0</v>
      </c>
      <c r="AT269" s="22">
        <v>0</v>
      </c>
      <c r="AU269" s="22">
        <v>0</v>
      </c>
      <c r="AV269" s="22">
        <v>0</v>
      </c>
      <c r="AW269" s="22">
        <v>1</v>
      </c>
      <c r="AX269" s="22">
        <v>0</v>
      </c>
      <c r="AY269" s="22">
        <v>0</v>
      </c>
    </row>
    <row r="270" spans="1:51">
      <c r="A270" s="22" t="s">
        <v>973</v>
      </c>
      <c r="B270" s="22" t="s">
        <v>663</v>
      </c>
      <c r="C270" s="23" t="s">
        <v>822</v>
      </c>
      <c r="D270" s="23" t="s">
        <v>965</v>
      </c>
      <c r="E270" s="22" t="s">
        <v>966</v>
      </c>
      <c r="F270" s="23" t="s">
        <v>967</v>
      </c>
      <c r="G270" s="22" t="s">
        <v>968</v>
      </c>
      <c r="H270" s="22" t="s">
        <v>969</v>
      </c>
      <c r="I270" s="22" t="s">
        <v>970</v>
      </c>
      <c r="J270" s="22" t="s">
        <v>974</v>
      </c>
      <c r="N270" s="22" t="s">
        <v>157</v>
      </c>
      <c r="O270" s="22" t="s">
        <v>962</v>
      </c>
      <c r="P270" s="22">
        <v>50912</v>
      </c>
      <c r="Q270" s="22">
        <v>8.5</v>
      </c>
      <c r="R270" s="22">
        <v>5.5</v>
      </c>
      <c r="S270" s="22">
        <v>5</v>
      </c>
      <c r="T270" s="22" t="s">
        <v>281</v>
      </c>
      <c r="U270" s="21">
        <v>1</v>
      </c>
      <c r="V270" s="22">
        <v>1</v>
      </c>
      <c r="W270" s="24">
        <f t="shared" si="53"/>
        <v>444.12788076195193</v>
      </c>
      <c r="X270" s="24">
        <f t="shared" si="49"/>
        <v>122.32916666666667</v>
      </c>
      <c r="Y270" s="21">
        <v>1</v>
      </c>
      <c r="Z270" s="24">
        <f t="shared" si="50"/>
        <v>444.12788076195193</v>
      </c>
      <c r="AA270" s="24">
        <f t="shared" si="51"/>
        <v>122.32916666666667</v>
      </c>
      <c r="AE270" s="21"/>
      <c r="AF270" s="21" t="s">
        <v>247</v>
      </c>
      <c r="AG270" s="21"/>
      <c r="AH270" s="24"/>
      <c r="AI270" s="24"/>
      <c r="AJ270" s="21">
        <v>134.56208333333333</v>
      </c>
      <c r="AK270" s="21">
        <v>8.5</v>
      </c>
      <c r="AL270" s="22" t="s">
        <v>161</v>
      </c>
      <c r="AM270" s="22">
        <v>0.11</v>
      </c>
      <c r="AP270" s="22" t="s">
        <v>963</v>
      </c>
      <c r="AQ270" s="22" t="str">
        <f t="shared" si="52"/>
        <v>Nanophytoplankton</v>
      </c>
      <c r="AR270" s="22">
        <v>0</v>
      </c>
      <c r="AS270" s="22">
        <v>0</v>
      </c>
      <c r="AT270" s="22">
        <v>0</v>
      </c>
      <c r="AU270" s="22">
        <v>0</v>
      </c>
      <c r="AV270" s="22">
        <v>0</v>
      </c>
      <c r="AW270" s="22">
        <v>1</v>
      </c>
      <c r="AX270" s="22">
        <v>0</v>
      </c>
      <c r="AY270" s="22">
        <v>0</v>
      </c>
    </row>
    <row r="271" spans="1:51">
      <c r="A271" s="21" t="s">
        <v>975</v>
      </c>
      <c r="B271" s="22" t="s">
        <v>663</v>
      </c>
      <c r="C271" s="23" t="s">
        <v>822</v>
      </c>
      <c r="D271" s="23" t="s">
        <v>965</v>
      </c>
      <c r="E271" s="22" t="s">
        <v>966</v>
      </c>
      <c r="F271" s="23" t="s">
        <v>967</v>
      </c>
      <c r="G271" s="22" t="s">
        <v>968</v>
      </c>
      <c r="H271" s="22" t="s">
        <v>969</v>
      </c>
      <c r="I271" s="22" t="s">
        <v>970</v>
      </c>
      <c r="J271" s="22" t="s">
        <v>971</v>
      </c>
      <c r="K271" s="22" t="s">
        <v>184</v>
      </c>
      <c r="L271" s="22" t="s">
        <v>976</v>
      </c>
      <c r="N271" s="22" t="s">
        <v>972</v>
      </c>
      <c r="O271" s="22" t="s">
        <v>962</v>
      </c>
      <c r="P271" s="21">
        <v>50911</v>
      </c>
      <c r="Q271" s="21">
        <v>18</v>
      </c>
      <c r="R271" s="21">
        <v>15</v>
      </c>
      <c r="S271" s="21">
        <v>15</v>
      </c>
      <c r="T271" s="21" t="s">
        <v>977</v>
      </c>
      <c r="U271" s="21">
        <v>0.5</v>
      </c>
      <c r="V271" s="21">
        <v>0.5</v>
      </c>
      <c r="W271" s="24">
        <f t="shared" si="53"/>
        <v>5296.3358505433844</v>
      </c>
      <c r="X271" s="24">
        <f>3.14/12*Q271*R271*S271*U271</f>
        <v>529.875</v>
      </c>
      <c r="Y271" s="21">
        <v>1</v>
      </c>
      <c r="Z271" s="24">
        <f t="shared" si="50"/>
        <v>5296.3358505433844</v>
      </c>
      <c r="AA271" s="24">
        <f t="shared" si="51"/>
        <v>529.875</v>
      </c>
      <c r="AB271" s="21"/>
      <c r="AC271" s="21"/>
      <c r="AD271" s="21"/>
      <c r="AE271" s="21"/>
      <c r="AF271" s="21" t="s">
        <v>247</v>
      </c>
      <c r="AG271" s="21"/>
      <c r="AH271" s="24"/>
      <c r="AI271" s="24"/>
      <c r="AJ271" s="21">
        <v>1059.75</v>
      </c>
      <c r="AK271" s="21">
        <v>18</v>
      </c>
      <c r="AL271" s="22" t="s">
        <v>978</v>
      </c>
      <c r="AM271" s="22">
        <v>0.11</v>
      </c>
      <c r="AP271" s="22" t="s">
        <v>963</v>
      </c>
      <c r="AQ271" s="22" t="str">
        <f t="shared" si="52"/>
        <v>Nanophytoplankton</v>
      </c>
      <c r="AR271" s="22">
        <v>0</v>
      </c>
      <c r="AS271" s="22">
        <v>0</v>
      </c>
      <c r="AT271" s="22">
        <v>0</v>
      </c>
      <c r="AU271" s="22">
        <v>0</v>
      </c>
      <c r="AV271" s="22">
        <v>0</v>
      </c>
      <c r="AW271" s="22">
        <v>1</v>
      </c>
      <c r="AX271" s="22">
        <v>0</v>
      </c>
      <c r="AY271" s="22">
        <v>0</v>
      </c>
    </row>
    <row r="272" spans="1:51">
      <c r="A272" s="21" t="s">
        <v>979</v>
      </c>
      <c r="B272" s="22" t="s">
        <v>663</v>
      </c>
      <c r="C272" s="23" t="s">
        <v>822</v>
      </c>
      <c r="D272" s="23" t="s">
        <v>965</v>
      </c>
      <c r="E272" s="22" t="s">
        <v>966</v>
      </c>
      <c r="F272" s="23" t="s">
        <v>967</v>
      </c>
      <c r="G272" s="22" t="s">
        <v>968</v>
      </c>
      <c r="H272" s="22" t="s">
        <v>969</v>
      </c>
      <c r="I272" s="22" t="s">
        <v>970</v>
      </c>
      <c r="J272" s="22" t="s">
        <v>980</v>
      </c>
      <c r="N272" s="22" t="s">
        <v>981</v>
      </c>
      <c r="O272" s="22" t="s">
        <v>962</v>
      </c>
      <c r="P272" s="21">
        <v>50940</v>
      </c>
      <c r="Q272" s="21">
        <v>20</v>
      </c>
      <c r="R272" s="21">
        <v>8</v>
      </c>
      <c r="S272" s="21">
        <v>8</v>
      </c>
      <c r="T272" s="22" t="s">
        <v>281</v>
      </c>
      <c r="U272" s="21">
        <v>0.5</v>
      </c>
      <c r="V272" s="21">
        <v>0.5</v>
      </c>
      <c r="W272" s="24">
        <f t="shared" si="53"/>
        <v>3135.6129747875425</v>
      </c>
      <c r="X272" s="24">
        <f t="shared" ref="X272:X310" si="54">3.14/6*Q272*R272*S272*U272</f>
        <v>334.93333333333334</v>
      </c>
      <c r="Y272" s="21">
        <v>1</v>
      </c>
      <c r="Z272" s="24">
        <f t="shared" si="50"/>
        <v>3135.6129747875425</v>
      </c>
      <c r="AA272" s="24">
        <f t="shared" si="51"/>
        <v>334.93333333333334</v>
      </c>
      <c r="AB272" s="21"/>
      <c r="AC272" s="21"/>
      <c r="AD272" s="21"/>
      <c r="AE272" s="21"/>
      <c r="AF272" s="21" t="s">
        <v>247</v>
      </c>
      <c r="AG272" s="21"/>
      <c r="AH272" s="24"/>
      <c r="AI272" s="24"/>
      <c r="AJ272" s="21">
        <v>669.9</v>
      </c>
      <c r="AK272" s="21">
        <v>20</v>
      </c>
      <c r="AL272" s="22" t="s">
        <v>161</v>
      </c>
      <c r="AM272" s="22">
        <v>0.11</v>
      </c>
      <c r="AP272" s="22" t="s">
        <v>963</v>
      </c>
      <c r="AQ272" s="22" t="str">
        <f t="shared" si="52"/>
        <v>Microphytoplankton</v>
      </c>
      <c r="AR272" s="22">
        <v>0</v>
      </c>
      <c r="AS272" s="22">
        <v>0</v>
      </c>
      <c r="AT272" s="22">
        <v>0</v>
      </c>
      <c r="AU272" s="22">
        <v>0</v>
      </c>
      <c r="AV272" s="22">
        <v>0</v>
      </c>
      <c r="AW272" s="22">
        <v>1</v>
      </c>
      <c r="AX272" s="22">
        <v>0</v>
      </c>
      <c r="AY272" s="22">
        <v>0</v>
      </c>
    </row>
    <row r="273" spans="1:57">
      <c r="A273" s="21" t="s">
        <v>982</v>
      </c>
      <c r="B273" s="22" t="s">
        <v>663</v>
      </c>
      <c r="C273" s="23" t="s">
        <v>822</v>
      </c>
      <c r="D273" s="23" t="s">
        <v>965</v>
      </c>
      <c r="E273" s="22" t="s">
        <v>966</v>
      </c>
      <c r="F273" s="23" t="s">
        <v>967</v>
      </c>
      <c r="G273" s="22" t="s">
        <v>968</v>
      </c>
      <c r="H273" s="22" t="s">
        <v>969</v>
      </c>
      <c r="I273" s="22" t="s">
        <v>970</v>
      </c>
      <c r="J273" s="22" t="s">
        <v>846</v>
      </c>
      <c r="N273" s="22" t="s">
        <v>167</v>
      </c>
      <c r="O273" s="22" t="s">
        <v>962</v>
      </c>
      <c r="P273" s="21">
        <v>50920</v>
      </c>
      <c r="Q273" s="21">
        <v>24</v>
      </c>
      <c r="R273" s="21">
        <v>8</v>
      </c>
      <c r="S273" s="21">
        <v>8</v>
      </c>
      <c r="T273" s="22" t="s">
        <v>281</v>
      </c>
      <c r="U273" s="21">
        <v>0.5</v>
      </c>
      <c r="V273" s="21">
        <v>0.5</v>
      </c>
      <c r="W273" s="24">
        <f t="shared" si="53"/>
        <v>3757.8437192123774</v>
      </c>
      <c r="X273" s="24">
        <f t="shared" si="54"/>
        <v>401.91999999999996</v>
      </c>
      <c r="Y273" s="21">
        <v>1</v>
      </c>
      <c r="Z273" s="24">
        <f t="shared" si="50"/>
        <v>3757.8437192123774</v>
      </c>
      <c r="AA273" s="24">
        <f t="shared" si="51"/>
        <v>401.91999999999996</v>
      </c>
      <c r="AB273" s="21"/>
      <c r="AC273" s="21"/>
      <c r="AD273" s="21"/>
      <c r="AE273" s="21"/>
      <c r="AF273" s="21" t="s">
        <v>247</v>
      </c>
      <c r="AG273" s="21"/>
      <c r="AH273" s="24"/>
      <c r="AI273" s="24"/>
      <c r="AJ273" s="21">
        <v>402</v>
      </c>
      <c r="AK273" s="21">
        <v>25</v>
      </c>
      <c r="AL273" s="22" t="s">
        <v>161</v>
      </c>
      <c r="AM273" s="22">
        <v>0.11</v>
      </c>
      <c r="AP273" s="22" t="s">
        <v>963</v>
      </c>
      <c r="AQ273" s="22" t="str">
        <f t="shared" si="52"/>
        <v>Microphytoplankton</v>
      </c>
      <c r="AR273" s="22">
        <v>0</v>
      </c>
      <c r="AS273" s="22">
        <v>0</v>
      </c>
      <c r="AT273" s="22">
        <v>0</v>
      </c>
      <c r="AU273" s="22">
        <v>0</v>
      </c>
      <c r="AV273" s="22">
        <v>0</v>
      </c>
      <c r="AW273" s="22">
        <v>1</v>
      </c>
      <c r="AX273" s="22">
        <v>0</v>
      </c>
      <c r="AY273" s="22">
        <v>0</v>
      </c>
    </row>
    <row r="274" spans="1:57">
      <c r="A274" s="22" t="s">
        <v>983</v>
      </c>
      <c r="B274" s="22" t="s">
        <v>663</v>
      </c>
      <c r="C274" s="23" t="s">
        <v>822</v>
      </c>
      <c r="D274" s="23" t="s">
        <v>965</v>
      </c>
      <c r="E274" s="22" t="s">
        <v>966</v>
      </c>
      <c r="F274" s="23" t="s">
        <v>967</v>
      </c>
      <c r="G274" s="22" t="s">
        <v>968</v>
      </c>
      <c r="H274" s="22" t="s">
        <v>969</v>
      </c>
      <c r="I274" s="22" t="s">
        <v>970</v>
      </c>
      <c r="J274" s="22" t="s">
        <v>209</v>
      </c>
      <c r="N274" s="22" t="s">
        <v>984</v>
      </c>
      <c r="O274" s="22" t="s">
        <v>962</v>
      </c>
      <c r="P274" s="21">
        <v>50921</v>
      </c>
      <c r="Q274" s="22">
        <v>11.5</v>
      </c>
      <c r="R274" s="22">
        <v>13.5</v>
      </c>
      <c r="S274" s="22">
        <v>9</v>
      </c>
      <c r="T274" s="22" t="s">
        <v>281</v>
      </c>
      <c r="U274" s="21">
        <v>1</v>
      </c>
      <c r="V274" s="22">
        <v>1</v>
      </c>
      <c r="W274" s="24">
        <f t="shared" si="53"/>
        <v>1292.268085715031</v>
      </c>
      <c r="X274" s="24">
        <f t="shared" si="54"/>
        <v>731.22749999999996</v>
      </c>
      <c r="Y274" s="21">
        <v>1</v>
      </c>
      <c r="Z274" s="24">
        <f t="shared" si="50"/>
        <v>1292.268085715031</v>
      </c>
      <c r="AA274" s="24">
        <f t="shared" si="51"/>
        <v>731.22749999999996</v>
      </c>
      <c r="AE274" s="21"/>
      <c r="AF274" s="21" t="s">
        <v>247</v>
      </c>
      <c r="AG274" s="21"/>
      <c r="AH274" s="24"/>
      <c r="AI274" s="24"/>
      <c r="AJ274" s="21">
        <v>1096.8412499999999</v>
      </c>
      <c r="AK274" s="21">
        <v>13.5</v>
      </c>
      <c r="AL274" s="22" t="s">
        <v>161</v>
      </c>
      <c r="AM274" s="22">
        <v>0.11</v>
      </c>
      <c r="AP274" s="22" t="s">
        <v>963</v>
      </c>
      <c r="AQ274" s="22" t="str">
        <f t="shared" si="52"/>
        <v>Nanophytoplankton</v>
      </c>
      <c r="AR274" s="22">
        <v>0</v>
      </c>
      <c r="AS274" s="22">
        <v>0</v>
      </c>
      <c r="AT274" s="22">
        <v>0</v>
      </c>
      <c r="AU274" s="22">
        <v>0</v>
      </c>
      <c r="AV274" s="22">
        <v>0</v>
      </c>
      <c r="AW274" s="22">
        <v>1</v>
      </c>
      <c r="AX274" s="22">
        <v>0</v>
      </c>
      <c r="AY274" s="22">
        <v>0</v>
      </c>
    </row>
    <row r="275" spans="1:57">
      <c r="A275" s="21" t="s">
        <v>985</v>
      </c>
      <c r="B275" s="22" t="s">
        <v>663</v>
      </c>
      <c r="C275" s="23" t="s">
        <v>822</v>
      </c>
      <c r="D275" s="23" t="s">
        <v>965</v>
      </c>
      <c r="E275" s="22" t="s">
        <v>966</v>
      </c>
      <c r="F275" s="23" t="s">
        <v>967</v>
      </c>
      <c r="G275" s="22" t="s">
        <v>968</v>
      </c>
      <c r="H275" s="22" t="s">
        <v>969</v>
      </c>
      <c r="I275" s="22" t="s">
        <v>970</v>
      </c>
      <c r="J275" s="22" t="s">
        <v>211</v>
      </c>
      <c r="M275" s="22" t="s">
        <v>1</v>
      </c>
      <c r="N275" s="22" t="s">
        <v>986</v>
      </c>
      <c r="O275" s="22" t="s">
        <v>962</v>
      </c>
      <c r="P275" s="21">
        <v>50900</v>
      </c>
      <c r="Q275" s="21">
        <v>25</v>
      </c>
      <c r="R275" s="21">
        <v>9</v>
      </c>
      <c r="S275" s="21">
        <v>9</v>
      </c>
      <c r="T275" s="22" t="s">
        <v>281</v>
      </c>
      <c r="U275" s="21">
        <v>0.5</v>
      </c>
      <c r="V275" s="21">
        <v>0.5</v>
      </c>
      <c r="W275" s="24">
        <f t="shared" si="53"/>
        <v>4402.6525206908091</v>
      </c>
      <c r="X275" s="24">
        <f t="shared" si="54"/>
        <v>529.87499999999989</v>
      </c>
      <c r="Y275" s="21">
        <v>1</v>
      </c>
      <c r="Z275" s="24">
        <f t="shared" si="50"/>
        <v>4402.6525206908091</v>
      </c>
      <c r="AA275" s="24">
        <f t="shared" si="51"/>
        <v>529.87499999999989</v>
      </c>
      <c r="AB275" s="21"/>
      <c r="AC275" s="21"/>
      <c r="AD275" s="21"/>
      <c r="AE275" s="21"/>
      <c r="AF275" s="21" t="s">
        <v>247</v>
      </c>
      <c r="AG275" s="21"/>
      <c r="AH275" s="24"/>
      <c r="AI275" s="24"/>
      <c r="AJ275" s="21">
        <v>530.1</v>
      </c>
      <c r="AK275" s="21">
        <v>25</v>
      </c>
      <c r="AL275" s="22" t="s">
        <v>161</v>
      </c>
      <c r="AM275" s="22">
        <v>0.11</v>
      </c>
      <c r="AP275" s="22" t="s">
        <v>963</v>
      </c>
      <c r="AQ275" s="22" t="str">
        <f t="shared" si="52"/>
        <v>Microphytoplankton</v>
      </c>
      <c r="AR275" s="22">
        <v>0</v>
      </c>
      <c r="AS275" s="22">
        <v>0</v>
      </c>
      <c r="AT275" s="22">
        <v>0</v>
      </c>
      <c r="AU275" s="22">
        <v>0</v>
      </c>
      <c r="AV275" s="22">
        <v>0</v>
      </c>
      <c r="AW275" s="22">
        <v>1</v>
      </c>
      <c r="AX275" s="22">
        <v>0</v>
      </c>
      <c r="AY275" s="22">
        <v>0</v>
      </c>
    </row>
    <row r="276" spans="1:57">
      <c r="A276" s="21" t="s">
        <v>987</v>
      </c>
      <c r="B276" s="22" t="s">
        <v>663</v>
      </c>
      <c r="C276" s="23" t="s">
        <v>822</v>
      </c>
      <c r="D276" s="23" t="s">
        <v>965</v>
      </c>
      <c r="E276" s="22" t="s">
        <v>966</v>
      </c>
      <c r="F276" s="23" t="s">
        <v>967</v>
      </c>
      <c r="G276" s="22" t="s">
        <v>968</v>
      </c>
      <c r="H276" s="22" t="s">
        <v>969</v>
      </c>
      <c r="I276" s="22" t="s">
        <v>970</v>
      </c>
      <c r="J276" s="22" t="s">
        <v>988</v>
      </c>
      <c r="N276" s="22" t="s">
        <v>989</v>
      </c>
      <c r="O276" s="22" t="s">
        <v>962</v>
      </c>
      <c r="P276" s="21">
        <v>50930</v>
      </c>
      <c r="Q276" s="21">
        <v>17</v>
      </c>
      <c r="R276" s="21">
        <v>6</v>
      </c>
      <c r="S276" s="21">
        <v>6</v>
      </c>
      <c r="T276" s="22" t="s">
        <v>281</v>
      </c>
      <c r="U276" s="21">
        <v>0.5</v>
      </c>
      <c r="V276" s="21">
        <v>0.5</v>
      </c>
      <c r="W276" s="24">
        <f t="shared" si="53"/>
        <v>2002.0009135731957</v>
      </c>
      <c r="X276" s="24">
        <f t="shared" si="54"/>
        <v>160.13999999999999</v>
      </c>
      <c r="Y276" s="21">
        <v>1</v>
      </c>
      <c r="Z276" s="24">
        <f t="shared" si="50"/>
        <v>2002.0009135731957</v>
      </c>
      <c r="AA276" s="24">
        <f t="shared" si="51"/>
        <v>160.13999999999999</v>
      </c>
      <c r="AB276" s="21"/>
      <c r="AC276" s="21"/>
      <c r="AD276" s="21"/>
      <c r="AE276" s="21"/>
      <c r="AF276" s="21" t="s">
        <v>247</v>
      </c>
      <c r="AG276" s="21"/>
      <c r="AH276" s="24"/>
      <c r="AI276" s="24"/>
      <c r="AJ276" s="21">
        <v>240.3</v>
      </c>
      <c r="AK276" s="21">
        <v>34</v>
      </c>
      <c r="AL276" s="22" t="s">
        <v>161</v>
      </c>
      <c r="AM276" s="22">
        <v>0.11</v>
      </c>
      <c r="AP276" s="22" t="s">
        <v>963</v>
      </c>
      <c r="AQ276" s="22" t="str">
        <f t="shared" si="52"/>
        <v>Microphytoplankton</v>
      </c>
      <c r="AR276" s="22">
        <v>0</v>
      </c>
      <c r="AS276" s="22">
        <v>0</v>
      </c>
      <c r="AT276" s="22">
        <v>0</v>
      </c>
      <c r="AU276" s="22">
        <v>0</v>
      </c>
      <c r="AV276" s="22">
        <v>0</v>
      </c>
      <c r="AW276" s="22">
        <v>1</v>
      </c>
      <c r="AX276" s="22">
        <v>0</v>
      </c>
      <c r="AY276" s="22">
        <v>0</v>
      </c>
    </row>
    <row r="277" spans="1:57">
      <c r="A277" s="21" t="s">
        <v>990</v>
      </c>
      <c r="B277" s="22" t="s">
        <v>663</v>
      </c>
      <c r="C277" s="23" t="s">
        <v>822</v>
      </c>
      <c r="D277" s="23" t="s">
        <v>965</v>
      </c>
      <c r="E277" s="22" t="s">
        <v>991</v>
      </c>
      <c r="F277" s="23" t="s">
        <v>992</v>
      </c>
      <c r="G277" s="22" t="s">
        <v>993</v>
      </c>
      <c r="H277" s="22" t="s">
        <v>994</v>
      </c>
      <c r="I277" s="22" t="s">
        <v>995</v>
      </c>
      <c r="J277" s="22" t="s">
        <v>996</v>
      </c>
      <c r="N277" s="22" t="s">
        <v>997</v>
      </c>
      <c r="O277" s="22" t="s">
        <v>962</v>
      </c>
      <c r="P277" s="22">
        <v>50110</v>
      </c>
      <c r="Q277" s="21">
        <v>15</v>
      </c>
      <c r="R277" s="21">
        <v>5</v>
      </c>
      <c r="S277" s="21">
        <v>5</v>
      </c>
      <c r="T277" s="22" t="s">
        <v>281</v>
      </c>
      <c r="U277" s="21">
        <v>1</v>
      </c>
      <c r="V277" s="22">
        <v>1</v>
      </c>
      <c r="W277" s="24">
        <f t="shared" si="53"/>
        <v>737.11375179543336</v>
      </c>
      <c r="X277" s="24">
        <f t="shared" si="54"/>
        <v>196.25</v>
      </c>
      <c r="Y277" s="21">
        <v>1</v>
      </c>
      <c r="Z277" s="24">
        <f t="shared" si="50"/>
        <v>737.11375179543336</v>
      </c>
      <c r="AA277" s="24">
        <f t="shared" si="51"/>
        <v>196.25</v>
      </c>
      <c r="AB277" s="21"/>
      <c r="AC277" s="21"/>
      <c r="AD277" s="21"/>
      <c r="AE277" s="21"/>
      <c r="AF277" s="21" t="s">
        <v>247</v>
      </c>
      <c r="AG277" s="21"/>
      <c r="AH277" s="24"/>
      <c r="AI277" s="24"/>
      <c r="AJ277" s="21">
        <v>294.5</v>
      </c>
      <c r="AK277" s="21">
        <v>40</v>
      </c>
      <c r="AL277" s="22" t="s">
        <v>161</v>
      </c>
      <c r="AM277" s="22">
        <v>0.11</v>
      </c>
      <c r="AP277" s="22" t="s">
        <v>963</v>
      </c>
      <c r="AQ277" s="22" t="str">
        <f t="shared" si="52"/>
        <v>Microphytoplankton</v>
      </c>
      <c r="AR277" s="22">
        <v>0</v>
      </c>
      <c r="AS277" s="22">
        <v>0</v>
      </c>
      <c r="AT277" s="22">
        <v>0</v>
      </c>
      <c r="AU277" s="22">
        <v>0</v>
      </c>
      <c r="AV277" s="22">
        <v>0</v>
      </c>
      <c r="AW277" s="22">
        <v>0</v>
      </c>
      <c r="AX277" s="22">
        <v>1</v>
      </c>
      <c r="AY277" s="22">
        <v>0</v>
      </c>
      <c r="AZ277" s="22">
        <v>1</v>
      </c>
      <c r="BA277" s="22">
        <v>5</v>
      </c>
      <c r="BB277" s="22">
        <v>3</v>
      </c>
      <c r="BC277" s="22">
        <v>1</v>
      </c>
      <c r="BD277" s="22">
        <v>0</v>
      </c>
      <c r="BE277" s="22">
        <v>0</v>
      </c>
    </row>
    <row r="278" spans="1:57">
      <c r="A278" s="21" t="s">
        <v>998</v>
      </c>
      <c r="B278" s="22" t="s">
        <v>663</v>
      </c>
      <c r="C278" s="23" t="s">
        <v>822</v>
      </c>
      <c r="D278" s="23" t="s">
        <v>965</v>
      </c>
      <c r="E278" s="22" t="s">
        <v>991</v>
      </c>
      <c r="F278" s="23" t="s">
        <v>992</v>
      </c>
      <c r="G278" s="22" t="s">
        <v>993</v>
      </c>
      <c r="H278" s="22" t="s">
        <v>994</v>
      </c>
      <c r="I278" s="22" t="s">
        <v>995</v>
      </c>
      <c r="J278" s="29" t="s">
        <v>999</v>
      </c>
      <c r="K278" s="29"/>
      <c r="L278" s="29"/>
      <c r="N278" s="22" t="s">
        <v>1000</v>
      </c>
      <c r="O278" s="22" t="s">
        <v>962</v>
      </c>
      <c r="P278" s="22">
        <v>50112</v>
      </c>
      <c r="Q278" s="21">
        <v>7.5</v>
      </c>
      <c r="R278" s="21">
        <v>7.5</v>
      </c>
      <c r="S278" s="21">
        <v>7.5</v>
      </c>
      <c r="T278" s="22" t="s">
        <v>281</v>
      </c>
      <c r="U278" s="21">
        <v>1</v>
      </c>
      <c r="V278" s="22">
        <v>1</v>
      </c>
      <c r="W278" s="24">
        <f t="shared" si="53"/>
        <v>561.88729826443785</v>
      </c>
      <c r="X278" s="24">
        <f t="shared" si="54"/>
        <v>220.78125</v>
      </c>
      <c r="Y278" s="21">
        <v>1</v>
      </c>
      <c r="Z278" s="24">
        <f t="shared" si="50"/>
        <v>561.88729826443785</v>
      </c>
      <c r="AA278" s="24">
        <f t="shared" si="51"/>
        <v>220.78125</v>
      </c>
      <c r="AB278" s="21"/>
      <c r="AC278" s="21"/>
      <c r="AD278" s="21"/>
      <c r="AE278" s="21"/>
      <c r="AF278" s="21" t="s">
        <v>247</v>
      </c>
      <c r="AG278" s="21"/>
      <c r="AH278" s="24"/>
      <c r="AI278" s="24"/>
      <c r="AJ278" s="21">
        <v>220.8</v>
      </c>
      <c r="AK278" s="21">
        <v>60</v>
      </c>
      <c r="AL278" s="22" t="s">
        <v>161</v>
      </c>
      <c r="AM278" s="22">
        <v>0.11</v>
      </c>
      <c r="AN278" s="29"/>
      <c r="AP278" s="22" t="s">
        <v>963</v>
      </c>
      <c r="AQ278" s="22" t="str">
        <f t="shared" si="52"/>
        <v>Microphytoplankton</v>
      </c>
      <c r="AR278" s="29">
        <v>0</v>
      </c>
      <c r="AS278" s="22">
        <v>0</v>
      </c>
      <c r="AT278" s="22">
        <v>0</v>
      </c>
      <c r="AU278" s="22">
        <v>0</v>
      </c>
      <c r="AV278" s="22">
        <v>0</v>
      </c>
      <c r="AW278" s="22">
        <v>0</v>
      </c>
      <c r="AX278" s="22">
        <v>1</v>
      </c>
      <c r="AY278" s="22">
        <v>0</v>
      </c>
    </row>
    <row r="279" spans="1:57">
      <c r="A279" s="21" t="s">
        <v>1001</v>
      </c>
      <c r="B279" s="22" t="s">
        <v>663</v>
      </c>
      <c r="C279" s="23" t="s">
        <v>822</v>
      </c>
      <c r="D279" s="23" t="s">
        <v>965</v>
      </c>
      <c r="E279" s="22" t="s">
        <v>991</v>
      </c>
      <c r="F279" s="23" t="s">
        <v>992</v>
      </c>
      <c r="G279" s="22" t="s">
        <v>993</v>
      </c>
      <c r="H279" s="22" t="s">
        <v>994</v>
      </c>
      <c r="I279" s="22" t="s">
        <v>995</v>
      </c>
      <c r="J279" s="22" t="s">
        <v>1002</v>
      </c>
      <c r="N279" s="22" t="s">
        <v>1003</v>
      </c>
      <c r="O279" s="22" t="s">
        <v>962</v>
      </c>
      <c r="P279" s="22">
        <v>50111</v>
      </c>
      <c r="Q279" s="21">
        <v>8</v>
      </c>
      <c r="R279" s="21">
        <v>8</v>
      </c>
      <c r="S279" s="21">
        <v>8</v>
      </c>
      <c r="T279" s="22" t="s">
        <v>281</v>
      </c>
      <c r="U279" s="21">
        <v>1</v>
      </c>
      <c r="V279" s="22">
        <v>1</v>
      </c>
      <c r="W279" s="24">
        <f t="shared" si="53"/>
        <v>637.80128491389792</v>
      </c>
      <c r="X279" s="24">
        <f t="shared" si="54"/>
        <v>267.94666666666666</v>
      </c>
      <c r="Y279" s="21">
        <v>1</v>
      </c>
      <c r="Z279" s="24">
        <f t="shared" si="50"/>
        <v>637.80128491389792</v>
      </c>
      <c r="AA279" s="24">
        <f t="shared" si="51"/>
        <v>267.94666666666666</v>
      </c>
      <c r="AB279" s="21"/>
      <c r="AC279" s="21"/>
      <c r="AD279" s="21"/>
      <c r="AE279" s="21"/>
      <c r="AF279" s="21" t="s">
        <v>247</v>
      </c>
      <c r="AG279" s="21"/>
      <c r="AH279" s="24"/>
      <c r="AI279" s="24"/>
      <c r="AJ279" s="21">
        <v>268</v>
      </c>
      <c r="AK279" s="21">
        <v>45</v>
      </c>
      <c r="AL279" s="22" t="s">
        <v>161</v>
      </c>
      <c r="AM279" s="22">
        <v>0.11</v>
      </c>
      <c r="AP279" s="22" t="s">
        <v>963</v>
      </c>
      <c r="AQ279" s="22" t="str">
        <f t="shared" si="52"/>
        <v>Microphytoplankton</v>
      </c>
      <c r="AR279" s="22">
        <v>0</v>
      </c>
      <c r="AS279" s="22">
        <v>0</v>
      </c>
      <c r="AT279" s="22">
        <v>0</v>
      </c>
      <c r="AU279" s="22">
        <v>0</v>
      </c>
      <c r="AV279" s="22">
        <v>0</v>
      </c>
      <c r="AW279" s="22">
        <v>0</v>
      </c>
      <c r="AX279" s="22">
        <v>1</v>
      </c>
      <c r="AY279" s="22">
        <v>0</v>
      </c>
    </row>
    <row r="280" spans="1:57">
      <c r="A280" s="22" t="s">
        <v>1004</v>
      </c>
      <c r="B280" s="22" t="s">
        <v>663</v>
      </c>
      <c r="C280" s="23" t="s">
        <v>822</v>
      </c>
      <c r="D280" s="23" t="s">
        <v>965</v>
      </c>
      <c r="E280" s="22" t="s">
        <v>991</v>
      </c>
      <c r="F280" s="23" t="s">
        <v>992</v>
      </c>
      <c r="G280" s="23" t="s">
        <v>1005</v>
      </c>
      <c r="H280" s="23" t="s">
        <v>1006</v>
      </c>
      <c r="I280" s="22" t="s">
        <v>1007</v>
      </c>
      <c r="J280" s="22" t="s">
        <v>1008</v>
      </c>
      <c r="N280" s="22" t="s">
        <v>1009</v>
      </c>
      <c r="O280" s="22" t="s">
        <v>962</v>
      </c>
      <c r="P280" s="22">
        <v>58001</v>
      </c>
      <c r="Q280" s="22">
        <v>13</v>
      </c>
      <c r="R280" s="22">
        <v>13</v>
      </c>
      <c r="S280" s="22">
        <v>13</v>
      </c>
      <c r="T280" s="22" t="s">
        <v>281</v>
      </c>
      <c r="U280" s="21">
        <v>1</v>
      </c>
      <c r="V280" s="22">
        <v>1</v>
      </c>
      <c r="W280" s="24">
        <f t="shared" si="53"/>
        <v>1664.4222732199528</v>
      </c>
      <c r="X280" s="24">
        <f t="shared" si="54"/>
        <v>1149.7633333333333</v>
      </c>
      <c r="Y280" s="21">
        <v>1</v>
      </c>
      <c r="Z280" s="24">
        <f t="shared" si="50"/>
        <v>1664.4222732199528</v>
      </c>
      <c r="AA280" s="24">
        <f t="shared" si="51"/>
        <v>1149.7633333333333</v>
      </c>
      <c r="AE280" s="21"/>
      <c r="AF280" s="21" t="s">
        <v>247</v>
      </c>
      <c r="AG280" s="21"/>
      <c r="AH280" s="24"/>
      <c r="AI280" s="24"/>
      <c r="AJ280" s="21">
        <v>1149.7633333333333</v>
      </c>
      <c r="AK280" s="21">
        <v>13</v>
      </c>
      <c r="AL280" s="22" t="s">
        <v>161</v>
      </c>
      <c r="AM280" s="22">
        <v>0.11</v>
      </c>
      <c r="AP280" s="22" t="s">
        <v>963</v>
      </c>
      <c r="AQ280" s="22" t="str">
        <f t="shared" si="52"/>
        <v>Nanophytoplankton</v>
      </c>
      <c r="AR280" s="22">
        <v>1</v>
      </c>
      <c r="AS280" s="22">
        <v>1</v>
      </c>
      <c r="AT280" s="22">
        <v>0</v>
      </c>
      <c r="AU280" s="22">
        <v>0</v>
      </c>
      <c r="AV280" s="22">
        <v>0</v>
      </c>
      <c r="AW280" s="22">
        <v>0</v>
      </c>
      <c r="AX280" s="22">
        <v>1</v>
      </c>
      <c r="AY280" s="22">
        <v>0</v>
      </c>
    </row>
    <row r="281" spans="1:57">
      <c r="A281" s="21" t="s">
        <v>1010</v>
      </c>
      <c r="B281" s="22" t="s">
        <v>663</v>
      </c>
      <c r="C281" s="23" t="s">
        <v>822</v>
      </c>
      <c r="D281" s="23" t="s">
        <v>965</v>
      </c>
      <c r="E281" s="22" t="s">
        <v>991</v>
      </c>
      <c r="F281" s="23" t="s">
        <v>992</v>
      </c>
      <c r="G281" s="23" t="s">
        <v>1005</v>
      </c>
      <c r="H281" s="23" t="s">
        <v>1011</v>
      </c>
      <c r="I281" s="22" t="s">
        <v>1012</v>
      </c>
      <c r="J281" s="22" t="s">
        <v>1013</v>
      </c>
      <c r="N281" s="22" t="s">
        <v>1014</v>
      </c>
      <c r="O281" s="22" t="s">
        <v>962</v>
      </c>
      <c r="P281" s="21">
        <v>50810</v>
      </c>
      <c r="Q281" s="21">
        <v>13</v>
      </c>
      <c r="R281" s="21">
        <v>13</v>
      </c>
      <c r="S281" s="21">
        <v>4</v>
      </c>
      <c r="T281" s="22" t="s">
        <v>281</v>
      </c>
      <c r="U281" s="21">
        <v>1</v>
      </c>
      <c r="V281" s="22">
        <v>1</v>
      </c>
      <c r="W281" s="24">
        <f t="shared" si="53"/>
        <v>1178.845694354033</v>
      </c>
      <c r="X281" s="24">
        <f t="shared" si="54"/>
        <v>353.77333333333331</v>
      </c>
      <c r="Y281" s="21">
        <v>1</v>
      </c>
      <c r="Z281" s="24">
        <f t="shared" si="50"/>
        <v>1178.845694354033</v>
      </c>
      <c r="AA281" s="24">
        <f t="shared" si="51"/>
        <v>353.77333333333331</v>
      </c>
      <c r="AB281" s="21"/>
      <c r="AC281" s="21"/>
      <c r="AD281" s="21"/>
      <c r="AE281" s="21"/>
      <c r="AF281" s="21" t="s">
        <v>247</v>
      </c>
      <c r="AG281" s="21"/>
      <c r="AH281" s="24"/>
      <c r="AI281" s="24"/>
      <c r="AJ281" s="21">
        <v>354</v>
      </c>
      <c r="AK281" s="21">
        <v>13</v>
      </c>
      <c r="AL281" s="22" t="s">
        <v>161</v>
      </c>
      <c r="AM281" s="22">
        <v>0.11</v>
      </c>
      <c r="AO281" s="22" t="s">
        <v>1015</v>
      </c>
      <c r="AP281" s="22" t="s">
        <v>963</v>
      </c>
      <c r="AQ281" s="22" t="str">
        <f t="shared" si="52"/>
        <v>Nanophytoplankton</v>
      </c>
      <c r="AR281" s="22">
        <v>1</v>
      </c>
      <c r="AS281" s="22">
        <v>1</v>
      </c>
      <c r="AT281" s="22">
        <v>0</v>
      </c>
      <c r="AU281" s="22">
        <v>0</v>
      </c>
      <c r="AV281" s="22">
        <v>0</v>
      </c>
      <c r="AW281" s="22">
        <v>0</v>
      </c>
      <c r="AX281" s="22">
        <v>1</v>
      </c>
      <c r="AY281" s="22">
        <v>0</v>
      </c>
    </row>
    <row r="282" spans="1:57">
      <c r="A282" s="22" t="s">
        <v>1016</v>
      </c>
      <c r="B282" s="22" t="s">
        <v>663</v>
      </c>
      <c r="C282" s="23" t="s">
        <v>822</v>
      </c>
      <c r="D282" s="23" t="s">
        <v>965</v>
      </c>
      <c r="E282" s="22" t="s">
        <v>991</v>
      </c>
      <c r="F282" s="23" t="s">
        <v>992</v>
      </c>
      <c r="H282" s="22" t="s">
        <v>1017</v>
      </c>
      <c r="I282" s="22" t="s">
        <v>1018</v>
      </c>
      <c r="J282" s="22" t="s">
        <v>1019</v>
      </c>
      <c r="N282" s="22" t="s">
        <v>1020</v>
      </c>
      <c r="O282" s="22" t="s">
        <v>962</v>
      </c>
      <c r="P282" s="22">
        <v>52100</v>
      </c>
      <c r="Q282" s="22">
        <v>10</v>
      </c>
      <c r="R282" s="22">
        <v>10</v>
      </c>
      <c r="S282" s="22">
        <v>10</v>
      </c>
      <c r="T282" s="22" t="s">
        <v>281</v>
      </c>
      <c r="U282" s="21">
        <v>1</v>
      </c>
      <c r="V282" s="22">
        <v>1</v>
      </c>
      <c r="W282" s="24">
        <f t="shared" si="53"/>
        <v>990.0713501282612</v>
      </c>
      <c r="X282" s="24">
        <f t="shared" si="54"/>
        <v>523.33333333333337</v>
      </c>
      <c r="Y282" s="21">
        <v>1</v>
      </c>
      <c r="Z282" s="24">
        <f t="shared" si="50"/>
        <v>990.0713501282612</v>
      </c>
      <c r="AA282" s="24">
        <f t="shared" si="51"/>
        <v>523.33333333333337</v>
      </c>
      <c r="AE282" s="21"/>
      <c r="AF282" s="21" t="s">
        <v>247</v>
      </c>
      <c r="AG282" s="21"/>
      <c r="AH282" s="24"/>
      <c r="AI282" s="24"/>
      <c r="AJ282" s="21">
        <v>523.6</v>
      </c>
      <c r="AK282" s="21">
        <v>10</v>
      </c>
      <c r="AL282" s="22" t="s">
        <v>161</v>
      </c>
      <c r="AM282" s="22">
        <v>0.11</v>
      </c>
      <c r="AP282" s="22" t="s">
        <v>963</v>
      </c>
      <c r="AQ282" s="22" t="str">
        <f t="shared" si="52"/>
        <v>Nanophytoplankton</v>
      </c>
      <c r="AR282" s="22">
        <v>1</v>
      </c>
      <c r="AS282" s="22">
        <v>1</v>
      </c>
      <c r="AT282" s="22">
        <v>0</v>
      </c>
      <c r="AU282" s="22">
        <v>0</v>
      </c>
      <c r="AV282" s="22">
        <v>0</v>
      </c>
      <c r="AW282" s="22">
        <v>0</v>
      </c>
      <c r="AX282" s="22">
        <v>1</v>
      </c>
      <c r="AY282" s="22">
        <v>0</v>
      </c>
    </row>
    <row r="283" spans="1:57">
      <c r="A283" s="22" t="s">
        <v>1021</v>
      </c>
      <c r="B283" s="22" t="s">
        <v>663</v>
      </c>
      <c r="C283" s="23" t="s">
        <v>822</v>
      </c>
      <c r="D283" s="23" t="s">
        <v>965</v>
      </c>
      <c r="E283" s="22" t="s">
        <v>991</v>
      </c>
      <c r="F283" s="23" t="s">
        <v>992</v>
      </c>
      <c r="G283" s="23" t="s">
        <v>1005</v>
      </c>
      <c r="H283" s="22" t="s">
        <v>1022</v>
      </c>
      <c r="I283" s="22" t="s">
        <v>1023</v>
      </c>
      <c r="J283" s="22" t="s">
        <v>211</v>
      </c>
      <c r="N283" s="22" t="s">
        <v>1024</v>
      </c>
      <c r="O283" s="22" t="s">
        <v>962</v>
      </c>
      <c r="P283" s="22">
        <v>52101</v>
      </c>
      <c r="Q283" s="22">
        <v>12</v>
      </c>
      <c r="R283" s="22">
        <v>12</v>
      </c>
      <c r="S283" s="22">
        <v>12</v>
      </c>
      <c r="T283" s="22" t="s">
        <v>281</v>
      </c>
      <c r="U283" s="21">
        <v>1</v>
      </c>
      <c r="V283" s="22">
        <v>1</v>
      </c>
      <c r="W283" s="24">
        <f t="shared" si="53"/>
        <v>1420.171885313606</v>
      </c>
      <c r="X283" s="24">
        <f t="shared" si="54"/>
        <v>904.31999999999982</v>
      </c>
      <c r="Y283" s="21">
        <v>1</v>
      </c>
      <c r="Z283" s="24">
        <f t="shared" si="50"/>
        <v>1420.171885313606</v>
      </c>
      <c r="AA283" s="24">
        <f t="shared" si="51"/>
        <v>904.31999999999982</v>
      </c>
      <c r="AE283" s="21"/>
      <c r="AF283" s="21" t="s">
        <v>247</v>
      </c>
      <c r="AG283" s="21"/>
      <c r="AH283" s="24"/>
      <c r="AI283" s="24"/>
      <c r="AJ283" s="21">
        <v>904.31999999999982</v>
      </c>
      <c r="AK283" s="21">
        <v>12</v>
      </c>
      <c r="AL283" s="22" t="s">
        <v>161</v>
      </c>
      <c r="AM283" s="22">
        <v>0.11</v>
      </c>
      <c r="AO283" s="22" t="s">
        <v>1015</v>
      </c>
      <c r="AP283" s="22" t="s">
        <v>963</v>
      </c>
      <c r="AQ283" s="22" t="str">
        <f t="shared" si="52"/>
        <v>Nanophytoplankton</v>
      </c>
      <c r="AR283" s="22">
        <v>1</v>
      </c>
      <c r="AS283" s="22">
        <v>1</v>
      </c>
      <c r="AT283" s="22">
        <v>0</v>
      </c>
      <c r="AU283" s="22">
        <v>0</v>
      </c>
      <c r="AV283" s="22">
        <v>0</v>
      </c>
      <c r="AW283" s="22">
        <v>0</v>
      </c>
      <c r="AX283" s="22">
        <v>1</v>
      </c>
      <c r="AY283" s="22">
        <v>0</v>
      </c>
    </row>
    <row r="284" spans="1:57">
      <c r="A284" s="21" t="s">
        <v>1025</v>
      </c>
      <c r="B284" s="22" t="s">
        <v>663</v>
      </c>
      <c r="C284" s="23" t="s">
        <v>822</v>
      </c>
      <c r="D284" s="23" t="s">
        <v>965</v>
      </c>
      <c r="E284" s="22" t="s">
        <v>991</v>
      </c>
      <c r="F284" s="23" t="s">
        <v>992</v>
      </c>
      <c r="G284" s="23" t="s">
        <v>1005</v>
      </c>
      <c r="H284" s="22" t="s">
        <v>1022</v>
      </c>
      <c r="I284" s="22" t="s">
        <v>1026</v>
      </c>
      <c r="J284" s="22" t="s">
        <v>1027</v>
      </c>
      <c r="N284" s="22" t="s">
        <v>1028</v>
      </c>
      <c r="O284" s="22" t="s">
        <v>962</v>
      </c>
      <c r="P284" s="22">
        <v>50720</v>
      </c>
      <c r="Q284" s="21">
        <v>20</v>
      </c>
      <c r="R284" s="21">
        <v>10</v>
      </c>
      <c r="S284" s="21">
        <v>10</v>
      </c>
      <c r="T284" s="22" t="s">
        <v>281</v>
      </c>
      <c r="U284" s="21">
        <v>0.7</v>
      </c>
      <c r="V284" s="21">
        <v>0.7</v>
      </c>
      <c r="W284" s="24">
        <f t="shared" si="53"/>
        <v>2799.6544417745913</v>
      </c>
      <c r="X284" s="24">
        <f t="shared" si="54"/>
        <v>732.66666666666663</v>
      </c>
      <c r="Y284" s="21">
        <v>1</v>
      </c>
      <c r="Z284" s="24">
        <f t="shared" si="50"/>
        <v>2799.6544417745913</v>
      </c>
      <c r="AA284" s="24">
        <f t="shared" si="51"/>
        <v>732.66666666666663</v>
      </c>
      <c r="AB284" s="21"/>
      <c r="AC284" s="21"/>
      <c r="AD284" s="21"/>
      <c r="AE284" s="21"/>
      <c r="AF284" s="21" t="s">
        <v>247</v>
      </c>
      <c r="AG284" s="21"/>
      <c r="AH284" s="24"/>
      <c r="AI284" s="24"/>
      <c r="AJ284" s="21">
        <v>1100</v>
      </c>
      <c r="AK284" s="21">
        <v>20</v>
      </c>
      <c r="AL284" s="22" t="s">
        <v>161</v>
      </c>
      <c r="AM284" s="22">
        <v>0.11</v>
      </c>
      <c r="AO284" s="22" t="s">
        <v>830</v>
      </c>
      <c r="AP284" s="22" t="s">
        <v>963</v>
      </c>
      <c r="AQ284" s="22" t="str">
        <f t="shared" si="52"/>
        <v>Microphytoplankton</v>
      </c>
      <c r="AR284" s="22">
        <v>1</v>
      </c>
      <c r="AS284" s="22">
        <v>1</v>
      </c>
      <c r="AT284" s="22">
        <v>0</v>
      </c>
      <c r="AU284" s="22">
        <v>0</v>
      </c>
      <c r="AV284" s="22">
        <v>0</v>
      </c>
      <c r="AW284" s="22">
        <v>0</v>
      </c>
      <c r="AX284" s="22">
        <v>1</v>
      </c>
      <c r="AY284" s="22">
        <v>0</v>
      </c>
      <c r="AZ284" s="22">
        <v>0</v>
      </c>
      <c r="BA284" s="22">
        <v>7</v>
      </c>
      <c r="BB284" s="22">
        <v>1</v>
      </c>
      <c r="BC284" s="22">
        <v>1</v>
      </c>
      <c r="BD284" s="22">
        <v>1</v>
      </c>
      <c r="BE284" s="22">
        <v>0</v>
      </c>
    </row>
    <row r="285" spans="1:57">
      <c r="A285" s="21" t="s">
        <v>1029</v>
      </c>
      <c r="B285" s="22" t="s">
        <v>663</v>
      </c>
      <c r="C285" s="23" t="s">
        <v>822</v>
      </c>
      <c r="D285" s="23" t="s">
        <v>965</v>
      </c>
      <c r="E285" s="22" t="s">
        <v>991</v>
      </c>
      <c r="F285" s="23" t="s">
        <v>992</v>
      </c>
      <c r="G285" s="23" t="s">
        <v>1005</v>
      </c>
      <c r="H285" s="22" t="s">
        <v>1022</v>
      </c>
      <c r="I285" s="22" t="s">
        <v>1026</v>
      </c>
      <c r="J285" s="22" t="s">
        <v>609</v>
      </c>
      <c r="N285" s="22" t="s">
        <v>524</v>
      </c>
      <c r="O285" s="22" t="s">
        <v>962</v>
      </c>
      <c r="P285" s="22">
        <v>50722</v>
      </c>
      <c r="Q285" s="21">
        <v>24</v>
      </c>
      <c r="R285" s="21">
        <v>14</v>
      </c>
      <c r="S285" s="21">
        <v>2</v>
      </c>
      <c r="T285" s="22" t="s">
        <v>281</v>
      </c>
      <c r="U285" s="21">
        <v>0.7</v>
      </c>
      <c r="V285" s="21">
        <v>0.7</v>
      </c>
      <c r="W285" s="24">
        <f t="shared" si="53"/>
        <v>3129.7453501657928</v>
      </c>
      <c r="X285" s="24">
        <f t="shared" si="54"/>
        <v>246.17599999999996</v>
      </c>
      <c r="Y285" s="21">
        <v>1</v>
      </c>
      <c r="Z285" s="24">
        <f t="shared" si="50"/>
        <v>3129.7453501657928</v>
      </c>
      <c r="AA285" s="24">
        <f t="shared" si="51"/>
        <v>246.17599999999996</v>
      </c>
      <c r="AB285" s="21"/>
      <c r="AC285" s="21"/>
      <c r="AD285" s="21"/>
      <c r="AE285" s="21"/>
      <c r="AF285" s="21"/>
      <c r="AG285" s="21"/>
      <c r="AH285" s="24"/>
      <c r="AI285" s="24"/>
      <c r="AJ285" s="21">
        <v>0</v>
      </c>
      <c r="AK285" s="21">
        <v>24</v>
      </c>
      <c r="AL285" s="22" t="s">
        <v>161</v>
      </c>
      <c r="AM285" s="22">
        <v>0.11</v>
      </c>
      <c r="AO285" s="22" t="s">
        <v>830</v>
      </c>
      <c r="AP285" s="22" t="s">
        <v>963</v>
      </c>
      <c r="AQ285" s="22" t="str">
        <f t="shared" si="52"/>
        <v>Microphytoplankton</v>
      </c>
      <c r="AR285" s="22">
        <v>1</v>
      </c>
      <c r="AS285" s="22">
        <v>1</v>
      </c>
      <c r="AT285" s="22">
        <v>0</v>
      </c>
      <c r="AU285" s="22">
        <v>0</v>
      </c>
      <c r="AV285" s="22">
        <v>0</v>
      </c>
      <c r="AW285" s="22">
        <v>0</v>
      </c>
      <c r="AX285" s="22">
        <v>1</v>
      </c>
      <c r="AY285" s="22">
        <v>0</v>
      </c>
      <c r="AZ285" s="22">
        <v>0</v>
      </c>
      <c r="BA285" s="22">
        <v>7</v>
      </c>
      <c r="BB285" s="22">
        <v>1</v>
      </c>
      <c r="BC285" s="22">
        <v>1</v>
      </c>
      <c r="BD285" s="22">
        <v>1</v>
      </c>
      <c r="BE285" s="22">
        <v>0</v>
      </c>
    </row>
    <row r="286" spans="1:57">
      <c r="A286" s="21" t="s">
        <v>1030</v>
      </c>
      <c r="B286" s="22" t="s">
        <v>663</v>
      </c>
      <c r="C286" s="23" t="s">
        <v>822</v>
      </c>
      <c r="D286" s="23" t="s">
        <v>965</v>
      </c>
      <c r="E286" s="22" t="s">
        <v>991</v>
      </c>
      <c r="F286" s="23" t="s">
        <v>992</v>
      </c>
      <c r="G286" s="23" t="s">
        <v>1005</v>
      </c>
      <c r="H286" s="22" t="s">
        <v>1022</v>
      </c>
      <c r="I286" s="22" t="s">
        <v>1026</v>
      </c>
      <c r="J286" s="22" t="s">
        <v>1031</v>
      </c>
      <c r="N286" s="22" t="s">
        <v>1032</v>
      </c>
      <c r="O286" s="22" t="s">
        <v>962</v>
      </c>
      <c r="P286" s="21">
        <v>50710</v>
      </c>
      <c r="Q286" s="21">
        <v>17</v>
      </c>
      <c r="R286" s="21">
        <v>7</v>
      </c>
      <c r="S286" s="21">
        <v>7</v>
      </c>
      <c r="T286" s="22" t="s">
        <v>281</v>
      </c>
      <c r="U286" s="21">
        <v>0.9</v>
      </c>
      <c r="V286" s="21">
        <v>0.9</v>
      </c>
      <c r="W286" s="24">
        <f t="shared" si="53"/>
        <v>1297.5931847233674</v>
      </c>
      <c r="X286" s="24">
        <f t="shared" si="54"/>
        <v>392.34300000000002</v>
      </c>
      <c r="Y286" s="21">
        <v>1</v>
      </c>
      <c r="Z286" s="24">
        <f t="shared" si="50"/>
        <v>1297.5931847233674</v>
      </c>
      <c r="AA286" s="24">
        <f t="shared" si="51"/>
        <v>392.34300000000002</v>
      </c>
      <c r="AB286" s="21"/>
      <c r="AC286" s="21"/>
      <c r="AD286" s="21"/>
      <c r="AE286" s="21"/>
      <c r="AF286" s="21" t="s">
        <v>247</v>
      </c>
      <c r="AG286" s="21"/>
      <c r="AH286" s="24"/>
      <c r="AI286" s="24"/>
      <c r="AJ286" s="21">
        <v>392.5</v>
      </c>
      <c r="AK286" s="21">
        <v>17</v>
      </c>
      <c r="AL286" s="22" t="s">
        <v>161</v>
      </c>
      <c r="AM286" s="22">
        <v>0.11</v>
      </c>
      <c r="AO286" s="22" t="s">
        <v>830</v>
      </c>
      <c r="AP286" s="22" t="s">
        <v>963</v>
      </c>
      <c r="AQ286" s="22" t="str">
        <f t="shared" si="52"/>
        <v>Nanophytoplankton</v>
      </c>
      <c r="AR286" s="22">
        <v>1</v>
      </c>
      <c r="AS286" s="22">
        <v>1</v>
      </c>
      <c r="AT286" s="22">
        <v>0</v>
      </c>
      <c r="AU286" s="22">
        <v>0</v>
      </c>
      <c r="AV286" s="22">
        <v>0</v>
      </c>
      <c r="AW286" s="22">
        <v>0</v>
      </c>
      <c r="AX286" s="22">
        <v>1</v>
      </c>
      <c r="AY286" s="22">
        <v>0</v>
      </c>
    </row>
    <row r="287" spans="1:57">
      <c r="A287" s="21" t="s">
        <v>1033</v>
      </c>
      <c r="B287" s="22" t="s">
        <v>663</v>
      </c>
      <c r="C287" s="23" t="s">
        <v>822</v>
      </c>
      <c r="D287" s="23" t="s">
        <v>965</v>
      </c>
      <c r="E287" s="22" t="s">
        <v>991</v>
      </c>
      <c r="F287" s="23" t="s">
        <v>992</v>
      </c>
      <c r="G287" s="23" t="s">
        <v>1005</v>
      </c>
      <c r="H287" s="22" t="s">
        <v>1022</v>
      </c>
      <c r="I287" s="22" t="s">
        <v>1026</v>
      </c>
      <c r="J287" s="22" t="s">
        <v>1034</v>
      </c>
      <c r="N287" s="22" t="s">
        <v>1035</v>
      </c>
      <c r="O287" s="22" t="s">
        <v>962</v>
      </c>
      <c r="P287" s="22">
        <v>50721</v>
      </c>
      <c r="Q287" s="21">
        <v>20</v>
      </c>
      <c r="R287" s="21">
        <v>4</v>
      </c>
      <c r="S287" s="21">
        <v>4</v>
      </c>
      <c r="T287" s="22" t="s">
        <v>281</v>
      </c>
      <c r="U287" s="21">
        <v>0.7</v>
      </c>
      <c r="V287" s="21">
        <v>0.7</v>
      </c>
      <c r="W287" s="24">
        <f t="shared" si="53"/>
        <v>1119.8617767098365</v>
      </c>
      <c r="X287" s="24">
        <f t="shared" si="54"/>
        <v>117.22666666666666</v>
      </c>
      <c r="Y287" s="21">
        <v>1</v>
      </c>
      <c r="Z287" s="24">
        <f t="shared" si="50"/>
        <v>1119.8617767098365</v>
      </c>
      <c r="AA287" s="24">
        <f t="shared" si="51"/>
        <v>117.22666666666666</v>
      </c>
      <c r="AB287" s="21"/>
      <c r="AC287" s="21"/>
      <c r="AD287" s="21"/>
      <c r="AE287" s="21"/>
      <c r="AF287" s="21" t="s">
        <v>247</v>
      </c>
      <c r="AG287" s="21"/>
      <c r="AH287" s="24"/>
      <c r="AI287" s="24"/>
      <c r="AJ287" s="21">
        <v>167.46666666666667</v>
      </c>
      <c r="AK287" s="21">
        <v>20</v>
      </c>
      <c r="AL287" s="22" t="s">
        <v>1036</v>
      </c>
      <c r="AM287" s="22">
        <v>0.11</v>
      </c>
      <c r="AO287" s="22" t="s">
        <v>830</v>
      </c>
      <c r="AP287" s="22" t="s">
        <v>963</v>
      </c>
      <c r="AQ287" s="22" t="str">
        <f t="shared" si="52"/>
        <v>Microphytoplankton</v>
      </c>
      <c r="AR287" s="22">
        <v>1</v>
      </c>
      <c r="AS287" s="22">
        <v>1</v>
      </c>
      <c r="AT287" s="22">
        <v>0</v>
      </c>
      <c r="AU287" s="22">
        <v>0</v>
      </c>
      <c r="AV287" s="22">
        <v>0</v>
      </c>
      <c r="AW287" s="22">
        <v>0</v>
      </c>
      <c r="AX287" s="22">
        <v>1</v>
      </c>
      <c r="AY287" s="22">
        <v>0</v>
      </c>
    </row>
    <row r="288" spans="1:57">
      <c r="A288" s="21" t="s">
        <v>1037</v>
      </c>
      <c r="B288" s="22" t="s">
        <v>663</v>
      </c>
      <c r="C288" s="23" t="s">
        <v>822</v>
      </c>
      <c r="D288" s="23" t="s">
        <v>965</v>
      </c>
      <c r="E288" s="22" t="s">
        <v>991</v>
      </c>
      <c r="F288" s="23" t="s">
        <v>992</v>
      </c>
      <c r="I288" s="22" t="s">
        <v>1038</v>
      </c>
      <c r="J288" s="22" t="s">
        <v>1039</v>
      </c>
      <c r="N288" s="22" t="s">
        <v>740</v>
      </c>
      <c r="O288" s="22" t="s">
        <v>962</v>
      </c>
      <c r="P288" s="21">
        <v>51510</v>
      </c>
      <c r="Q288" s="21">
        <v>8.5</v>
      </c>
      <c r="R288" s="21">
        <v>8.5</v>
      </c>
      <c r="S288" s="21">
        <v>8.5</v>
      </c>
      <c r="T288" s="22" t="s">
        <v>281</v>
      </c>
      <c r="U288" s="21">
        <v>1</v>
      </c>
      <c r="V288" s="22">
        <v>1</v>
      </c>
      <c r="W288" s="24">
        <f t="shared" si="53"/>
        <v>718.57540906372651</v>
      </c>
      <c r="X288" s="24">
        <f t="shared" si="54"/>
        <v>321.39208333333335</v>
      </c>
      <c r="Y288" s="21">
        <v>1</v>
      </c>
      <c r="Z288" s="24">
        <f t="shared" si="50"/>
        <v>718.57540906372651</v>
      </c>
      <c r="AA288" s="24">
        <f t="shared" si="51"/>
        <v>321.39208333333335</v>
      </c>
      <c r="AB288" s="21"/>
      <c r="AC288" s="21"/>
      <c r="AD288" s="21"/>
      <c r="AE288" s="21"/>
      <c r="AF288" s="21" t="s">
        <v>247</v>
      </c>
      <c r="AG288" s="21"/>
      <c r="AH288" s="24"/>
      <c r="AI288" s="24"/>
      <c r="AJ288" s="21">
        <v>321.5</v>
      </c>
      <c r="AK288" s="21">
        <v>8.5</v>
      </c>
      <c r="AL288" s="22" t="s">
        <v>161</v>
      </c>
      <c r="AM288" s="22">
        <v>0.11</v>
      </c>
      <c r="AP288" s="22" t="s">
        <v>963</v>
      </c>
      <c r="AQ288" s="22" t="str">
        <f t="shared" si="52"/>
        <v>Nanophytoplankton</v>
      </c>
      <c r="AR288" s="22">
        <v>0</v>
      </c>
      <c r="AS288" s="22">
        <v>0</v>
      </c>
      <c r="AT288" s="22">
        <v>0</v>
      </c>
      <c r="AU288" s="22">
        <v>1</v>
      </c>
      <c r="AV288" s="22">
        <v>0</v>
      </c>
      <c r="AW288" s="22">
        <v>0</v>
      </c>
      <c r="AX288" s="22">
        <v>1</v>
      </c>
      <c r="AY288" s="22">
        <v>0</v>
      </c>
    </row>
    <row r="289" spans="1:57">
      <c r="A289" s="21" t="s">
        <v>1040</v>
      </c>
      <c r="B289" s="22" t="s">
        <v>663</v>
      </c>
      <c r="C289" s="23" t="s">
        <v>664</v>
      </c>
      <c r="D289" s="22" t="s">
        <v>954</v>
      </c>
      <c r="E289" s="22" t="s">
        <v>955</v>
      </c>
      <c r="F289" s="23" t="s">
        <v>956</v>
      </c>
      <c r="G289" s="22" t="s">
        <v>957</v>
      </c>
      <c r="H289" s="22" t="s">
        <v>1041</v>
      </c>
      <c r="I289" s="22" t="s">
        <v>1042</v>
      </c>
      <c r="J289" s="22" t="s">
        <v>1043</v>
      </c>
      <c r="N289" s="22" t="s">
        <v>1044</v>
      </c>
      <c r="O289" s="22" t="s">
        <v>962</v>
      </c>
      <c r="P289" s="21">
        <v>51110</v>
      </c>
      <c r="Q289" s="21">
        <v>17</v>
      </c>
      <c r="R289" s="21">
        <v>17</v>
      </c>
      <c r="S289" s="21">
        <v>17</v>
      </c>
      <c r="T289" s="22" t="s">
        <v>281</v>
      </c>
      <c r="U289" s="21">
        <v>1</v>
      </c>
      <c r="V289" s="22">
        <v>1</v>
      </c>
      <c r="W289" s="24">
        <f t="shared" si="53"/>
        <v>2836.1679608953618</v>
      </c>
      <c r="X289" s="24">
        <f t="shared" si="54"/>
        <v>2571.1366666666668</v>
      </c>
      <c r="Y289" s="21">
        <v>1</v>
      </c>
      <c r="Z289" s="24">
        <f t="shared" si="50"/>
        <v>2836.1679608953618</v>
      </c>
      <c r="AA289" s="24">
        <f t="shared" si="51"/>
        <v>2571.1366666666668</v>
      </c>
      <c r="AB289" s="21"/>
      <c r="AC289" s="21"/>
      <c r="AD289" s="21"/>
      <c r="AE289" s="21"/>
      <c r="AF289" s="21" t="s">
        <v>247</v>
      </c>
      <c r="AG289" s="21"/>
      <c r="AH289" s="24"/>
      <c r="AI289" s="24"/>
      <c r="AJ289" s="21">
        <v>2572.4</v>
      </c>
      <c r="AK289" s="21">
        <v>17</v>
      </c>
      <c r="AL289" s="22" t="s">
        <v>161</v>
      </c>
      <c r="AM289" s="22">
        <v>0.11</v>
      </c>
      <c r="AP289" s="22" t="s">
        <v>963</v>
      </c>
      <c r="AQ289" s="22" t="str">
        <f t="shared" si="52"/>
        <v>Nanophytoplankton</v>
      </c>
      <c r="AR289" s="22">
        <v>0</v>
      </c>
      <c r="AS289" s="22">
        <v>0</v>
      </c>
      <c r="AT289" s="22">
        <v>0</v>
      </c>
      <c r="AU289" s="22">
        <v>0</v>
      </c>
      <c r="AV289" s="22">
        <v>0</v>
      </c>
      <c r="AW289" s="22">
        <v>1</v>
      </c>
      <c r="AX289" s="22">
        <v>0</v>
      </c>
      <c r="AY289" s="22">
        <v>0</v>
      </c>
    </row>
    <row r="290" spans="1:57">
      <c r="A290" s="21" t="s">
        <v>1045</v>
      </c>
      <c r="B290" s="22" t="s">
        <v>663</v>
      </c>
      <c r="C290" s="23" t="s">
        <v>664</v>
      </c>
      <c r="D290" s="22" t="s">
        <v>954</v>
      </c>
      <c r="E290" s="22" t="s">
        <v>955</v>
      </c>
      <c r="F290" s="23" t="s">
        <v>956</v>
      </c>
      <c r="G290" s="22" t="s">
        <v>957</v>
      </c>
      <c r="H290" s="22" t="s">
        <v>1041</v>
      </c>
      <c r="I290" s="22" t="s">
        <v>1042</v>
      </c>
      <c r="J290" s="22" t="s">
        <v>211</v>
      </c>
      <c r="M290" s="22" t="s">
        <v>1</v>
      </c>
      <c r="N290" s="22" t="s">
        <v>1046</v>
      </c>
      <c r="O290" s="22" t="s">
        <v>962</v>
      </c>
      <c r="P290" s="21">
        <v>51100</v>
      </c>
      <c r="Q290" s="21">
        <v>13</v>
      </c>
      <c r="R290" s="21">
        <v>13</v>
      </c>
      <c r="S290" s="21">
        <v>13</v>
      </c>
      <c r="T290" s="22" t="s">
        <v>281</v>
      </c>
      <c r="U290" s="21">
        <v>1</v>
      </c>
      <c r="V290" s="22">
        <v>1</v>
      </c>
      <c r="W290" s="24">
        <f t="shared" si="53"/>
        <v>1664.4222732199528</v>
      </c>
      <c r="X290" s="24">
        <f t="shared" si="54"/>
        <v>1149.7633333333333</v>
      </c>
      <c r="Y290" s="21">
        <v>1</v>
      </c>
      <c r="Z290" s="24">
        <f t="shared" si="50"/>
        <v>1664.4222732199528</v>
      </c>
      <c r="AA290" s="24">
        <f t="shared" si="51"/>
        <v>1149.7633333333333</v>
      </c>
      <c r="AB290" s="21"/>
      <c r="AC290" s="21"/>
      <c r="AD290" s="21"/>
      <c r="AE290" s="21"/>
      <c r="AF290" s="21" t="s">
        <v>247</v>
      </c>
      <c r="AG290" s="21"/>
      <c r="AH290" s="24"/>
      <c r="AI290" s="24"/>
      <c r="AJ290" s="21">
        <v>1150.3</v>
      </c>
      <c r="AK290" s="21">
        <v>13</v>
      </c>
      <c r="AL290" s="22" t="s">
        <v>161</v>
      </c>
      <c r="AM290" s="22">
        <v>0.11</v>
      </c>
      <c r="AP290" s="22" t="s">
        <v>963</v>
      </c>
      <c r="AQ290" s="22" t="str">
        <f t="shared" si="52"/>
        <v>Nanophytoplankton</v>
      </c>
      <c r="AR290" s="22">
        <v>0</v>
      </c>
      <c r="AS290" s="22">
        <v>0</v>
      </c>
      <c r="AT290" s="22">
        <v>0</v>
      </c>
      <c r="AU290" s="22">
        <v>0</v>
      </c>
      <c r="AV290" s="22">
        <v>0</v>
      </c>
      <c r="AW290" s="22">
        <v>1</v>
      </c>
      <c r="AX290" s="22">
        <v>0</v>
      </c>
      <c r="AY290" s="22">
        <v>0</v>
      </c>
    </row>
    <row r="291" spans="1:57">
      <c r="A291" s="21" t="s">
        <v>1047</v>
      </c>
      <c r="B291" s="22" t="s">
        <v>663</v>
      </c>
      <c r="C291" s="23" t="s">
        <v>822</v>
      </c>
      <c r="D291" s="23" t="s">
        <v>965</v>
      </c>
      <c r="E291" s="22" t="s">
        <v>991</v>
      </c>
      <c r="F291" s="23" t="s">
        <v>992</v>
      </c>
      <c r="G291" s="29"/>
      <c r="H291" s="29"/>
      <c r="I291" s="22" t="s">
        <v>685</v>
      </c>
      <c r="J291" s="29" t="s">
        <v>314</v>
      </c>
      <c r="K291" s="29"/>
      <c r="L291" s="29" t="s">
        <v>685</v>
      </c>
      <c r="M291" s="22" t="s">
        <v>102</v>
      </c>
      <c r="O291" s="22" t="s">
        <v>1048</v>
      </c>
      <c r="P291" s="21">
        <v>50001</v>
      </c>
      <c r="Q291" s="21">
        <v>8.5</v>
      </c>
      <c r="R291" s="21">
        <v>8.5</v>
      </c>
      <c r="S291" s="21">
        <v>8.5</v>
      </c>
      <c r="T291" s="22" t="s">
        <v>281</v>
      </c>
      <c r="U291" s="21">
        <v>1</v>
      </c>
      <c r="V291" s="22">
        <v>1</v>
      </c>
      <c r="W291" s="24">
        <f t="shared" si="53"/>
        <v>718.57540906372651</v>
      </c>
      <c r="X291" s="24">
        <f t="shared" si="54"/>
        <v>321.39208333333335</v>
      </c>
      <c r="Y291" s="21">
        <v>1</v>
      </c>
      <c r="Z291" s="24">
        <f t="shared" si="50"/>
        <v>718.57540906372651</v>
      </c>
      <c r="AA291" s="24">
        <f t="shared" si="51"/>
        <v>321.39208333333335</v>
      </c>
      <c r="AB291" s="21"/>
      <c r="AC291" s="21"/>
      <c r="AD291" s="21"/>
      <c r="AE291" s="21"/>
      <c r="AF291" s="21" t="s">
        <v>247</v>
      </c>
      <c r="AG291" s="21"/>
      <c r="AH291" s="24"/>
      <c r="AI291" s="24"/>
      <c r="AJ291" s="21">
        <v>321.5</v>
      </c>
      <c r="AK291" s="21">
        <v>8.5</v>
      </c>
      <c r="AL291" s="22" t="s">
        <v>161</v>
      </c>
      <c r="AM291" s="22">
        <v>0.11</v>
      </c>
      <c r="AN291" s="29"/>
      <c r="AP291" s="22" t="s">
        <v>963</v>
      </c>
      <c r="AQ291" s="22" t="str">
        <f t="shared" si="52"/>
        <v>Nanophytoplankton</v>
      </c>
      <c r="AR291" s="29">
        <v>0</v>
      </c>
      <c r="AS291" s="22">
        <v>0</v>
      </c>
      <c r="AT291" s="22">
        <v>0</v>
      </c>
      <c r="AU291" s="22">
        <v>0</v>
      </c>
      <c r="AV291" s="22">
        <v>0</v>
      </c>
      <c r="AW291" s="22">
        <v>0</v>
      </c>
      <c r="AX291" s="22">
        <v>1</v>
      </c>
      <c r="AY291" s="22">
        <v>0</v>
      </c>
    </row>
    <row r="292" spans="1:57">
      <c r="A292" s="21" t="s">
        <v>1049</v>
      </c>
      <c r="B292" s="22" t="s">
        <v>663</v>
      </c>
      <c r="C292" s="23" t="s">
        <v>822</v>
      </c>
      <c r="D292" s="23" t="s">
        <v>965</v>
      </c>
      <c r="E292" s="22" t="s">
        <v>991</v>
      </c>
      <c r="F292" s="23" t="s">
        <v>992</v>
      </c>
      <c r="G292" s="29"/>
      <c r="H292" s="29"/>
      <c r="I292" s="22" t="s">
        <v>685</v>
      </c>
      <c r="J292" s="29" t="s">
        <v>455</v>
      </c>
      <c r="K292" s="29"/>
      <c r="L292" s="29" t="s">
        <v>685</v>
      </c>
      <c r="M292" s="22" t="s">
        <v>102</v>
      </c>
      <c r="O292" s="22" t="s">
        <v>1048</v>
      </c>
      <c r="P292" s="21">
        <v>50002</v>
      </c>
      <c r="Q292" s="21">
        <v>11.6</v>
      </c>
      <c r="R292" s="21">
        <v>11.6</v>
      </c>
      <c r="S292" s="21">
        <v>11.6</v>
      </c>
      <c r="T292" s="22" t="s">
        <v>281</v>
      </c>
      <c r="U292" s="21">
        <v>1</v>
      </c>
      <c r="V292" s="22">
        <v>1</v>
      </c>
      <c r="W292" s="24">
        <f t="shared" si="53"/>
        <v>1327.9230603785238</v>
      </c>
      <c r="X292" s="24">
        <f t="shared" si="54"/>
        <v>816.86890666666659</v>
      </c>
      <c r="Y292" s="21">
        <v>1</v>
      </c>
      <c r="Z292" s="24">
        <f t="shared" si="50"/>
        <v>1327.9230603785238</v>
      </c>
      <c r="AA292" s="24">
        <f t="shared" si="51"/>
        <v>816.86890666666659</v>
      </c>
      <c r="AB292" s="21"/>
      <c r="AC292" s="21"/>
      <c r="AD292" s="21"/>
      <c r="AE292" s="21"/>
      <c r="AF292" s="21" t="s">
        <v>247</v>
      </c>
      <c r="AG292" s="21"/>
      <c r="AH292" s="24"/>
      <c r="AI292" s="24"/>
      <c r="AJ292" s="21">
        <v>1560</v>
      </c>
      <c r="AK292" s="21">
        <v>11.6</v>
      </c>
      <c r="AL292" s="22" t="s">
        <v>161</v>
      </c>
      <c r="AM292" s="22">
        <v>0.11</v>
      </c>
      <c r="AN292" s="29"/>
      <c r="AP292" s="22" t="s">
        <v>963</v>
      </c>
      <c r="AQ292" s="22" t="str">
        <f t="shared" si="52"/>
        <v>Nanophytoplankton</v>
      </c>
      <c r="AR292" s="29">
        <v>0</v>
      </c>
      <c r="AS292" s="22">
        <v>0</v>
      </c>
      <c r="AT292" s="22">
        <v>0</v>
      </c>
      <c r="AU292" s="22">
        <v>0</v>
      </c>
      <c r="AV292" s="22">
        <v>0</v>
      </c>
      <c r="AW292" s="22">
        <v>0</v>
      </c>
      <c r="AX292" s="22">
        <v>1</v>
      </c>
      <c r="AY292" s="22">
        <v>0</v>
      </c>
    </row>
    <row r="293" spans="1:57">
      <c r="A293" s="21" t="s">
        <v>1050</v>
      </c>
      <c r="B293" s="22" t="s">
        <v>663</v>
      </c>
      <c r="C293" s="23" t="s">
        <v>664</v>
      </c>
      <c r="D293" s="22" t="s">
        <v>954</v>
      </c>
      <c r="E293" s="22" t="s">
        <v>955</v>
      </c>
      <c r="F293" s="23" t="s">
        <v>956</v>
      </c>
      <c r="G293" s="22" t="s">
        <v>957</v>
      </c>
      <c r="H293" s="22" t="s">
        <v>1041</v>
      </c>
      <c r="I293" s="22" t="s">
        <v>1051</v>
      </c>
      <c r="J293" s="22" t="s">
        <v>1052</v>
      </c>
      <c r="N293" s="22" t="s">
        <v>157</v>
      </c>
      <c r="O293" s="22" t="s">
        <v>962</v>
      </c>
      <c r="P293" s="21">
        <v>51000</v>
      </c>
      <c r="Q293" s="21">
        <v>6</v>
      </c>
      <c r="R293" s="21">
        <v>4.5</v>
      </c>
      <c r="S293" s="21">
        <v>4.5</v>
      </c>
      <c r="T293" s="22" t="s">
        <v>281</v>
      </c>
      <c r="U293" s="21">
        <v>1</v>
      </c>
      <c r="V293" s="22">
        <v>1</v>
      </c>
      <c r="W293" s="24">
        <f t="shared" si="53"/>
        <v>272.46602943285995</v>
      </c>
      <c r="X293" s="24">
        <f t="shared" si="54"/>
        <v>63.584999999999994</v>
      </c>
      <c r="Y293" s="21">
        <v>1</v>
      </c>
      <c r="Z293" s="24">
        <f t="shared" si="50"/>
        <v>272.46602943285995</v>
      </c>
      <c r="AA293" s="24">
        <f t="shared" si="51"/>
        <v>63.584999999999994</v>
      </c>
      <c r="AB293" s="21"/>
      <c r="AC293" s="21"/>
      <c r="AD293" s="21"/>
      <c r="AE293" s="21"/>
      <c r="AF293" s="21" t="s">
        <v>247</v>
      </c>
      <c r="AG293" s="21"/>
      <c r="AH293" s="24"/>
      <c r="AI293" s="24"/>
      <c r="AJ293" s="21">
        <v>63.6</v>
      </c>
      <c r="AK293" s="21">
        <v>40</v>
      </c>
      <c r="AL293" s="22" t="s">
        <v>161</v>
      </c>
      <c r="AM293" s="22">
        <v>0.11</v>
      </c>
      <c r="AP293" s="22" t="s">
        <v>963</v>
      </c>
      <c r="AQ293" s="22" t="str">
        <f t="shared" si="52"/>
        <v>Microphytoplankton</v>
      </c>
      <c r="AR293" s="22">
        <v>1</v>
      </c>
      <c r="AS293" s="22">
        <v>1</v>
      </c>
      <c r="AT293" s="22">
        <v>0</v>
      </c>
      <c r="AU293" s="22">
        <v>0</v>
      </c>
      <c r="AV293" s="22">
        <v>0</v>
      </c>
      <c r="AW293" s="22">
        <v>1</v>
      </c>
      <c r="AX293" s="22">
        <v>0</v>
      </c>
      <c r="AY293" s="22">
        <v>0</v>
      </c>
    </row>
    <row r="294" spans="1:57">
      <c r="A294" s="21" t="s">
        <v>1053</v>
      </c>
      <c r="B294" s="22" t="s">
        <v>663</v>
      </c>
      <c r="C294" s="23" t="s">
        <v>822</v>
      </c>
      <c r="D294" s="23" t="s">
        <v>965</v>
      </c>
      <c r="E294" s="22" t="s">
        <v>991</v>
      </c>
      <c r="F294" s="23" t="s">
        <v>992</v>
      </c>
      <c r="G294" s="23" t="s">
        <v>1005</v>
      </c>
      <c r="H294" s="22" t="s">
        <v>1022</v>
      </c>
      <c r="I294" s="22" t="s">
        <v>1054</v>
      </c>
      <c r="J294" s="22" t="s">
        <v>1055</v>
      </c>
      <c r="N294" s="22" t="s">
        <v>1056</v>
      </c>
      <c r="O294" s="22" t="s">
        <v>962</v>
      </c>
      <c r="P294" s="21">
        <v>50301</v>
      </c>
      <c r="Q294" s="21">
        <v>43</v>
      </c>
      <c r="R294" s="21">
        <v>6</v>
      </c>
      <c r="S294" s="21">
        <v>6</v>
      </c>
      <c r="T294" s="22" t="s">
        <v>281</v>
      </c>
      <c r="U294" s="21">
        <v>0.8</v>
      </c>
      <c r="V294" s="21">
        <v>0.8</v>
      </c>
      <c r="W294" s="24">
        <f t="shared" si="53"/>
        <v>3148.6354903782881</v>
      </c>
      <c r="X294" s="24">
        <f t="shared" si="54"/>
        <v>648.09600000000012</v>
      </c>
      <c r="Y294" s="21">
        <v>1</v>
      </c>
      <c r="Z294" s="24">
        <f t="shared" si="50"/>
        <v>3148.6354903782881</v>
      </c>
      <c r="AA294" s="24">
        <f t="shared" si="51"/>
        <v>648.09600000000012</v>
      </c>
      <c r="AB294" s="21"/>
      <c r="AC294" s="21"/>
      <c r="AD294" s="21"/>
      <c r="AE294" s="21"/>
      <c r="AF294" s="21" t="s">
        <v>247</v>
      </c>
      <c r="AG294" s="21"/>
      <c r="AH294" s="24"/>
      <c r="AI294" s="24"/>
      <c r="AJ294" s="21">
        <v>1215</v>
      </c>
      <c r="AK294" s="21">
        <v>43</v>
      </c>
      <c r="AL294" s="22" t="s">
        <v>161</v>
      </c>
      <c r="AM294" s="22">
        <v>0.11</v>
      </c>
      <c r="AN294" s="22" t="s">
        <v>1057</v>
      </c>
      <c r="AO294" s="22" t="s">
        <v>1057</v>
      </c>
      <c r="AP294" s="22" t="s">
        <v>963</v>
      </c>
      <c r="AQ294" s="22" t="str">
        <f t="shared" si="52"/>
        <v>Microphytoplankton</v>
      </c>
      <c r="AR294" s="22">
        <v>1</v>
      </c>
      <c r="AS294" s="22">
        <v>1</v>
      </c>
      <c r="AT294" s="22">
        <v>0</v>
      </c>
      <c r="AU294" s="22">
        <v>1</v>
      </c>
      <c r="AV294" s="22">
        <v>0</v>
      </c>
      <c r="AW294" s="22">
        <v>0</v>
      </c>
      <c r="AX294" s="22">
        <v>1</v>
      </c>
      <c r="AY294" s="22">
        <v>0</v>
      </c>
    </row>
    <row r="295" spans="1:57">
      <c r="A295" s="21" t="s">
        <v>1058</v>
      </c>
      <c r="B295" s="22" t="s">
        <v>663</v>
      </c>
      <c r="C295" s="23" t="s">
        <v>822</v>
      </c>
      <c r="D295" s="23" t="s">
        <v>965</v>
      </c>
      <c r="E295" s="22" t="s">
        <v>991</v>
      </c>
      <c r="F295" s="23" t="s">
        <v>992</v>
      </c>
      <c r="G295" s="23" t="s">
        <v>1005</v>
      </c>
      <c r="H295" s="22" t="s">
        <v>1022</v>
      </c>
      <c r="I295" s="22" t="s">
        <v>1054</v>
      </c>
      <c r="J295" s="22" t="s">
        <v>1059</v>
      </c>
      <c r="N295" s="22" t="s">
        <v>1060</v>
      </c>
      <c r="O295" s="22" t="s">
        <v>962</v>
      </c>
      <c r="P295" s="21">
        <v>50395</v>
      </c>
      <c r="Q295" s="21">
        <v>30</v>
      </c>
      <c r="R295" s="21">
        <v>4</v>
      </c>
      <c r="S295" s="21">
        <v>4</v>
      </c>
      <c r="T295" s="22" t="s">
        <v>281</v>
      </c>
      <c r="U295" s="21">
        <v>0.6</v>
      </c>
      <c r="V295" s="21">
        <v>0.6</v>
      </c>
      <c r="W295" s="24">
        <f t="shared" si="53"/>
        <v>1954.9501544993072</v>
      </c>
      <c r="X295" s="24">
        <f t="shared" si="54"/>
        <v>150.72</v>
      </c>
      <c r="Y295" s="21">
        <v>1</v>
      </c>
      <c r="Z295" s="24">
        <f t="shared" si="50"/>
        <v>1954.9501544993072</v>
      </c>
      <c r="AA295" s="24">
        <f t="shared" si="51"/>
        <v>150.72</v>
      </c>
      <c r="AB295" s="21"/>
      <c r="AC295" s="21"/>
      <c r="AD295" s="21"/>
      <c r="AE295" s="21"/>
      <c r="AF295" s="21" t="s">
        <v>247</v>
      </c>
      <c r="AG295" s="21"/>
      <c r="AH295" s="24"/>
      <c r="AI295" s="24"/>
      <c r="AJ295" s="21">
        <v>150.80000000000001</v>
      </c>
      <c r="AK295" s="21">
        <v>30</v>
      </c>
      <c r="AL295" s="22" t="s">
        <v>161</v>
      </c>
      <c r="AM295" s="22">
        <v>0.11</v>
      </c>
      <c r="AN295" s="22" t="s">
        <v>1057</v>
      </c>
      <c r="AO295" s="22" t="s">
        <v>1057</v>
      </c>
      <c r="AP295" s="22" t="s">
        <v>963</v>
      </c>
      <c r="AQ295" s="22" t="str">
        <f t="shared" si="52"/>
        <v>Microphytoplankton</v>
      </c>
      <c r="AR295" s="22">
        <v>1</v>
      </c>
      <c r="AS295" s="22">
        <v>1</v>
      </c>
      <c r="AT295" s="22">
        <v>0</v>
      </c>
      <c r="AU295" s="22">
        <v>1</v>
      </c>
      <c r="AV295" s="22">
        <v>0</v>
      </c>
      <c r="AW295" s="22">
        <v>0</v>
      </c>
      <c r="AX295" s="22">
        <v>1</v>
      </c>
      <c r="AY295" s="22">
        <v>0</v>
      </c>
      <c r="AZ295" s="22">
        <v>1</v>
      </c>
      <c r="BA295" s="22">
        <v>1</v>
      </c>
      <c r="BB295" s="22">
        <v>4</v>
      </c>
      <c r="BC295" s="22">
        <v>4</v>
      </c>
      <c r="BD295" s="22">
        <v>0</v>
      </c>
      <c r="BE295" s="22">
        <v>0</v>
      </c>
    </row>
    <row r="296" spans="1:57">
      <c r="A296" s="21" t="s">
        <v>1061</v>
      </c>
      <c r="B296" s="22" t="s">
        <v>663</v>
      </c>
      <c r="C296" s="23" t="s">
        <v>822</v>
      </c>
      <c r="D296" s="23" t="s">
        <v>965</v>
      </c>
      <c r="E296" s="22" t="s">
        <v>991</v>
      </c>
      <c r="F296" s="23" t="s">
        <v>992</v>
      </c>
      <c r="G296" s="23" t="s">
        <v>1005</v>
      </c>
      <c r="H296" s="22" t="s">
        <v>1022</v>
      </c>
      <c r="I296" s="22" t="s">
        <v>1054</v>
      </c>
      <c r="J296" s="22" t="s">
        <v>1059</v>
      </c>
      <c r="L296" s="22" t="s">
        <v>1062</v>
      </c>
      <c r="N296" s="22" t="s">
        <v>1063</v>
      </c>
      <c r="O296" s="22" t="s">
        <v>962</v>
      </c>
      <c r="P296" s="21">
        <v>50396</v>
      </c>
      <c r="Q296" s="21">
        <v>30</v>
      </c>
      <c r="R296" s="21">
        <v>4</v>
      </c>
      <c r="S296" s="21">
        <v>4</v>
      </c>
      <c r="T296" s="22" t="s">
        <v>281</v>
      </c>
      <c r="U296" s="21">
        <v>0.6</v>
      </c>
      <c r="V296" s="21">
        <v>0.6</v>
      </c>
      <c r="W296" s="24">
        <f t="shared" si="53"/>
        <v>1954.9501544993072</v>
      </c>
      <c r="X296" s="24">
        <f t="shared" si="54"/>
        <v>150.72</v>
      </c>
      <c r="Y296" s="21">
        <v>1</v>
      </c>
      <c r="Z296" s="24">
        <f t="shared" si="50"/>
        <v>1954.9501544993072</v>
      </c>
      <c r="AA296" s="24">
        <f t="shared" si="51"/>
        <v>150.72</v>
      </c>
      <c r="AB296" s="21"/>
      <c r="AC296" s="21"/>
      <c r="AD296" s="21"/>
      <c r="AE296" s="21"/>
      <c r="AF296" s="21" t="s">
        <v>247</v>
      </c>
      <c r="AG296" s="21"/>
      <c r="AH296" s="24"/>
      <c r="AI296" s="24"/>
      <c r="AJ296" s="21">
        <v>150.80000000000001</v>
      </c>
      <c r="AK296" s="21">
        <v>30</v>
      </c>
      <c r="AL296" s="22" t="s">
        <v>161</v>
      </c>
      <c r="AM296" s="22">
        <v>0.11</v>
      </c>
      <c r="AN296" s="22" t="s">
        <v>1057</v>
      </c>
      <c r="AO296" s="22" t="s">
        <v>1057</v>
      </c>
      <c r="AP296" s="22" t="s">
        <v>963</v>
      </c>
      <c r="AQ296" s="22" t="str">
        <f t="shared" si="52"/>
        <v>Microphytoplankton</v>
      </c>
      <c r="AR296" s="22">
        <v>1</v>
      </c>
      <c r="AS296" s="22">
        <v>1</v>
      </c>
      <c r="AT296" s="22">
        <v>0</v>
      </c>
      <c r="AU296" s="22">
        <v>1</v>
      </c>
      <c r="AV296" s="22">
        <v>0</v>
      </c>
      <c r="AW296" s="22">
        <v>0</v>
      </c>
      <c r="AX296" s="22">
        <v>1</v>
      </c>
      <c r="AY296" s="22">
        <v>0</v>
      </c>
      <c r="AZ296" s="22">
        <v>1</v>
      </c>
      <c r="BA296" s="22">
        <v>1</v>
      </c>
      <c r="BB296" s="22">
        <v>4</v>
      </c>
      <c r="BC296" s="22">
        <v>4</v>
      </c>
      <c r="BD296" s="22">
        <v>0</v>
      </c>
      <c r="BE296" s="22">
        <v>0</v>
      </c>
    </row>
    <row r="297" spans="1:57">
      <c r="A297" s="21" t="s">
        <v>1064</v>
      </c>
      <c r="B297" s="22" t="s">
        <v>663</v>
      </c>
      <c r="C297" s="23" t="s">
        <v>822</v>
      </c>
      <c r="D297" s="23" t="s">
        <v>965</v>
      </c>
      <c r="E297" s="22" t="s">
        <v>991</v>
      </c>
      <c r="F297" s="23" t="s">
        <v>992</v>
      </c>
      <c r="G297" s="23" t="s">
        <v>1005</v>
      </c>
      <c r="H297" s="22" t="s">
        <v>1022</v>
      </c>
      <c r="I297" s="22" t="s">
        <v>1054</v>
      </c>
      <c r="J297" s="22" t="s">
        <v>1059</v>
      </c>
      <c r="L297" s="22" t="s">
        <v>1065</v>
      </c>
      <c r="N297" s="22" t="s">
        <v>1063</v>
      </c>
      <c r="O297" s="22" t="s">
        <v>962</v>
      </c>
      <c r="P297" s="21">
        <v>50397</v>
      </c>
      <c r="Q297" s="21">
        <v>30</v>
      </c>
      <c r="R297" s="21">
        <v>4</v>
      </c>
      <c r="S297" s="21">
        <v>4</v>
      </c>
      <c r="T297" s="22" t="s">
        <v>281</v>
      </c>
      <c r="U297" s="21">
        <v>0.6</v>
      </c>
      <c r="V297" s="21">
        <v>0.6</v>
      </c>
      <c r="W297" s="24">
        <f t="shared" si="53"/>
        <v>1954.9501544993072</v>
      </c>
      <c r="X297" s="24">
        <f t="shared" si="54"/>
        <v>150.72</v>
      </c>
      <c r="Y297" s="21">
        <v>1</v>
      </c>
      <c r="Z297" s="24">
        <f t="shared" si="50"/>
        <v>1954.9501544993072</v>
      </c>
      <c r="AA297" s="24">
        <f t="shared" si="51"/>
        <v>150.72</v>
      </c>
      <c r="AB297" s="21"/>
      <c r="AC297" s="21"/>
      <c r="AD297" s="21"/>
      <c r="AE297" s="21"/>
      <c r="AF297" s="21" t="s">
        <v>247</v>
      </c>
      <c r="AG297" s="21"/>
      <c r="AH297" s="24"/>
      <c r="AI297" s="24"/>
      <c r="AJ297" s="21">
        <v>150.80000000000001</v>
      </c>
      <c r="AK297" s="21">
        <v>30</v>
      </c>
      <c r="AL297" s="22" t="s">
        <v>161</v>
      </c>
      <c r="AM297" s="22">
        <v>0.11</v>
      </c>
      <c r="AN297" s="22" t="s">
        <v>1057</v>
      </c>
      <c r="AO297" s="22" t="s">
        <v>1057</v>
      </c>
      <c r="AP297" s="22" t="s">
        <v>963</v>
      </c>
      <c r="AQ297" s="22" t="str">
        <f t="shared" si="52"/>
        <v>Microphytoplankton</v>
      </c>
      <c r="AR297" s="22">
        <v>1</v>
      </c>
      <c r="AS297" s="22">
        <v>1</v>
      </c>
      <c r="AT297" s="22">
        <v>0</v>
      </c>
      <c r="AU297" s="22">
        <v>1</v>
      </c>
      <c r="AV297" s="22">
        <v>0</v>
      </c>
      <c r="AW297" s="22">
        <v>0</v>
      </c>
      <c r="AX297" s="22">
        <v>1</v>
      </c>
      <c r="AY297" s="22">
        <v>0</v>
      </c>
      <c r="AZ297" s="22">
        <v>1</v>
      </c>
      <c r="BA297" s="22">
        <v>1</v>
      </c>
      <c r="BB297" s="22">
        <v>4</v>
      </c>
      <c r="BC297" s="22">
        <v>4</v>
      </c>
      <c r="BD297" s="22">
        <v>0</v>
      </c>
      <c r="BE297" s="22">
        <v>0</v>
      </c>
    </row>
    <row r="298" spans="1:57">
      <c r="A298" s="21" t="s">
        <v>1066</v>
      </c>
      <c r="B298" s="22" t="s">
        <v>663</v>
      </c>
      <c r="C298" s="23" t="s">
        <v>822</v>
      </c>
      <c r="D298" s="23" t="s">
        <v>965</v>
      </c>
      <c r="E298" s="22" t="s">
        <v>991</v>
      </c>
      <c r="F298" s="23" t="s">
        <v>992</v>
      </c>
      <c r="G298" s="23" t="s">
        <v>1005</v>
      </c>
      <c r="H298" s="22" t="s">
        <v>1022</v>
      </c>
      <c r="I298" s="22" t="s">
        <v>1054</v>
      </c>
      <c r="J298" s="22" t="s">
        <v>1067</v>
      </c>
      <c r="L298" s="22" t="s">
        <v>1062</v>
      </c>
      <c r="N298" s="22" t="s">
        <v>1068</v>
      </c>
      <c r="O298" s="22" t="s">
        <v>962</v>
      </c>
      <c r="P298" s="21">
        <v>50398</v>
      </c>
      <c r="Q298" s="21">
        <v>30</v>
      </c>
      <c r="R298" s="21">
        <v>6</v>
      </c>
      <c r="S298" s="21">
        <v>6</v>
      </c>
      <c r="T298" s="22" t="s">
        <v>281</v>
      </c>
      <c r="U298" s="21">
        <v>0.6</v>
      </c>
      <c r="V298" s="21">
        <v>0.6</v>
      </c>
      <c r="W298" s="24">
        <f t="shared" si="53"/>
        <v>2932.4252317489613</v>
      </c>
      <c r="X298" s="24">
        <f t="shared" si="54"/>
        <v>339.11999999999995</v>
      </c>
      <c r="Y298" s="21">
        <v>1</v>
      </c>
      <c r="Z298" s="24">
        <f t="shared" si="50"/>
        <v>2932.4252317489613</v>
      </c>
      <c r="AA298" s="24">
        <f t="shared" si="51"/>
        <v>339.11999999999995</v>
      </c>
      <c r="AB298" s="21"/>
      <c r="AC298" s="21"/>
      <c r="AD298" s="21"/>
      <c r="AE298" s="21"/>
      <c r="AF298" s="21" t="s">
        <v>247</v>
      </c>
      <c r="AG298" s="21"/>
      <c r="AH298" s="24"/>
      <c r="AI298" s="24"/>
      <c r="AJ298" s="21">
        <v>341.28000000000003</v>
      </c>
      <c r="AK298" s="21">
        <v>30</v>
      </c>
      <c r="AL298" s="22" t="s">
        <v>1069</v>
      </c>
      <c r="AM298" s="22">
        <v>0.11</v>
      </c>
      <c r="AN298" s="22" t="s">
        <v>1057</v>
      </c>
      <c r="AO298" s="22" t="s">
        <v>1057</v>
      </c>
      <c r="AP298" s="22" t="s">
        <v>963</v>
      </c>
      <c r="AQ298" s="22" t="str">
        <f t="shared" si="52"/>
        <v>Microphytoplankton</v>
      </c>
      <c r="AR298" s="22">
        <v>1</v>
      </c>
      <c r="AS298" s="22">
        <v>1</v>
      </c>
      <c r="AT298" s="22">
        <v>0</v>
      </c>
      <c r="AU298" s="22">
        <v>0</v>
      </c>
      <c r="AV298" s="22">
        <v>0</v>
      </c>
      <c r="AW298" s="22">
        <v>0</v>
      </c>
      <c r="AX298" s="22">
        <v>1</v>
      </c>
      <c r="AY298" s="22">
        <v>0</v>
      </c>
    </row>
    <row r="299" spans="1:57">
      <c r="A299" s="22" t="s">
        <v>1070</v>
      </c>
      <c r="B299" s="22" t="s">
        <v>663</v>
      </c>
      <c r="C299" s="23" t="s">
        <v>822</v>
      </c>
      <c r="D299" s="23" t="s">
        <v>965</v>
      </c>
      <c r="E299" s="22" t="s">
        <v>991</v>
      </c>
      <c r="F299" s="23" t="s">
        <v>992</v>
      </c>
      <c r="G299" s="23" t="s">
        <v>1005</v>
      </c>
      <c r="H299" s="22" t="s">
        <v>1022</v>
      </c>
      <c r="I299" s="22" t="s">
        <v>1054</v>
      </c>
      <c r="J299" s="22" t="s">
        <v>1071</v>
      </c>
      <c r="K299" s="22" t="s">
        <v>175</v>
      </c>
      <c r="L299" s="22" t="s">
        <v>1072</v>
      </c>
      <c r="N299" s="22" t="s">
        <v>1073</v>
      </c>
      <c r="O299" s="22" t="s">
        <v>962</v>
      </c>
      <c r="P299" s="22">
        <v>50375</v>
      </c>
      <c r="Q299" s="22">
        <v>22</v>
      </c>
      <c r="R299" s="22">
        <v>5</v>
      </c>
      <c r="S299" s="22">
        <v>5</v>
      </c>
      <c r="T299" s="22" t="s">
        <v>281</v>
      </c>
      <c r="U299" s="21">
        <v>0.7</v>
      </c>
      <c r="V299" s="21">
        <v>0.7</v>
      </c>
      <c r="W299" s="24">
        <f t="shared" si="53"/>
        <v>1538.6910825945583</v>
      </c>
      <c r="X299" s="24">
        <f t="shared" si="54"/>
        <v>201.48333333333335</v>
      </c>
      <c r="Y299" s="21">
        <v>1</v>
      </c>
      <c r="Z299" s="24">
        <f t="shared" si="50"/>
        <v>1538.6910825945583</v>
      </c>
      <c r="AA299" s="24">
        <f t="shared" si="51"/>
        <v>201.48333333333335</v>
      </c>
      <c r="AE299" s="21"/>
      <c r="AF299" s="21" t="s">
        <v>247</v>
      </c>
      <c r="AG299" s="21"/>
      <c r="AH299" s="24"/>
      <c r="AI299" s="24"/>
      <c r="AJ299" s="21">
        <v>201.6</v>
      </c>
      <c r="AK299" s="21">
        <v>22</v>
      </c>
      <c r="AL299" s="22" t="s">
        <v>161</v>
      </c>
      <c r="AM299" s="22">
        <v>0.11</v>
      </c>
      <c r="AN299" s="22" t="s">
        <v>1057</v>
      </c>
      <c r="AO299" s="22" t="s">
        <v>1057</v>
      </c>
      <c r="AP299" s="22" t="s">
        <v>963</v>
      </c>
      <c r="AQ299" s="22" t="str">
        <f t="shared" si="52"/>
        <v>Microphytoplankton</v>
      </c>
      <c r="AR299" s="22">
        <v>1</v>
      </c>
      <c r="AS299" s="22">
        <v>1</v>
      </c>
      <c r="AT299" s="22">
        <v>0</v>
      </c>
      <c r="AU299" s="22">
        <v>1</v>
      </c>
      <c r="AV299" s="22">
        <v>0</v>
      </c>
      <c r="AW299" s="22">
        <v>0</v>
      </c>
      <c r="AX299" s="22">
        <v>1</v>
      </c>
      <c r="AY299" s="22">
        <v>0</v>
      </c>
    </row>
    <row r="300" spans="1:57">
      <c r="A300" s="21" t="s">
        <v>1074</v>
      </c>
      <c r="B300" s="22" t="s">
        <v>663</v>
      </c>
      <c r="C300" s="23" t="s">
        <v>822</v>
      </c>
      <c r="D300" s="23" t="s">
        <v>965</v>
      </c>
      <c r="E300" s="22" t="s">
        <v>991</v>
      </c>
      <c r="F300" s="23" t="s">
        <v>992</v>
      </c>
      <c r="G300" s="23" t="s">
        <v>1005</v>
      </c>
      <c r="H300" s="22" t="s">
        <v>1022</v>
      </c>
      <c r="I300" s="22" t="s">
        <v>1054</v>
      </c>
      <c r="J300" s="22" t="s">
        <v>1075</v>
      </c>
      <c r="N300" s="22" t="s">
        <v>1060</v>
      </c>
      <c r="O300" s="22" t="s">
        <v>962</v>
      </c>
      <c r="P300" s="21">
        <v>50320</v>
      </c>
      <c r="Q300" s="21">
        <v>38</v>
      </c>
      <c r="R300" s="21">
        <v>9</v>
      </c>
      <c r="S300" s="21">
        <v>9</v>
      </c>
      <c r="T300" s="22" t="s">
        <v>281</v>
      </c>
      <c r="U300" s="21">
        <v>0.5</v>
      </c>
      <c r="V300" s="21">
        <v>0.5</v>
      </c>
      <c r="W300" s="24">
        <f t="shared" si="53"/>
        <v>6680.2529844789524</v>
      </c>
      <c r="X300" s="24">
        <f t="shared" si="54"/>
        <v>805.41</v>
      </c>
      <c r="Y300" s="21">
        <v>1</v>
      </c>
      <c r="Z300" s="24">
        <f t="shared" si="50"/>
        <v>6680.2529844789524</v>
      </c>
      <c r="AA300" s="24">
        <f t="shared" si="51"/>
        <v>805.41</v>
      </c>
      <c r="AB300" s="21"/>
      <c r="AC300" s="21"/>
      <c r="AD300" s="21"/>
      <c r="AE300" s="21"/>
      <c r="AF300" s="21" t="s">
        <v>247</v>
      </c>
      <c r="AG300" s="21"/>
      <c r="AH300" s="24"/>
      <c r="AI300" s="24"/>
      <c r="AJ300" s="21">
        <v>805.8</v>
      </c>
      <c r="AK300" s="21">
        <v>100</v>
      </c>
      <c r="AL300" s="22" t="s">
        <v>161</v>
      </c>
      <c r="AM300" s="22">
        <v>0.11</v>
      </c>
      <c r="AN300" s="22" t="s">
        <v>1057</v>
      </c>
      <c r="AO300" s="22" t="s">
        <v>1057</v>
      </c>
      <c r="AP300" s="22" t="s">
        <v>963</v>
      </c>
      <c r="AQ300" s="22" t="str">
        <f t="shared" si="52"/>
        <v>Microphytoplankton</v>
      </c>
      <c r="AR300" s="22">
        <v>1</v>
      </c>
      <c r="AS300" s="22">
        <v>1</v>
      </c>
      <c r="AT300" s="22">
        <v>0</v>
      </c>
      <c r="AU300" s="22">
        <v>1</v>
      </c>
      <c r="AV300" s="22">
        <v>0</v>
      </c>
      <c r="AW300" s="22">
        <v>0</v>
      </c>
      <c r="AX300" s="22">
        <v>1</v>
      </c>
      <c r="AY300" s="22">
        <v>0</v>
      </c>
      <c r="AZ300" s="22">
        <v>0</v>
      </c>
      <c r="BA300" s="22">
        <v>5</v>
      </c>
      <c r="BB300" s="22">
        <v>2</v>
      </c>
      <c r="BC300" s="22">
        <v>2</v>
      </c>
      <c r="BD300" s="22">
        <v>1</v>
      </c>
      <c r="BE300" s="22">
        <v>0</v>
      </c>
    </row>
    <row r="301" spans="1:57">
      <c r="A301" s="21" t="s">
        <v>1076</v>
      </c>
      <c r="B301" s="22" t="s">
        <v>663</v>
      </c>
      <c r="C301" s="23" t="s">
        <v>822</v>
      </c>
      <c r="D301" s="23" t="s">
        <v>965</v>
      </c>
      <c r="E301" s="22" t="s">
        <v>991</v>
      </c>
      <c r="F301" s="23" t="s">
        <v>992</v>
      </c>
      <c r="G301" s="23" t="s">
        <v>1005</v>
      </c>
      <c r="H301" s="22" t="s">
        <v>1022</v>
      </c>
      <c r="I301" s="22" t="s">
        <v>1054</v>
      </c>
      <c r="J301" s="22" t="s">
        <v>1075</v>
      </c>
      <c r="L301" s="22" t="s">
        <v>1062</v>
      </c>
      <c r="N301" s="22" t="s">
        <v>1073</v>
      </c>
      <c r="O301" s="22" t="s">
        <v>962</v>
      </c>
      <c r="P301" s="21">
        <v>50321</v>
      </c>
      <c r="Q301" s="21">
        <v>38</v>
      </c>
      <c r="R301" s="21">
        <v>9</v>
      </c>
      <c r="S301" s="21">
        <v>9</v>
      </c>
      <c r="T301" s="22" t="s">
        <v>281</v>
      </c>
      <c r="U301" s="21">
        <v>0.5</v>
      </c>
      <c r="V301" s="21">
        <v>0.5</v>
      </c>
      <c r="W301" s="24">
        <f t="shared" si="53"/>
        <v>6680.2529844789524</v>
      </c>
      <c r="X301" s="24">
        <f t="shared" si="54"/>
        <v>805.41</v>
      </c>
      <c r="Y301" s="21">
        <v>1</v>
      </c>
      <c r="Z301" s="24">
        <f t="shared" si="50"/>
        <v>6680.2529844789524</v>
      </c>
      <c r="AA301" s="24">
        <f t="shared" si="51"/>
        <v>805.41</v>
      </c>
      <c r="AB301" s="21"/>
      <c r="AC301" s="21"/>
      <c r="AD301" s="21"/>
      <c r="AE301" s="21"/>
      <c r="AF301" s="21" t="s">
        <v>247</v>
      </c>
      <c r="AG301" s="21"/>
      <c r="AH301" s="24"/>
      <c r="AI301" s="24"/>
      <c r="AJ301" s="21">
        <v>805.8</v>
      </c>
      <c r="AK301" s="21">
        <v>100</v>
      </c>
      <c r="AL301" s="22" t="s">
        <v>161</v>
      </c>
      <c r="AM301" s="22">
        <v>0.11</v>
      </c>
      <c r="AN301" s="22" t="s">
        <v>1057</v>
      </c>
      <c r="AO301" s="22" t="s">
        <v>1057</v>
      </c>
      <c r="AP301" s="22" t="s">
        <v>963</v>
      </c>
      <c r="AQ301" s="22" t="str">
        <f t="shared" si="52"/>
        <v>Microphytoplankton</v>
      </c>
      <c r="AR301" s="22">
        <v>1</v>
      </c>
      <c r="AS301" s="22">
        <v>1</v>
      </c>
      <c r="AT301" s="22">
        <v>0</v>
      </c>
      <c r="AU301" s="22">
        <v>1</v>
      </c>
      <c r="AV301" s="22">
        <v>0</v>
      </c>
      <c r="AW301" s="22">
        <v>0</v>
      </c>
      <c r="AX301" s="22">
        <v>1</v>
      </c>
      <c r="AY301" s="22">
        <v>0</v>
      </c>
      <c r="AZ301" s="22">
        <v>0</v>
      </c>
      <c r="BA301" s="22">
        <v>5</v>
      </c>
      <c r="BB301" s="22">
        <v>2</v>
      </c>
      <c r="BC301" s="22">
        <v>2</v>
      </c>
      <c r="BD301" s="22">
        <v>1</v>
      </c>
      <c r="BE301" s="22">
        <v>0</v>
      </c>
    </row>
    <row r="302" spans="1:57">
      <c r="A302" s="21" t="s">
        <v>1077</v>
      </c>
      <c r="B302" s="22" t="s">
        <v>663</v>
      </c>
      <c r="C302" s="23" t="s">
        <v>822</v>
      </c>
      <c r="D302" s="23" t="s">
        <v>965</v>
      </c>
      <c r="E302" s="22" t="s">
        <v>991</v>
      </c>
      <c r="F302" s="23" t="s">
        <v>992</v>
      </c>
      <c r="G302" s="23" t="s">
        <v>1005</v>
      </c>
      <c r="H302" s="22" t="s">
        <v>1022</v>
      </c>
      <c r="I302" s="22" t="s">
        <v>1054</v>
      </c>
      <c r="J302" s="22" t="s">
        <v>1075</v>
      </c>
      <c r="L302" s="22" t="s">
        <v>1065</v>
      </c>
      <c r="N302" s="22" t="s">
        <v>1073</v>
      </c>
      <c r="O302" s="22" t="s">
        <v>962</v>
      </c>
      <c r="P302" s="21">
        <v>50322</v>
      </c>
      <c r="Q302" s="21">
        <v>38</v>
      </c>
      <c r="R302" s="21">
        <v>9</v>
      </c>
      <c r="S302" s="21">
        <v>9</v>
      </c>
      <c r="T302" s="22" t="s">
        <v>281</v>
      </c>
      <c r="U302" s="21">
        <v>0.5</v>
      </c>
      <c r="V302" s="21">
        <v>0.5</v>
      </c>
      <c r="W302" s="24">
        <f t="shared" si="53"/>
        <v>6680.2529844789524</v>
      </c>
      <c r="X302" s="24">
        <f t="shared" si="54"/>
        <v>805.41</v>
      </c>
      <c r="Y302" s="21">
        <v>1</v>
      </c>
      <c r="Z302" s="24">
        <f t="shared" si="50"/>
        <v>6680.2529844789524</v>
      </c>
      <c r="AA302" s="24">
        <f t="shared" si="51"/>
        <v>805.41</v>
      </c>
      <c r="AB302" s="21"/>
      <c r="AC302" s="21"/>
      <c r="AD302" s="21"/>
      <c r="AE302" s="21"/>
      <c r="AF302" s="21" t="s">
        <v>247</v>
      </c>
      <c r="AG302" s="21"/>
      <c r="AH302" s="24"/>
      <c r="AI302" s="24"/>
      <c r="AJ302" s="21">
        <v>805.8</v>
      </c>
      <c r="AK302" s="21">
        <v>100</v>
      </c>
      <c r="AL302" s="22" t="s">
        <v>161</v>
      </c>
      <c r="AM302" s="22">
        <v>0.11</v>
      </c>
      <c r="AN302" s="22" t="s">
        <v>1057</v>
      </c>
      <c r="AO302" s="22" t="s">
        <v>1057</v>
      </c>
      <c r="AP302" s="22" t="s">
        <v>963</v>
      </c>
      <c r="AQ302" s="22" t="str">
        <f t="shared" si="52"/>
        <v>Microphytoplankton</v>
      </c>
      <c r="AR302" s="22">
        <v>1</v>
      </c>
      <c r="AS302" s="22">
        <v>1</v>
      </c>
      <c r="AT302" s="22">
        <v>0</v>
      </c>
      <c r="AU302" s="22">
        <v>1</v>
      </c>
      <c r="AV302" s="22">
        <v>0</v>
      </c>
      <c r="AW302" s="22">
        <v>0</v>
      </c>
      <c r="AX302" s="22">
        <v>1</v>
      </c>
      <c r="AY302" s="22">
        <v>0</v>
      </c>
      <c r="AZ302" s="22">
        <v>0</v>
      </c>
      <c r="BA302" s="22">
        <v>5</v>
      </c>
      <c r="BB302" s="22">
        <v>2</v>
      </c>
      <c r="BC302" s="22">
        <v>2</v>
      </c>
      <c r="BD302" s="22">
        <v>1</v>
      </c>
      <c r="BE302" s="22">
        <v>0</v>
      </c>
    </row>
    <row r="303" spans="1:57">
      <c r="A303" s="21" t="s">
        <v>1078</v>
      </c>
      <c r="B303" s="22" t="s">
        <v>663</v>
      </c>
      <c r="C303" s="23" t="s">
        <v>822</v>
      </c>
      <c r="D303" s="23" t="s">
        <v>965</v>
      </c>
      <c r="E303" s="22" t="s">
        <v>991</v>
      </c>
      <c r="F303" s="23" t="s">
        <v>992</v>
      </c>
      <c r="G303" s="23" t="s">
        <v>1005</v>
      </c>
      <c r="H303" s="22" t="s">
        <v>1022</v>
      </c>
      <c r="I303" s="22" t="s">
        <v>1054</v>
      </c>
      <c r="J303" s="22" t="s">
        <v>1075</v>
      </c>
      <c r="K303" s="22" t="s">
        <v>175</v>
      </c>
      <c r="L303" s="22" t="s">
        <v>1079</v>
      </c>
      <c r="N303" s="22" t="s">
        <v>1080</v>
      </c>
      <c r="O303" s="22" t="s">
        <v>962</v>
      </c>
      <c r="P303" s="21">
        <v>50323</v>
      </c>
      <c r="Q303" s="21">
        <v>52</v>
      </c>
      <c r="R303" s="21">
        <v>10</v>
      </c>
      <c r="S303" s="21">
        <v>10</v>
      </c>
      <c r="T303" s="22" t="s">
        <v>159</v>
      </c>
      <c r="U303" s="21">
        <v>0.5</v>
      </c>
      <c r="V303" s="21">
        <v>0.5</v>
      </c>
      <c r="W303" s="24">
        <f t="shared" si="53"/>
        <v>10149.697506321198</v>
      </c>
      <c r="X303" s="24">
        <f t="shared" si="54"/>
        <v>1360.6666666666665</v>
      </c>
      <c r="Y303" s="21">
        <v>1</v>
      </c>
      <c r="Z303" s="24">
        <f t="shared" si="50"/>
        <v>10149.697506321198</v>
      </c>
      <c r="AA303" s="24">
        <f t="shared" si="51"/>
        <v>1360.6666666666665</v>
      </c>
      <c r="AB303" s="21"/>
      <c r="AC303" s="21"/>
      <c r="AD303" s="21"/>
      <c r="AE303" s="21"/>
      <c r="AF303" s="21" t="s">
        <v>247</v>
      </c>
      <c r="AG303" s="21"/>
      <c r="AH303" s="24"/>
      <c r="AI303" s="24"/>
      <c r="AJ303" s="21">
        <v>1369.3333333333335</v>
      </c>
      <c r="AK303" s="21">
        <v>100</v>
      </c>
      <c r="AL303" s="22" t="s">
        <v>1069</v>
      </c>
      <c r="AM303" s="22">
        <v>0.11</v>
      </c>
      <c r="AN303" s="22" t="s">
        <v>1057</v>
      </c>
      <c r="AO303" s="22" t="s">
        <v>1057</v>
      </c>
      <c r="AP303" s="22" t="s">
        <v>963</v>
      </c>
      <c r="AQ303" s="22" t="str">
        <f t="shared" si="52"/>
        <v>Microphytoplankton</v>
      </c>
      <c r="AR303" s="22">
        <v>1</v>
      </c>
      <c r="AS303" s="22">
        <v>1</v>
      </c>
      <c r="AT303" s="22">
        <v>0</v>
      </c>
      <c r="AU303" s="22">
        <v>1</v>
      </c>
      <c r="AV303" s="22">
        <v>0</v>
      </c>
      <c r="AW303" s="22">
        <v>0</v>
      </c>
      <c r="AX303" s="22">
        <v>1</v>
      </c>
      <c r="AY303" s="22">
        <v>0</v>
      </c>
      <c r="AZ303" s="22">
        <v>0</v>
      </c>
      <c r="BA303" s="22">
        <v>5</v>
      </c>
      <c r="BB303" s="22">
        <v>2</v>
      </c>
      <c r="BC303" s="22">
        <v>2</v>
      </c>
      <c r="BD303" s="22">
        <v>1</v>
      </c>
      <c r="BE303" s="22">
        <v>0</v>
      </c>
    </row>
    <row r="304" spans="1:57">
      <c r="A304" s="21" t="s">
        <v>1081</v>
      </c>
      <c r="B304" s="22" t="s">
        <v>663</v>
      </c>
      <c r="C304" s="23" t="s">
        <v>822</v>
      </c>
      <c r="D304" s="23" t="s">
        <v>965</v>
      </c>
      <c r="E304" s="22" t="s">
        <v>991</v>
      </c>
      <c r="F304" s="23" t="s">
        <v>992</v>
      </c>
      <c r="G304" s="23" t="s">
        <v>1005</v>
      </c>
      <c r="H304" s="22" t="s">
        <v>1022</v>
      </c>
      <c r="I304" s="22" t="s">
        <v>1054</v>
      </c>
      <c r="J304" s="22" t="s">
        <v>1075</v>
      </c>
      <c r="K304" s="22" t="s">
        <v>175</v>
      </c>
      <c r="L304" s="22" t="s">
        <v>1082</v>
      </c>
      <c r="N304" s="22" t="s">
        <v>1080</v>
      </c>
      <c r="O304" s="22" t="s">
        <v>962</v>
      </c>
      <c r="P304" s="21">
        <v>50324</v>
      </c>
      <c r="Q304" s="21">
        <v>52</v>
      </c>
      <c r="R304" s="21">
        <v>10</v>
      </c>
      <c r="S304" s="21">
        <v>10</v>
      </c>
      <c r="T304" s="22" t="s">
        <v>159</v>
      </c>
      <c r="U304" s="21">
        <v>0.5</v>
      </c>
      <c r="V304" s="21">
        <v>0.5</v>
      </c>
      <c r="W304" s="24">
        <f t="shared" si="53"/>
        <v>10149.697506321198</v>
      </c>
      <c r="X304" s="24">
        <f t="shared" si="54"/>
        <v>1360.6666666666665</v>
      </c>
      <c r="Y304" s="21">
        <v>1</v>
      </c>
      <c r="Z304" s="24">
        <f t="shared" si="50"/>
        <v>10149.697506321198</v>
      </c>
      <c r="AA304" s="24">
        <f t="shared" si="51"/>
        <v>1360.6666666666665</v>
      </c>
      <c r="AB304" s="21"/>
      <c r="AC304" s="21"/>
      <c r="AD304" s="21"/>
      <c r="AE304" s="21"/>
      <c r="AF304" s="21" t="s">
        <v>247</v>
      </c>
      <c r="AG304" s="21"/>
      <c r="AH304" s="24"/>
      <c r="AI304" s="24"/>
      <c r="AJ304" s="21">
        <v>1369.3333333333335</v>
      </c>
      <c r="AK304" s="21">
        <v>100</v>
      </c>
      <c r="AL304" s="22" t="s">
        <v>1069</v>
      </c>
      <c r="AM304" s="22">
        <v>0.11</v>
      </c>
      <c r="AN304" s="22" t="s">
        <v>1057</v>
      </c>
      <c r="AO304" s="22" t="s">
        <v>1057</v>
      </c>
      <c r="AP304" s="22" t="s">
        <v>963</v>
      </c>
      <c r="AQ304" s="22" t="str">
        <f t="shared" si="52"/>
        <v>Microphytoplankton</v>
      </c>
      <c r="AR304" s="22">
        <v>1</v>
      </c>
      <c r="AS304" s="22">
        <v>1</v>
      </c>
      <c r="AT304" s="22">
        <v>0</v>
      </c>
      <c r="AU304" s="22">
        <v>1</v>
      </c>
      <c r="AV304" s="22">
        <v>0</v>
      </c>
      <c r="AW304" s="22">
        <v>0</v>
      </c>
      <c r="AX304" s="22">
        <v>1</v>
      </c>
      <c r="AY304" s="22">
        <v>0</v>
      </c>
      <c r="AZ304" s="22">
        <v>0</v>
      </c>
      <c r="BA304" s="22">
        <v>5</v>
      </c>
      <c r="BB304" s="22">
        <v>2</v>
      </c>
      <c r="BC304" s="22">
        <v>2</v>
      </c>
      <c r="BD304" s="22">
        <v>1</v>
      </c>
      <c r="BE304" s="22">
        <v>0</v>
      </c>
    </row>
    <row r="305" spans="1:57">
      <c r="A305" s="21" t="s">
        <v>1083</v>
      </c>
      <c r="B305" s="22" t="s">
        <v>663</v>
      </c>
      <c r="C305" s="23" t="s">
        <v>822</v>
      </c>
      <c r="D305" s="23" t="s">
        <v>965</v>
      </c>
      <c r="E305" s="22" t="s">
        <v>991</v>
      </c>
      <c r="F305" s="23" t="s">
        <v>992</v>
      </c>
      <c r="G305" s="23" t="s">
        <v>1005</v>
      </c>
      <c r="H305" s="22" t="s">
        <v>1022</v>
      </c>
      <c r="I305" s="22" t="s">
        <v>1054</v>
      </c>
      <c r="J305" s="22" t="s">
        <v>1084</v>
      </c>
      <c r="N305" s="22" t="s">
        <v>1060</v>
      </c>
      <c r="O305" s="22" t="s">
        <v>962</v>
      </c>
      <c r="P305" s="21">
        <v>50330</v>
      </c>
      <c r="Q305" s="21">
        <v>38</v>
      </c>
      <c r="R305" s="21">
        <v>9</v>
      </c>
      <c r="S305" s="21">
        <v>9</v>
      </c>
      <c r="T305" s="22" t="s">
        <v>281</v>
      </c>
      <c r="U305" s="21">
        <v>0.5</v>
      </c>
      <c r="V305" s="21">
        <v>0.5</v>
      </c>
      <c r="W305" s="24">
        <f t="shared" si="53"/>
        <v>6680.2529844789524</v>
      </c>
      <c r="X305" s="24">
        <f t="shared" si="54"/>
        <v>805.41</v>
      </c>
      <c r="Y305" s="21">
        <v>1</v>
      </c>
      <c r="Z305" s="24">
        <f t="shared" si="50"/>
        <v>6680.2529844789524</v>
      </c>
      <c r="AA305" s="24">
        <f t="shared" si="51"/>
        <v>805.41</v>
      </c>
      <c r="AB305" s="21"/>
      <c r="AC305" s="21"/>
      <c r="AD305" s="21"/>
      <c r="AE305" s="21"/>
      <c r="AF305" s="21" t="s">
        <v>247</v>
      </c>
      <c r="AG305" s="21"/>
      <c r="AH305" s="24"/>
      <c r="AI305" s="24"/>
      <c r="AJ305" s="21">
        <v>805.8</v>
      </c>
      <c r="AK305" s="21">
        <v>150</v>
      </c>
      <c r="AL305" s="22" t="s">
        <v>161</v>
      </c>
      <c r="AM305" s="22">
        <v>0.11</v>
      </c>
      <c r="AN305" s="22" t="s">
        <v>1057</v>
      </c>
      <c r="AO305" s="22" t="s">
        <v>1057</v>
      </c>
      <c r="AP305" s="22" t="s">
        <v>963</v>
      </c>
      <c r="AQ305" s="22" t="str">
        <f t="shared" si="52"/>
        <v>Microphytoplankton</v>
      </c>
      <c r="AR305" s="22">
        <v>1</v>
      </c>
      <c r="AS305" s="22">
        <v>1</v>
      </c>
      <c r="AT305" s="22">
        <v>0</v>
      </c>
      <c r="AU305" s="22">
        <v>1</v>
      </c>
      <c r="AV305" s="22">
        <v>0</v>
      </c>
      <c r="AW305" s="22">
        <v>0</v>
      </c>
      <c r="AX305" s="22">
        <v>1</v>
      </c>
      <c r="AY305" s="22">
        <v>0</v>
      </c>
    </row>
    <row r="306" spans="1:57">
      <c r="A306" s="21" t="s">
        <v>1085</v>
      </c>
      <c r="B306" s="22" t="s">
        <v>663</v>
      </c>
      <c r="C306" s="23" t="s">
        <v>822</v>
      </c>
      <c r="D306" s="23" t="s">
        <v>965</v>
      </c>
      <c r="E306" s="22" t="s">
        <v>991</v>
      </c>
      <c r="F306" s="23" t="s">
        <v>992</v>
      </c>
      <c r="G306" s="23" t="s">
        <v>1005</v>
      </c>
      <c r="H306" s="22" t="s">
        <v>1022</v>
      </c>
      <c r="I306" s="22" t="s">
        <v>1054</v>
      </c>
      <c r="J306" s="22" t="s">
        <v>1084</v>
      </c>
      <c r="L306" s="22" t="s">
        <v>1062</v>
      </c>
      <c r="N306" s="22" t="s">
        <v>1073</v>
      </c>
      <c r="O306" s="22" t="s">
        <v>962</v>
      </c>
      <c r="P306" s="21">
        <v>50331</v>
      </c>
      <c r="Q306" s="21">
        <v>38</v>
      </c>
      <c r="R306" s="21">
        <v>9</v>
      </c>
      <c r="S306" s="21">
        <v>9</v>
      </c>
      <c r="T306" s="22" t="s">
        <v>281</v>
      </c>
      <c r="U306" s="21">
        <v>0.5</v>
      </c>
      <c r="V306" s="21">
        <v>0.5</v>
      </c>
      <c r="W306" s="24">
        <f t="shared" si="53"/>
        <v>6680.2529844789524</v>
      </c>
      <c r="X306" s="24">
        <f t="shared" si="54"/>
        <v>805.41</v>
      </c>
      <c r="Y306" s="21">
        <v>1</v>
      </c>
      <c r="Z306" s="24">
        <f t="shared" si="50"/>
        <v>6680.2529844789524</v>
      </c>
      <c r="AA306" s="24">
        <f t="shared" si="51"/>
        <v>805.41</v>
      </c>
      <c r="AB306" s="21"/>
      <c r="AC306" s="21"/>
      <c r="AD306" s="21"/>
      <c r="AE306" s="21"/>
      <c r="AF306" s="21" t="s">
        <v>247</v>
      </c>
      <c r="AG306" s="21"/>
      <c r="AH306" s="24"/>
      <c r="AI306" s="24"/>
      <c r="AJ306" s="21">
        <v>805.8</v>
      </c>
      <c r="AK306" s="21">
        <v>150</v>
      </c>
      <c r="AL306" s="22" t="s">
        <v>161</v>
      </c>
      <c r="AM306" s="22">
        <v>0.11</v>
      </c>
      <c r="AN306" s="22" t="s">
        <v>1057</v>
      </c>
      <c r="AO306" s="22" t="s">
        <v>1057</v>
      </c>
      <c r="AP306" s="22" t="s">
        <v>963</v>
      </c>
      <c r="AQ306" s="22" t="str">
        <f t="shared" si="52"/>
        <v>Microphytoplankton</v>
      </c>
      <c r="AR306" s="22">
        <v>1</v>
      </c>
      <c r="AS306" s="22">
        <v>1</v>
      </c>
      <c r="AT306" s="22">
        <v>0</v>
      </c>
      <c r="AU306" s="22">
        <v>1</v>
      </c>
      <c r="AV306" s="22">
        <v>0</v>
      </c>
      <c r="AW306" s="22">
        <v>0</v>
      </c>
      <c r="AX306" s="22">
        <v>1</v>
      </c>
      <c r="AY306" s="22">
        <v>0</v>
      </c>
    </row>
    <row r="307" spans="1:57">
      <c r="A307" s="21" t="s">
        <v>1086</v>
      </c>
      <c r="B307" s="22" t="s">
        <v>663</v>
      </c>
      <c r="C307" s="23" t="s">
        <v>822</v>
      </c>
      <c r="D307" s="23" t="s">
        <v>965</v>
      </c>
      <c r="E307" s="22" t="s">
        <v>991</v>
      </c>
      <c r="F307" s="23" t="s">
        <v>992</v>
      </c>
      <c r="G307" s="23" t="s">
        <v>1005</v>
      </c>
      <c r="H307" s="22" t="s">
        <v>1022</v>
      </c>
      <c r="I307" s="22" t="s">
        <v>1054</v>
      </c>
      <c r="J307" s="22" t="s">
        <v>1084</v>
      </c>
      <c r="L307" s="22" t="s">
        <v>1065</v>
      </c>
      <c r="N307" s="22" t="s">
        <v>1073</v>
      </c>
      <c r="O307" s="22" t="s">
        <v>962</v>
      </c>
      <c r="P307" s="21">
        <v>50332</v>
      </c>
      <c r="Q307" s="21">
        <v>38</v>
      </c>
      <c r="R307" s="21">
        <v>9</v>
      </c>
      <c r="S307" s="21">
        <v>9</v>
      </c>
      <c r="T307" s="22" t="s">
        <v>281</v>
      </c>
      <c r="U307" s="21">
        <v>0.5</v>
      </c>
      <c r="V307" s="21">
        <v>0.5</v>
      </c>
      <c r="W307" s="24">
        <f t="shared" si="53"/>
        <v>6680.2529844789524</v>
      </c>
      <c r="X307" s="24">
        <f t="shared" si="54"/>
        <v>805.41</v>
      </c>
      <c r="Y307" s="21">
        <v>1</v>
      </c>
      <c r="Z307" s="24">
        <f t="shared" si="50"/>
        <v>6680.2529844789524</v>
      </c>
      <c r="AA307" s="24">
        <f t="shared" si="51"/>
        <v>805.41</v>
      </c>
      <c r="AB307" s="21"/>
      <c r="AC307" s="21"/>
      <c r="AD307" s="21"/>
      <c r="AE307" s="21"/>
      <c r="AF307" s="21" t="s">
        <v>247</v>
      </c>
      <c r="AG307" s="21"/>
      <c r="AH307" s="24"/>
      <c r="AI307" s="24"/>
      <c r="AJ307" s="21">
        <v>805.8</v>
      </c>
      <c r="AK307" s="21">
        <v>150</v>
      </c>
      <c r="AL307" s="22" t="s">
        <v>161</v>
      </c>
      <c r="AM307" s="22">
        <v>0.11</v>
      </c>
      <c r="AN307" s="22" t="s">
        <v>1057</v>
      </c>
      <c r="AO307" s="22" t="s">
        <v>1057</v>
      </c>
      <c r="AP307" s="22" t="s">
        <v>963</v>
      </c>
      <c r="AQ307" s="22" t="str">
        <f t="shared" si="52"/>
        <v>Microphytoplankton</v>
      </c>
      <c r="AR307" s="22">
        <v>1</v>
      </c>
      <c r="AS307" s="22">
        <v>1</v>
      </c>
      <c r="AT307" s="22">
        <v>0</v>
      </c>
      <c r="AU307" s="22">
        <v>1</v>
      </c>
      <c r="AV307" s="22">
        <v>0</v>
      </c>
      <c r="AW307" s="22">
        <v>0</v>
      </c>
      <c r="AX307" s="22">
        <v>1</v>
      </c>
      <c r="AY307" s="22">
        <v>0</v>
      </c>
    </row>
    <row r="308" spans="1:57">
      <c r="A308" s="21" t="s">
        <v>1087</v>
      </c>
      <c r="B308" s="22" t="s">
        <v>663</v>
      </c>
      <c r="C308" s="23" t="s">
        <v>822</v>
      </c>
      <c r="D308" s="23" t="s">
        <v>965</v>
      </c>
      <c r="E308" s="22" t="s">
        <v>991</v>
      </c>
      <c r="F308" s="23" t="s">
        <v>992</v>
      </c>
      <c r="G308" s="23" t="s">
        <v>1005</v>
      </c>
      <c r="H308" s="22" t="s">
        <v>1022</v>
      </c>
      <c r="I308" s="22" t="s">
        <v>1054</v>
      </c>
      <c r="J308" s="22" t="s">
        <v>1088</v>
      </c>
      <c r="N308" s="22" t="s">
        <v>1089</v>
      </c>
      <c r="O308" s="22" t="s">
        <v>962</v>
      </c>
      <c r="P308" s="21">
        <v>50390</v>
      </c>
      <c r="Q308" s="21">
        <v>35</v>
      </c>
      <c r="R308" s="21">
        <v>9</v>
      </c>
      <c r="S308" s="21">
        <v>9</v>
      </c>
      <c r="T308" s="22" t="s">
        <v>281</v>
      </c>
      <c r="U308" s="21">
        <v>0.5</v>
      </c>
      <c r="V308" s="21">
        <v>0.5</v>
      </c>
      <c r="W308" s="24">
        <f t="shared" si="53"/>
        <v>6154.4643764636103</v>
      </c>
      <c r="X308" s="24">
        <f t="shared" si="54"/>
        <v>741.82499999999993</v>
      </c>
      <c r="Y308" s="21">
        <v>1</v>
      </c>
      <c r="Z308" s="24">
        <f t="shared" si="50"/>
        <v>6154.4643764636103</v>
      </c>
      <c r="AA308" s="24">
        <f t="shared" si="51"/>
        <v>741.82499999999993</v>
      </c>
      <c r="AB308" s="21"/>
      <c r="AC308" s="21"/>
      <c r="AD308" s="21"/>
      <c r="AE308" s="21"/>
      <c r="AF308" s="21" t="s">
        <v>247</v>
      </c>
      <c r="AG308" s="21"/>
      <c r="AH308" s="24"/>
      <c r="AI308" s="24"/>
      <c r="AJ308" s="21">
        <v>742.2</v>
      </c>
      <c r="AK308" s="21">
        <v>35</v>
      </c>
      <c r="AL308" s="22" t="s">
        <v>161</v>
      </c>
      <c r="AM308" s="22">
        <v>0.11</v>
      </c>
      <c r="AN308" s="22" t="s">
        <v>1057</v>
      </c>
      <c r="AO308" s="22" t="s">
        <v>1057</v>
      </c>
      <c r="AP308" s="22" t="s">
        <v>963</v>
      </c>
      <c r="AQ308" s="22" t="str">
        <f t="shared" si="52"/>
        <v>Microphytoplankton</v>
      </c>
      <c r="AR308" s="22">
        <v>1</v>
      </c>
      <c r="AS308" s="22">
        <v>1</v>
      </c>
      <c r="AT308" s="22">
        <v>0</v>
      </c>
      <c r="AU308" s="22">
        <v>1</v>
      </c>
      <c r="AV308" s="22">
        <v>0</v>
      </c>
      <c r="AW308" s="22">
        <v>0</v>
      </c>
      <c r="AX308" s="22">
        <v>1</v>
      </c>
      <c r="AY308" s="22">
        <v>0</v>
      </c>
    </row>
    <row r="309" spans="1:57">
      <c r="A309" s="21" t="s">
        <v>1090</v>
      </c>
      <c r="B309" s="22" t="s">
        <v>663</v>
      </c>
      <c r="C309" s="23" t="s">
        <v>822</v>
      </c>
      <c r="D309" s="23" t="s">
        <v>965</v>
      </c>
      <c r="E309" s="22" t="s">
        <v>991</v>
      </c>
      <c r="F309" s="23" t="s">
        <v>992</v>
      </c>
      <c r="G309" s="23" t="s">
        <v>1005</v>
      </c>
      <c r="H309" s="22" t="s">
        <v>1022</v>
      </c>
      <c r="I309" s="22" t="s">
        <v>1054</v>
      </c>
      <c r="J309" s="22" t="s">
        <v>1088</v>
      </c>
      <c r="L309" s="22" t="s">
        <v>1062</v>
      </c>
      <c r="N309" s="22" t="s">
        <v>1091</v>
      </c>
      <c r="O309" s="22" t="s">
        <v>962</v>
      </c>
      <c r="P309" s="21">
        <v>50393</v>
      </c>
      <c r="Q309" s="21">
        <v>35</v>
      </c>
      <c r="R309" s="21">
        <v>9</v>
      </c>
      <c r="S309" s="21">
        <v>9</v>
      </c>
      <c r="T309" s="22" t="s">
        <v>281</v>
      </c>
      <c r="U309" s="21">
        <v>0.5</v>
      </c>
      <c r="V309" s="21">
        <v>0.5</v>
      </c>
      <c r="W309" s="24">
        <f t="shared" si="53"/>
        <v>6154.4643764636103</v>
      </c>
      <c r="X309" s="24">
        <f t="shared" si="54"/>
        <v>741.82499999999993</v>
      </c>
      <c r="Y309" s="21">
        <v>1</v>
      </c>
      <c r="Z309" s="24">
        <f t="shared" si="50"/>
        <v>6154.4643764636103</v>
      </c>
      <c r="AA309" s="24">
        <f t="shared" si="51"/>
        <v>741.82499999999993</v>
      </c>
      <c r="AB309" s="21"/>
      <c r="AC309" s="21"/>
      <c r="AD309" s="21"/>
      <c r="AE309" s="21"/>
      <c r="AF309" s="21" t="s">
        <v>247</v>
      </c>
      <c r="AG309" s="21"/>
      <c r="AH309" s="24"/>
      <c r="AI309" s="24"/>
      <c r="AJ309" s="21">
        <v>742.2</v>
      </c>
      <c r="AK309" s="21">
        <v>35</v>
      </c>
      <c r="AL309" s="22" t="s">
        <v>161</v>
      </c>
      <c r="AM309" s="22">
        <v>0.11</v>
      </c>
      <c r="AN309" s="22" t="s">
        <v>1057</v>
      </c>
      <c r="AO309" s="22" t="s">
        <v>1057</v>
      </c>
      <c r="AP309" s="22" t="s">
        <v>963</v>
      </c>
      <c r="AQ309" s="22" t="str">
        <f t="shared" si="52"/>
        <v>Microphytoplankton</v>
      </c>
      <c r="AR309" s="22">
        <v>1</v>
      </c>
      <c r="AS309" s="22">
        <v>1</v>
      </c>
      <c r="AT309" s="22">
        <v>0</v>
      </c>
      <c r="AU309" s="22">
        <v>1</v>
      </c>
      <c r="AV309" s="22">
        <v>0</v>
      </c>
      <c r="AW309" s="22">
        <v>0</v>
      </c>
      <c r="AX309" s="22">
        <v>1</v>
      </c>
      <c r="AY309" s="22">
        <v>0</v>
      </c>
    </row>
    <row r="310" spans="1:57">
      <c r="A310" s="21" t="s">
        <v>1092</v>
      </c>
      <c r="B310" s="22" t="s">
        <v>663</v>
      </c>
      <c r="C310" s="23" t="s">
        <v>822</v>
      </c>
      <c r="D310" s="23" t="s">
        <v>965</v>
      </c>
      <c r="E310" s="22" t="s">
        <v>991</v>
      </c>
      <c r="F310" s="23" t="s">
        <v>992</v>
      </c>
      <c r="G310" s="23" t="s">
        <v>1005</v>
      </c>
      <c r="H310" s="22" t="s">
        <v>1022</v>
      </c>
      <c r="I310" s="22" t="s">
        <v>1054</v>
      </c>
      <c r="J310" s="22" t="s">
        <v>1088</v>
      </c>
      <c r="L310" s="22" t="s">
        <v>1065</v>
      </c>
      <c r="N310" s="22" t="s">
        <v>1091</v>
      </c>
      <c r="O310" s="22" t="s">
        <v>962</v>
      </c>
      <c r="P310" s="21">
        <v>50394</v>
      </c>
      <c r="Q310" s="21">
        <v>35</v>
      </c>
      <c r="R310" s="21">
        <v>9</v>
      </c>
      <c r="S310" s="21">
        <v>9</v>
      </c>
      <c r="T310" s="22" t="s">
        <v>281</v>
      </c>
      <c r="U310" s="21">
        <v>0.5</v>
      </c>
      <c r="V310" s="21">
        <v>0.5</v>
      </c>
      <c r="W310" s="24">
        <f t="shared" si="53"/>
        <v>6154.4643764636103</v>
      </c>
      <c r="X310" s="24">
        <f t="shared" si="54"/>
        <v>741.82499999999993</v>
      </c>
      <c r="Y310" s="21">
        <v>1</v>
      </c>
      <c r="Z310" s="24">
        <f t="shared" si="50"/>
        <v>6154.4643764636103</v>
      </c>
      <c r="AA310" s="24">
        <f t="shared" si="51"/>
        <v>741.82499999999993</v>
      </c>
      <c r="AB310" s="21"/>
      <c r="AC310" s="21"/>
      <c r="AD310" s="21"/>
      <c r="AE310" s="21"/>
      <c r="AF310" s="21" t="s">
        <v>247</v>
      </c>
      <c r="AG310" s="21"/>
      <c r="AH310" s="24"/>
      <c r="AI310" s="24"/>
      <c r="AJ310" s="21">
        <v>742.2</v>
      </c>
      <c r="AK310" s="21">
        <v>35</v>
      </c>
      <c r="AL310" s="22" t="s">
        <v>161</v>
      </c>
      <c r="AM310" s="22">
        <v>0.11</v>
      </c>
      <c r="AN310" s="22" t="s">
        <v>1057</v>
      </c>
      <c r="AO310" s="22" t="s">
        <v>1057</v>
      </c>
      <c r="AP310" s="22" t="s">
        <v>963</v>
      </c>
      <c r="AQ310" s="22" t="str">
        <f t="shared" si="52"/>
        <v>Microphytoplankton</v>
      </c>
      <c r="AR310" s="22">
        <v>1</v>
      </c>
      <c r="AS310" s="22">
        <v>1</v>
      </c>
      <c r="AT310" s="22">
        <v>0</v>
      </c>
      <c r="AU310" s="22">
        <v>1</v>
      </c>
      <c r="AV310" s="22">
        <v>0</v>
      </c>
      <c r="AW310" s="22">
        <v>0</v>
      </c>
      <c r="AX310" s="22">
        <v>1</v>
      </c>
      <c r="AY310" s="22">
        <v>0</v>
      </c>
    </row>
    <row r="311" spans="1:57">
      <c r="A311" s="21" t="s">
        <v>1093</v>
      </c>
      <c r="B311" s="22" t="s">
        <v>663</v>
      </c>
      <c r="C311" s="23" t="s">
        <v>822</v>
      </c>
      <c r="D311" s="23" t="s">
        <v>965</v>
      </c>
      <c r="E311" s="22" t="s">
        <v>991</v>
      </c>
      <c r="F311" s="23" t="s">
        <v>992</v>
      </c>
      <c r="G311" s="23" t="s">
        <v>1005</v>
      </c>
      <c r="H311" s="22" t="s">
        <v>1022</v>
      </c>
      <c r="I311" s="22" t="s">
        <v>1054</v>
      </c>
      <c r="J311" s="22" t="s">
        <v>1094</v>
      </c>
      <c r="N311" s="22" t="s">
        <v>1095</v>
      </c>
      <c r="O311" s="22" t="s">
        <v>962</v>
      </c>
      <c r="P311" s="21">
        <v>50391</v>
      </c>
      <c r="Q311" s="21">
        <v>27</v>
      </c>
      <c r="R311" s="21">
        <v>8</v>
      </c>
      <c r="S311" s="21">
        <v>9</v>
      </c>
      <c r="T311" s="21" t="s">
        <v>977</v>
      </c>
      <c r="U311" s="21">
        <v>1</v>
      </c>
      <c r="V311" s="22">
        <v>1</v>
      </c>
      <c r="W311" s="24">
        <f t="shared" si="53"/>
        <v>2246.7448681100577</v>
      </c>
      <c r="X311" s="24">
        <f>3.14/12*Q311*R311*S311*U311</f>
        <v>508.67999999999995</v>
      </c>
      <c r="Y311" s="21">
        <v>1</v>
      </c>
      <c r="Z311" s="24">
        <f t="shared" si="50"/>
        <v>2246.7448681100577</v>
      </c>
      <c r="AA311" s="24">
        <f t="shared" si="51"/>
        <v>508.67999999999995</v>
      </c>
      <c r="AB311" s="21"/>
      <c r="AC311" s="21"/>
      <c r="AD311" s="21"/>
      <c r="AE311" s="21"/>
      <c r="AF311" s="21" t="s">
        <v>247</v>
      </c>
      <c r="AG311" s="21"/>
      <c r="AH311" s="24"/>
      <c r="AI311" s="24"/>
      <c r="AJ311" s="21">
        <v>508.68</v>
      </c>
      <c r="AK311" s="21">
        <v>27</v>
      </c>
      <c r="AL311" s="22" t="s">
        <v>161</v>
      </c>
      <c r="AM311" s="22">
        <v>0.11</v>
      </c>
      <c r="AN311" s="22" t="s">
        <v>1057</v>
      </c>
      <c r="AO311" s="22" t="s">
        <v>1057</v>
      </c>
      <c r="AP311" s="22" t="s">
        <v>963</v>
      </c>
      <c r="AQ311" s="22" t="str">
        <f t="shared" si="52"/>
        <v>Microphytoplankton</v>
      </c>
      <c r="AR311" s="22">
        <v>1</v>
      </c>
      <c r="AS311" s="22">
        <v>1</v>
      </c>
      <c r="AT311" s="22">
        <v>0</v>
      </c>
      <c r="AU311" s="22">
        <v>1</v>
      </c>
      <c r="AV311" s="22">
        <v>0</v>
      </c>
      <c r="AW311" s="22">
        <v>0</v>
      </c>
      <c r="AX311" s="22">
        <v>1</v>
      </c>
      <c r="AY311" s="22">
        <v>0</v>
      </c>
    </row>
    <row r="312" spans="1:57">
      <c r="A312" s="21" t="s">
        <v>1096</v>
      </c>
      <c r="B312" s="22" t="s">
        <v>663</v>
      </c>
      <c r="C312" s="23" t="s">
        <v>822</v>
      </c>
      <c r="D312" s="23" t="s">
        <v>965</v>
      </c>
      <c r="E312" s="22" t="s">
        <v>991</v>
      </c>
      <c r="F312" s="23" t="s">
        <v>992</v>
      </c>
      <c r="G312" s="23" t="s">
        <v>1005</v>
      </c>
      <c r="H312" s="22" t="s">
        <v>1022</v>
      </c>
      <c r="I312" s="22" t="s">
        <v>1054</v>
      </c>
      <c r="J312" s="22" t="s">
        <v>1097</v>
      </c>
      <c r="N312" s="22" t="s">
        <v>1098</v>
      </c>
      <c r="O312" s="22" t="s">
        <v>962</v>
      </c>
      <c r="P312" s="21">
        <v>50392</v>
      </c>
      <c r="Q312" s="21">
        <v>40</v>
      </c>
      <c r="R312" s="21">
        <v>9</v>
      </c>
      <c r="S312" s="21">
        <v>8</v>
      </c>
      <c r="T312" s="21" t="s">
        <v>160</v>
      </c>
      <c r="U312" s="21">
        <v>0.8</v>
      </c>
      <c r="V312" s="21">
        <v>0.8</v>
      </c>
      <c r="W312" s="24">
        <f>3.14*R312*Q312+2*3.14*(S312/2)^2/V312</f>
        <v>1256</v>
      </c>
      <c r="X312" s="25">
        <f>(3.14/4*R312^2*Q312)*U312</f>
        <v>2034.7200000000003</v>
      </c>
      <c r="Y312" s="21">
        <v>1</v>
      </c>
      <c r="Z312" s="24">
        <f t="shared" si="50"/>
        <v>1256</v>
      </c>
      <c r="AA312" s="24">
        <f t="shared" si="51"/>
        <v>2034.7200000000003</v>
      </c>
      <c r="AB312" s="21"/>
      <c r="AC312" s="21"/>
      <c r="AD312" s="21"/>
      <c r="AE312" s="21"/>
      <c r="AF312" s="21" t="s">
        <v>247</v>
      </c>
      <c r="AG312" s="21"/>
      <c r="AH312" s="24"/>
      <c r="AI312" s="24"/>
      <c r="AJ312" s="21">
        <v>1808.6400000000003</v>
      </c>
      <c r="AK312" s="21">
        <v>40</v>
      </c>
      <c r="AL312" s="22" t="s">
        <v>1069</v>
      </c>
      <c r="AM312" s="22">
        <v>0.11</v>
      </c>
      <c r="AN312" s="22" t="s">
        <v>1057</v>
      </c>
      <c r="AO312" s="22" t="s">
        <v>1057</v>
      </c>
      <c r="AP312" s="22" t="s">
        <v>963</v>
      </c>
      <c r="AQ312" s="22" t="str">
        <f t="shared" si="52"/>
        <v>Microphytoplankton</v>
      </c>
      <c r="AR312" s="22">
        <v>1</v>
      </c>
      <c r="AS312" s="22">
        <v>1</v>
      </c>
      <c r="AT312" s="22">
        <v>0</v>
      </c>
      <c r="AU312" s="22">
        <v>1</v>
      </c>
      <c r="AV312" s="22">
        <v>0</v>
      </c>
      <c r="AW312" s="22">
        <v>0</v>
      </c>
      <c r="AX312" s="22">
        <v>1</v>
      </c>
      <c r="AY312" s="22">
        <v>0</v>
      </c>
    </row>
    <row r="313" spans="1:57">
      <c r="A313" s="21" t="s">
        <v>1099</v>
      </c>
      <c r="B313" s="22" t="s">
        <v>663</v>
      </c>
      <c r="C313" s="23" t="s">
        <v>822</v>
      </c>
      <c r="D313" s="23" t="s">
        <v>965</v>
      </c>
      <c r="E313" s="22" t="s">
        <v>991</v>
      </c>
      <c r="F313" s="23" t="s">
        <v>992</v>
      </c>
      <c r="G313" s="23" t="s">
        <v>1005</v>
      </c>
      <c r="H313" s="22" t="s">
        <v>1022</v>
      </c>
      <c r="I313" s="22" t="s">
        <v>1054</v>
      </c>
      <c r="J313" s="22" t="s">
        <v>1100</v>
      </c>
      <c r="N313" s="22" t="s">
        <v>1101</v>
      </c>
      <c r="O313" s="22" t="s">
        <v>962</v>
      </c>
      <c r="P313" s="21">
        <v>50371</v>
      </c>
      <c r="Q313" s="21">
        <v>25</v>
      </c>
      <c r="R313" s="21">
        <v>4</v>
      </c>
      <c r="S313" s="21">
        <v>4</v>
      </c>
      <c r="T313" s="22" t="s">
        <v>281</v>
      </c>
      <c r="U313" s="21">
        <v>0.5</v>
      </c>
      <c r="V313" s="21">
        <v>0.5</v>
      </c>
      <c r="W313" s="24">
        <f t="shared" ref="W313:W328" si="55">(4*3.14*(((Q313^1.6*R313^1.6+Q313^1.6*S313^1.6+R313^1.6+S313^1.6)/3)^(1/1.6)))*(1/V313)</f>
        <v>1956.7344536403587</v>
      </c>
      <c r="X313" s="24">
        <f>3.14/6*Q313*R313*S313*U313</f>
        <v>104.66666666666666</v>
      </c>
      <c r="Y313" s="21">
        <v>1</v>
      </c>
      <c r="Z313" s="24">
        <f t="shared" si="50"/>
        <v>1956.7344536403587</v>
      </c>
      <c r="AA313" s="24">
        <f t="shared" si="51"/>
        <v>104.66666666666666</v>
      </c>
      <c r="AB313" s="21"/>
      <c r="AC313" s="21"/>
      <c r="AD313" s="21"/>
      <c r="AE313" s="21"/>
      <c r="AF313" s="21" t="s">
        <v>247</v>
      </c>
      <c r="AG313" s="21"/>
      <c r="AH313" s="24"/>
      <c r="AI313" s="24"/>
      <c r="AJ313" s="21">
        <v>104.7</v>
      </c>
      <c r="AK313" s="21">
        <v>25</v>
      </c>
      <c r="AL313" s="22" t="s">
        <v>161</v>
      </c>
      <c r="AM313" s="22">
        <v>0.11</v>
      </c>
      <c r="AN313" s="22" t="s">
        <v>1057</v>
      </c>
      <c r="AO313" s="22" t="s">
        <v>1057</v>
      </c>
      <c r="AP313" s="22" t="s">
        <v>963</v>
      </c>
      <c r="AQ313" s="22" t="str">
        <f t="shared" si="52"/>
        <v>Microphytoplankton</v>
      </c>
      <c r="AR313" s="22">
        <v>1</v>
      </c>
      <c r="AS313" s="22">
        <v>1</v>
      </c>
      <c r="AT313" s="22">
        <v>0</v>
      </c>
      <c r="AU313" s="22">
        <v>1</v>
      </c>
      <c r="AV313" s="22">
        <v>0</v>
      </c>
      <c r="AW313" s="22">
        <v>0</v>
      </c>
      <c r="AX313" s="22">
        <v>1</v>
      </c>
      <c r="AY313" s="22">
        <v>0</v>
      </c>
    </row>
    <row r="314" spans="1:57">
      <c r="A314" s="21" t="s">
        <v>1102</v>
      </c>
      <c r="B314" s="22" t="s">
        <v>663</v>
      </c>
      <c r="C314" s="23" t="s">
        <v>822</v>
      </c>
      <c r="D314" s="23" t="s">
        <v>965</v>
      </c>
      <c r="E314" s="22" t="s">
        <v>991</v>
      </c>
      <c r="F314" s="23" t="s">
        <v>992</v>
      </c>
      <c r="G314" s="23" t="s">
        <v>1005</v>
      </c>
      <c r="H314" s="22" t="s">
        <v>1022</v>
      </c>
      <c r="I314" s="22" t="s">
        <v>1054</v>
      </c>
      <c r="J314" s="22" t="s">
        <v>1103</v>
      </c>
      <c r="N314" s="22" t="s">
        <v>694</v>
      </c>
      <c r="O314" s="22" t="s">
        <v>962</v>
      </c>
      <c r="P314" s="21">
        <v>50340</v>
      </c>
      <c r="Q314" s="21">
        <v>35</v>
      </c>
      <c r="R314" s="21">
        <v>10</v>
      </c>
      <c r="S314" s="21">
        <v>10</v>
      </c>
      <c r="T314" s="22" t="s">
        <v>281</v>
      </c>
      <c r="U314" s="21">
        <v>0.5</v>
      </c>
      <c r="V314" s="21">
        <v>0.5</v>
      </c>
      <c r="W314" s="24">
        <f t="shared" si="55"/>
        <v>6838.2937516262309</v>
      </c>
      <c r="X314" s="24">
        <f>3.14/6*Q314*R314*S314*U314</f>
        <v>915.83333333333326</v>
      </c>
      <c r="Y314" s="21">
        <v>1</v>
      </c>
      <c r="Z314" s="24">
        <f t="shared" si="50"/>
        <v>6838.2937516262309</v>
      </c>
      <c r="AA314" s="24">
        <f t="shared" si="51"/>
        <v>915.83333333333326</v>
      </c>
      <c r="AB314" s="21"/>
      <c r="AC314" s="21"/>
      <c r="AD314" s="21"/>
      <c r="AE314" s="21"/>
      <c r="AF314" s="21" t="s">
        <v>247</v>
      </c>
      <c r="AG314" s="21"/>
      <c r="AH314" s="24"/>
      <c r="AI314" s="24"/>
      <c r="AJ314" s="21">
        <v>916.3</v>
      </c>
      <c r="AK314" s="21">
        <v>150</v>
      </c>
      <c r="AL314" s="22" t="s">
        <v>161</v>
      </c>
      <c r="AM314" s="22">
        <v>0.11</v>
      </c>
      <c r="AN314" s="22" t="s">
        <v>1057</v>
      </c>
      <c r="AO314" s="22" t="s">
        <v>1057</v>
      </c>
      <c r="AP314" s="22" t="s">
        <v>963</v>
      </c>
      <c r="AQ314" s="22" t="str">
        <f t="shared" si="52"/>
        <v>Microphytoplankton</v>
      </c>
      <c r="AR314" s="22">
        <v>1</v>
      </c>
      <c r="AS314" s="22">
        <v>1</v>
      </c>
      <c r="AT314" s="22">
        <v>0</v>
      </c>
      <c r="AU314" s="22">
        <v>1</v>
      </c>
      <c r="AV314" s="22">
        <v>0</v>
      </c>
      <c r="AW314" s="22">
        <v>0</v>
      </c>
      <c r="AX314" s="22">
        <v>1</v>
      </c>
      <c r="AY314" s="22">
        <v>0</v>
      </c>
      <c r="AZ314" s="22">
        <v>0</v>
      </c>
      <c r="BA314" s="22">
        <v>0</v>
      </c>
      <c r="BB314" s="22">
        <v>1</v>
      </c>
      <c r="BC314" s="22">
        <v>6</v>
      </c>
      <c r="BD314" s="22">
        <v>3</v>
      </c>
      <c r="BE314" s="22">
        <v>0</v>
      </c>
    </row>
    <row r="315" spans="1:57">
      <c r="A315" s="21" t="s">
        <v>1104</v>
      </c>
      <c r="B315" s="22" t="s">
        <v>663</v>
      </c>
      <c r="C315" s="23" t="s">
        <v>822</v>
      </c>
      <c r="D315" s="23" t="s">
        <v>965</v>
      </c>
      <c r="E315" s="22" t="s">
        <v>991</v>
      </c>
      <c r="F315" s="23" t="s">
        <v>992</v>
      </c>
      <c r="G315" s="23" t="s">
        <v>1005</v>
      </c>
      <c r="H315" s="22" t="s">
        <v>1022</v>
      </c>
      <c r="I315" s="22" t="s">
        <v>1054</v>
      </c>
      <c r="J315" s="22" t="s">
        <v>1103</v>
      </c>
      <c r="L315" s="22" t="s">
        <v>1062</v>
      </c>
      <c r="N315" s="22" t="s">
        <v>694</v>
      </c>
      <c r="O315" s="22" t="s">
        <v>962</v>
      </c>
      <c r="P315" s="21">
        <v>50341</v>
      </c>
      <c r="Q315" s="21">
        <v>35</v>
      </c>
      <c r="R315" s="21">
        <v>10</v>
      </c>
      <c r="S315" s="21">
        <v>10</v>
      </c>
      <c r="T315" s="22" t="s">
        <v>281</v>
      </c>
      <c r="U315" s="21">
        <v>0.5</v>
      </c>
      <c r="V315" s="21">
        <v>0.5</v>
      </c>
      <c r="W315" s="24">
        <f t="shared" si="55"/>
        <v>6838.2937516262309</v>
      </c>
      <c r="X315" s="24">
        <f>3.14/6*Q315*R315*S315*U315</f>
        <v>915.83333333333326</v>
      </c>
      <c r="Y315" s="21">
        <v>1</v>
      </c>
      <c r="Z315" s="24">
        <f t="shared" si="50"/>
        <v>6838.2937516262309</v>
      </c>
      <c r="AA315" s="24">
        <f t="shared" si="51"/>
        <v>915.83333333333326</v>
      </c>
      <c r="AB315" s="21"/>
      <c r="AC315" s="21"/>
      <c r="AD315" s="21"/>
      <c r="AE315" s="21"/>
      <c r="AF315" s="21" t="s">
        <v>247</v>
      </c>
      <c r="AG315" s="21"/>
      <c r="AH315" s="24"/>
      <c r="AI315" s="24"/>
      <c r="AJ315" s="21">
        <v>916.3</v>
      </c>
      <c r="AK315" s="21">
        <v>150</v>
      </c>
      <c r="AL315" s="22" t="s">
        <v>161</v>
      </c>
      <c r="AM315" s="22">
        <v>0.11</v>
      </c>
      <c r="AN315" s="22" t="s">
        <v>1057</v>
      </c>
      <c r="AO315" s="22" t="s">
        <v>1057</v>
      </c>
      <c r="AP315" s="22" t="s">
        <v>963</v>
      </c>
      <c r="AQ315" s="22" t="str">
        <f t="shared" si="52"/>
        <v>Microphytoplankton</v>
      </c>
      <c r="AR315" s="22">
        <v>1</v>
      </c>
      <c r="AS315" s="22">
        <v>1</v>
      </c>
      <c r="AT315" s="22">
        <v>0</v>
      </c>
      <c r="AU315" s="22">
        <v>1</v>
      </c>
      <c r="AV315" s="22">
        <v>0</v>
      </c>
      <c r="AW315" s="22">
        <v>0</v>
      </c>
      <c r="AX315" s="22">
        <v>1</v>
      </c>
      <c r="AY315" s="22">
        <v>0</v>
      </c>
      <c r="AZ315" s="22">
        <v>0</v>
      </c>
      <c r="BA315" s="22">
        <v>0</v>
      </c>
      <c r="BB315" s="22">
        <v>1</v>
      </c>
      <c r="BC315" s="22">
        <v>6</v>
      </c>
      <c r="BD315" s="22">
        <v>3</v>
      </c>
      <c r="BE315" s="22">
        <v>0</v>
      </c>
    </row>
    <row r="316" spans="1:57">
      <c r="A316" s="21" t="s">
        <v>1105</v>
      </c>
      <c r="B316" s="22" t="s">
        <v>663</v>
      </c>
      <c r="C316" s="23" t="s">
        <v>822</v>
      </c>
      <c r="D316" s="23" t="s">
        <v>965</v>
      </c>
      <c r="E316" s="22" t="s">
        <v>991</v>
      </c>
      <c r="F316" s="23" t="s">
        <v>992</v>
      </c>
      <c r="G316" s="23" t="s">
        <v>1005</v>
      </c>
      <c r="H316" s="22" t="s">
        <v>1022</v>
      </c>
      <c r="I316" s="22" t="s">
        <v>1054</v>
      </c>
      <c r="J316" s="22" t="s">
        <v>1103</v>
      </c>
      <c r="L316" s="22" t="s">
        <v>1065</v>
      </c>
      <c r="N316" s="22" t="s">
        <v>694</v>
      </c>
      <c r="O316" s="22" t="s">
        <v>962</v>
      </c>
      <c r="P316" s="21">
        <v>50342</v>
      </c>
      <c r="Q316" s="21">
        <v>35</v>
      </c>
      <c r="R316" s="21">
        <v>10</v>
      </c>
      <c r="S316" s="21">
        <v>10</v>
      </c>
      <c r="T316" s="22" t="s">
        <v>281</v>
      </c>
      <c r="U316" s="21">
        <v>0.5</v>
      </c>
      <c r="V316" s="21">
        <v>0.5</v>
      </c>
      <c r="W316" s="24">
        <f t="shared" si="55"/>
        <v>6838.2937516262309</v>
      </c>
      <c r="X316" s="24">
        <f>3.14/6*Q316*R316*S316*U316</f>
        <v>915.83333333333326</v>
      </c>
      <c r="Y316" s="21">
        <v>1</v>
      </c>
      <c r="Z316" s="24">
        <f t="shared" si="50"/>
        <v>6838.2937516262309</v>
      </c>
      <c r="AA316" s="24">
        <f t="shared" si="51"/>
        <v>915.83333333333326</v>
      </c>
      <c r="AB316" s="21"/>
      <c r="AC316" s="21"/>
      <c r="AD316" s="21"/>
      <c r="AE316" s="21"/>
      <c r="AF316" s="21" t="s">
        <v>247</v>
      </c>
      <c r="AG316" s="21"/>
      <c r="AH316" s="24"/>
      <c r="AI316" s="24"/>
      <c r="AJ316" s="21">
        <v>916.3</v>
      </c>
      <c r="AK316" s="21">
        <v>150</v>
      </c>
      <c r="AL316" s="22" t="s">
        <v>161</v>
      </c>
      <c r="AM316" s="22">
        <v>0.11</v>
      </c>
      <c r="AN316" s="22" t="s">
        <v>1057</v>
      </c>
      <c r="AO316" s="22" t="s">
        <v>1057</v>
      </c>
      <c r="AP316" s="22" t="s">
        <v>963</v>
      </c>
      <c r="AQ316" s="22" t="str">
        <f t="shared" si="52"/>
        <v>Microphytoplankton</v>
      </c>
      <c r="AR316" s="22">
        <v>1</v>
      </c>
      <c r="AS316" s="22">
        <v>1</v>
      </c>
      <c r="AT316" s="22">
        <v>0</v>
      </c>
      <c r="AU316" s="22">
        <v>1</v>
      </c>
      <c r="AV316" s="22">
        <v>0</v>
      </c>
      <c r="AW316" s="22">
        <v>0</v>
      </c>
      <c r="AX316" s="22">
        <v>1</v>
      </c>
      <c r="AY316" s="22">
        <v>0</v>
      </c>
      <c r="AZ316" s="22">
        <v>0</v>
      </c>
      <c r="BA316" s="22">
        <v>0</v>
      </c>
      <c r="BB316" s="22">
        <v>1</v>
      </c>
      <c r="BC316" s="22">
        <v>6</v>
      </c>
      <c r="BD316" s="22">
        <v>3</v>
      </c>
      <c r="BE316" s="22">
        <v>0</v>
      </c>
    </row>
    <row r="317" spans="1:57">
      <c r="A317" s="21" t="s">
        <v>1106</v>
      </c>
      <c r="B317" s="22" t="s">
        <v>663</v>
      </c>
      <c r="C317" s="23" t="s">
        <v>822</v>
      </c>
      <c r="D317" s="23" t="s">
        <v>965</v>
      </c>
      <c r="E317" s="22" t="s">
        <v>991</v>
      </c>
      <c r="F317" s="23" t="s">
        <v>992</v>
      </c>
      <c r="G317" s="23" t="s">
        <v>1005</v>
      </c>
      <c r="H317" s="22" t="s">
        <v>1022</v>
      </c>
      <c r="I317" s="22" t="s">
        <v>1054</v>
      </c>
      <c r="J317" s="22" t="s">
        <v>1103</v>
      </c>
      <c r="K317" s="22" t="s">
        <v>175</v>
      </c>
      <c r="L317" s="22" t="s">
        <v>1107</v>
      </c>
      <c r="N317" s="22" t="s">
        <v>694</v>
      </c>
      <c r="O317" s="22" t="s">
        <v>962</v>
      </c>
      <c r="P317" s="21">
        <v>50341</v>
      </c>
      <c r="Q317" s="21">
        <v>27</v>
      </c>
      <c r="R317" s="21">
        <v>4</v>
      </c>
      <c r="S317" s="21">
        <v>4</v>
      </c>
      <c r="T317" s="22" t="s">
        <v>281</v>
      </c>
      <c r="U317" s="21">
        <v>0.6</v>
      </c>
      <c r="V317" s="21">
        <v>0.6</v>
      </c>
      <c r="W317" s="24">
        <f t="shared" si="55"/>
        <v>1760.3257833971984</v>
      </c>
      <c r="X317" s="24">
        <f>3.14/6*Q317*R317*S317*U317</f>
        <v>135.648</v>
      </c>
      <c r="Y317" s="21">
        <v>1</v>
      </c>
      <c r="Z317" s="24">
        <f t="shared" si="50"/>
        <v>1760.3257833971984</v>
      </c>
      <c r="AA317" s="24">
        <f t="shared" si="51"/>
        <v>135.648</v>
      </c>
      <c r="AB317" s="21"/>
      <c r="AC317" s="21"/>
      <c r="AD317" s="21"/>
      <c r="AE317" s="21"/>
      <c r="AF317" s="21" t="s">
        <v>247</v>
      </c>
      <c r="AG317" s="21"/>
      <c r="AH317" s="24"/>
      <c r="AI317" s="24"/>
      <c r="AJ317" s="21">
        <v>916.3</v>
      </c>
      <c r="AK317" s="21">
        <v>150</v>
      </c>
      <c r="AL317" s="22" t="s">
        <v>161</v>
      </c>
      <c r="AM317" s="22">
        <v>0.11</v>
      </c>
      <c r="AN317" s="22" t="s">
        <v>1057</v>
      </c>
      <c r="AO317" s="22" t="s">
        <v>1057</v>
      </c>
      <c r="AP317" s="22" t="s">
        <v>963</v>
      </c>
      <c r="AQ317" s="22" t="str">
        <f t="shared" si="52"/>
        <v>Microphytoplankton</v>
      </c>
      <c r="AR317" s="22">
        <v>1</v>
      </c>
      <c r="AS317" s="22">
        <v>1</v>
      </c>
      <c r="AT317" s="22">
        <v>0</v>
      </c>
      <c r="AU317" s="22">
        <v>1</v>
      </c>
      <c r="AV317" s="22">
        <v>0</v>
      </c>
      <c r="AW317" s="22">
        <v>0</v>
      </c>
      <c r="AX317" s="22">
        <v>1</v>
      </c>
      <c r="AY317" s="22">
        <v>0</v>
      </c>
    </row>
    <row r="318" spans="1:57">
      <c r="A318" s="21" t="s">
        <v>1108</v>
      </c>
      <c r="B318" s="22" t="s">
        <v>663</v>
      </c>
      <c r="C318" s="23" t="s">
        <v>822</v>
      </c>
      <c r="D318" s="23" t="s">
        <v>965</v>
      </c>
      <c r="E318" s="22" t="s">
        <v>991</v>
      </c>
      <c r="F318" s="23" t="s">
        <v>992</v>
      </c>
      <c r="G318" s="23" t="s">
        <v>1005</v>
      </c>
      <c r="H318" s="22" t="s">
        <v>1022</v>
      </c>
      <c r="I318" s="22" t="s">
        <v>1054</v>
      </c>
      <c r="J318" s="22" t="s">
        <v>1103</v>
      </c>
      <c r="K318" s="22" t="s">
        <v>175</v>
      </c>
      <c r="L318" s="22" t="s">
        <v>1109</v>
      </c>
      <c r="N318" s="22" t="s">
        <v>1110</v>
      </c>
      <c r="O318" s="22" t="s">
        <v>962</v>
      </c>
      <c r="P318" s="21">
        <v>50342</v>
      </c>
      <c r="Q318" s="21">
        <v>35</v>
      </c>
      <c r="R318" s="21">
        <v>11</v>
      </c>
      <c r="S318" s="21">
        <v>11</v>
      </c>
      <c r="T318" s="21" t="s">
        <v>977</v>
      </c>
      <c r="U318" s="21">
        <v>0.6</v>
      </c>
      <c r="V318" s="21">
        <v>0.6</v>
      </c>
      <c r="W318" s="24">
        <f t="shared" si="55"/>
        <v>6268.4359389907167</v>
      </c>
      <c r="X318" s="24">
        <f>3.14/12*Q318*R318*S318*U318</f>
        <v>664.89499999999998</v>
      </c>
      <c r="Y318" s="21">
        <v>1</v>
      </c>
      <c r="Z318" s="24">
        <f t="shared" si="50"/>
        <v>6268.4359389907167</v>
      </c>
      <c r="AA318" s="24">
        <f t="shared" si="51"/>
        <v>664.89499999999998</v>
      </c>
      <c r="AB318" s="21"/>
      <c r="AC318" s="21"/>
      <c r="AD318" s="21"/>
      <c r="AE318" s="21"/>
      <c r="AF318" s="21" t="s">
        <v>247</v>
      </c>
      <c r="AG318" s="21"/>
      <c r="AH318" s="24"/>
      <c r="AI318" s="24"/>
      <c r="AJ318" s="21">
        <v>916.3</v>
      </c>
      <c r="AK318" s="21">
        <v>150</v>
      </c>
      <c r="AL318" s="22" t="s">
        <v>161</v>
      </c>
      <c r="AM318" s="22">
        <v>0.11</v>
      </c>
      <c r="AN318" s="22" t="s">
        <v>1057</v>
      </c>
      <c r="AO318" s="22" t="s">
        <v>1057</v>
      </c>
      <c r="AP318" s="22" t="s">
        <v>963</v>
      </c>
      <c r="AQ318" s="22" t="str">
        <f t="shared" si="52"/>
        <v>Microphytoplankton</v>
      </c>
      <c r="AR318" s="22">
        <v>1</v>
      </c>
      <c r="AS318" s="22">
        <v>1</v>
      </c>
      <c r="AT318" s="22">
        <v>0</v>
      </c>
      <c r="AU318" s="22">
        <v>1</v>
      </c>
      <c r="AV318" s="22">
        <v>0</v>
      </c>
      <c r="AW318" s="22">
        <v>0</v>
      </c>
      <c r="AX318" s="22">
        <v>1</v>
      </c>
      <c r="AY318" s="22">
        <v>0</v>
      </c>
    </row>
    <row r="319" spans="1:57">
      <c r="A319" s="21" t="s">
        <v>1111</v>
      </c>
      <c r="B319" s="22" t="s">
        <v>663</v>
      </c>
      <c r="C319" s="23" t="s">
        <v>822</v>
      </c>
      <c r="D319" s="23" t="s">
        <v>965</v>
      </c>
      <c r="E319" s="22" t="s">
        <v>991</v>
      </c>
      <c r="F319" s="23" t="s">
        <v>992</v>
      </c>
      <c r="G319" s="23" t="s">
        <v>1005</v>
      </c>
      <c r="H319" s="22" t="s">
        <v>1022</v>
      </c>
      <c r="I319" s="22" t="s">
        <v>1054</v>
      </c>
      <c r="J319" s="22" t="s">
        <v>1112</v>
      </c>
      <c r="K319" s="22" t="s">
        <v>175</v>
      </c>
      <c r="L319" s="22" t="s">
        <v>1113</v>
      </c>
      <c r="N319" s="22" t="s">
        <v>1114</v>
      </c>
      <c r="O319" s="22" t="s">
        <v>962</v>
      </c>
      <c r="P319" s="21">
        <v>50350</v>
      </c>
      <c r="Q319" s="21">
        <v>38</v>
      </c>
      <c r="R319" s="21">
        <v>9</v>
      </c>
      <c r="S319" s="21">
        <v>9</v>
      </c>
      <c r="T319" s="22" t="s">
        <v>281</v>
      </c>
      <c r="U319" s="21">
        <v>0.5</v>
      </c>
      <c r="V319" s="21">
        <v>0.5</v>
      </c>
      <c r="W319" s="24">
        <f t="shared" si="55"/>
        <v>6680.2529844789524</v>
      </c>
      <c r="X319" s="24">
        <f t="shared" ref="X319:X328" si="56">3.14/6*Q319*R319*S319*U319</f>
        <v>805.41</v>
      </c>
      <c r="Y319" s="21">
        <v>1</v>
      </c>
      <c r="Z319" s="24">
        <f t="shared" si="50"/>
        <v>6680.2529844789524</v>
      </c>
      <c r="AA319" s="24">
        <f t="shared" si="51"/>
        <v>805.41</v>
      </c>
      <c r="AB319" s="21"/>
      <c r="AC319" s="21"/>
      <c r="AD319" s="21"/>
      <c r="AE319" s="21"/>
      <c r="AF319" s="21" t="s">
        <v>247</v>
      </c>
      <c r="AG319" s="21"/>
      <c r="AH319" s="24"/>
      <c r="AI319" s="24"/>
      <c r="AJ319" s="21">
        <v>805.8</v>
      </c>
      <c r="AK319" s="21">
        <v>150</v>
      </c>
      <c r="AL319" s="22" t="s">
        <v>161</v>
      </c>
      <c r="AM319" s="22">
        <v>0.11</v>
      </c>
      <c r="AN319" s="22" t="s">
        <v>1057</v>
      </c>
      <c r="AO319" s="22" t="s">
        <v>1057</v>
      </c>
      <c r="AP319" s="22" t="s">
        <v>963</v>
      </c>
      <c r="AQ319" s="22" t="str">
        <f t="shared" si="52"/>
        <v>Microphytoplankton</v>
      </c>
      <c r="AR319" s="22">
        <v>1</v>
      </c>
      <c r="AS319" s="22">
        <v>1</v>
      </c>
      <c r="AT319" s="22">
        <v>0</v>
      </c>
      <c r="AU319" s="22">
        <v>1</v>
      </c>
      <c r="AV319" s="22">
        <v>0</v>
      </c>
      <c r="AW319" s="22">
        <v>0</v>
      </c>
      <c r="AX319" s="22">
        <v>1</v>
      </c>
      <c r="AY319" s="22">
        <v>0</v>
      </c>
    </row>
    <row r="320" spans="1:57">
      <c r="A320" s="21" t="s">
        <v>1115</v>
      </c>
      <c r="B320" s="22" t="s">
        <v>663</v>
      </c>
      <c r="C320" s="23" t="s">
        <v>822</v>
      </c>
      <c r="D320" s="23" t="s">
        <v>965</v>
      </c>
      <c r="E320" s="22" t="s">
        <v>991</v>
      </c>
      <c r="F320" s="23" t="s">
        <v>992</v>
      </c>
      <c r="G320" s="23" t="s">
        <v>1005</v>
      </c>
      <c r="H320" s="22" t="s">
        <v>1022</v>
      </c>
      <c r="I320" s="22" t="s">
        <v>1054</v>
      </c>
      <c r="J320" s="22" t="s">
        <v>1112</v>
      </c>
      <c r="K320" s="22" t="s">
        <v>175</v>
      </c>
      <c r="L320" s="22" t="s">
        <v>1116</v>
      </c>
      <c r="N320" s="22" t="s">
        <v>1117</v>
      </c>
      <c r="O320" s="22" t="s">
        <v>962</v>
      </c>
      <c r="P320" s="21">
        <v>50351</v>
      </c>
      <c r="Q320" s="21">
        <v>38</v>
      </c>
      <c r="R320" s="21">
        <v>9</v>
      </c>
      <c r="S320" s="21">
        <v>9</v>
      </c>
      <c r="T320" s="22" t="s">
        <v>281</v>
      </c>
      <c r="U320" s="21">
        <v>0.5</v>
      </c>
      <c r="V320" s="21">
        <v>0.5</v>
      </c>
      <c r="W320" s="24">
        <f t="shared" si="55"/>
        <v>6680.2529844789524</v>
      </c>
      <c r="X320" s="24">
        <f t="shared" si="56"/>
        <v>805.41</v>
      </c>
      <c r="Y320" s="21">
        <v>1</v>
      </c>
      <c r="Z320" s="24">
        <f t="shared" si="50"/>
        <v>6680.2529844789524</v>
      </c>
      <c r="AA320" s="24">
        <f t="shared" si="51"/>
        <v>805.41</v>
      </c>
      <c r="AB320" s="21"/>
      <c r="AC320" s="21"/>
      <c r="AD320" s="21"/>
      <c r="AE320" s="21"/>
      <c r="AF320" s="21" t="s">
        <v>247</v>
      </c>
      <c r="AG320" s="21"/>
      <c r="AH320" s="24"/>
      <c r="AI320" s="24"/>
      <c r="AJ320" s="21">
        <v>805.8</v>
      </c>
      <c r="AK320" s="21">
        <v>150</v>
      </c>
      <c r="AL320" s="22" t="s">
        <v>161</v>
      </c>
      <c r="AM320" s="22">
        <v>0.11</v>
      </c>
      <c r="AN320" s="22" t="s">
        <v>1057</v>
      </c>
      <c r="AO320" s="22" t="s">
        <v>1057</v>
      </c>
      <c r="AP320" s="22" t="s">
        <v>963</v>
      </c>
      <c r="AQ320" s="22" t="str">
        <f t="shared" si="52"/>
        <v>Microphytoplankton</v>
      </c>
      <c r="AR320" s="22">
        <v>1</v>
      </c>
      <c r="AS320" s="22">
        <v>1</v>
      </c>
      <c r="AT320" s="22">
        <v>0</v>
      </c>
      <c r="AU320" s="22">
        <v>1</v>
      </c>
      <c r="AV320" s="22">
        <v>0</v>
      </c>
      <c r="AW320" s="22">
        <v>0</v>
      </c>
      <c r="AX320" s="22">
        <v>1</v>
      </c>
      <c r="AY320" s="22">
        <v>0</v>
      </c>
    </row>
    <row r="321" spans="1:51">
      <c r="A321" s="21" t="s">
        <v>1118</v>
      </c>
      <c r="B321" s="22" t="s">
        <v>663</v>
      </c>
      <c r="C321" s="23" t="s">
        <v>822</v>
      </c>
      <c r="D321" s="23" t="s">
        <v>965</v>
      </c>
      <c r="E321" s="22" t="s">
        <v>991</v>
      </c>
      <c r="F321" s="23" t="s">
        <v>992</v>
      </c>
      <c r="G321" s="23" t="s">
        <v>1005</v>
      </c>
      <c r="H321" s="22" t="s">
        <v>1022</v>
      </c>
      <c r="I321" s="22" t="s">
        <v>1054</v>
      </c>
      <c r="J321" s="22" t="s">
        <v>1112</v>
      </c>
      <c r="K321" s="22" t="s">
        <v>175</v>
      </c>
      <c r="L321" s="22" t="s">
        <v>1119</v>
      </c>
      <c r="N321" s="22" t="s">
        <v>1117</v>
      </c>
      <c r="O321" s="22" t="s">
        <v>962</v>
      </c>
      <c r="P321" s="21">
        <v>50352</v>
      </c>
      <c r="Q321" s="21">
        <v>38</v>
      </c>
      <c r="R321" s="21">
        <v>9</v>
      </c>
      <c r="S321" s="21">
        <v>9</v>
      </c>
      <c r="T321" s="22" t="s">
        <v>281</v>
      </c>
      <c r="U321" s="21">
        <v>0.5</v>
      </c>
      <c r="V321" s="21">
        <v>0.5</v>
      </c>
      <c r="W321" s="24">
        <f t="shared" si="55"/>
        <v>6680.2529844789524</v>
      </c>
      <c r="X321" s="24">
        <f t="shared" si="56"/>
        <v>805.41</v>
      </c>
      <c r="Y321" s="21">
        <v>1</v>
      </c>
      <c r="Z321" s="24">
        <f t="shared" si="50"/>
        <v>6680.2529844789524</v>
      </c>
      <c r="AA321" s="24">
        <f t="shared" si="51"/>
        <v>805.41</v>
      </c>
      <c r="AB321" s="21"/>
      <c r="AC321" s="21"/>
      <c r="AD321" s="21"/>
      <c r="AE321" s="21"/>
      <c r="AF321" s="21" t="s">
        <v>247</v>
      </c>
      <c r="AG321" s="21"/>
      <c r="AH321" s="24"/>
      <c r="AI321" s="24"/>
      <c r="AJ321" s="21">
        <v>805.8</v>
      </c>
      <c r="AK321" s="21">
        <v>150</v>
      </c>
      <c r="AL321" s="22" t="s">
        <v>161</v>
      </c>
      <c r="AM321" s="22">
        <v>0.11</v>
      </c>
      <c r="AN321" s="22" t="s">
        <v>1057</v>
      </c>
      <c r="AO321" s="22" t="s">
        <v>1057</v>
      </c>
      <c r="AP321" s="22" t="s">
        <v>963</v>
      </c>
      <c r="AQ321" s="22" t="str">
        <f t="shared" si="52"/>
        <v>Microphytoplankton</v>
      </c>
      <c r="AR321" s="22">
        <v>1</v>
      </c>
      <c r="AS321" s="22">
        <v>1</v>
      </c>
      <c r="AT321" s="22">
        <v>0</v>
      </c>
      <c r="AU321" s="22">
        <v>1</v>
      </c>
      <c r="AV321" s="22">
        <v>0</v>
      </c>
      <c r="AW321" s="22">
        <v>0</v>
      </c>
      <c r="AX321" s="22">
        <v>1</v>
      </c>
      <c r="AY321" s="22">
        <v>0</v>
      </c>
    </row>
    <row r="322" spans="1:51">
      <c r="A322" s="21" t="s">
        <v>1120</v>
      </c>
      <c r="B322" s="22" t="s">
        <v>663</v>
      </c>
      <c r="C322" s="23" t="s">
        <v>822</v>
      </c>
      <c r="D322" s="23" t="s">
        <v>965</v>
      </c>
      <c r="E322" s="22" t="s">
        <v>991</v>
      </c>
      <c r="F322" s="23" t="s">
        <v>992</v>
      </c>
      <c r="G322" s="23" t="s">
        <v>1005</v>
      </c>
      <c r="H322" s="22" t="s">
        <v>1022</v>
      </c>
      <c r="I322" s="22" t="s">
        <v>1054</v>
      </c>
      <c r="J322" s="22" t="s">
        <v>1112</v>
      </c>
      <c r="K322" s="22" t="s">
        <v>175</v>
      </c>
      <c r="L322" s="22" t="s">
        <v>1121</v>
      </c>
      <c r="N322" s="22" t="s">
        <v>1122</v>
      </c>
      <c r="O322" s="22" t="s">
        <v>962</v>
      </c>
      <c r="P322" s="21">
        <v>50360</v>
      </c>
      <c r="Q322" s="21">
        <v>38</v>
      </c>
      <c r="R322" s="21">
        <v>9</v>
      </c>
      <c r="S322" s="21">
        <v>9</v>
      </c>
      <c r="T322" s="22" t="s">
        <v>281</v>
      </c>
      <c r="U322" s="21">
        <v>0.5</v>
      </c>
      <c r="V322" s="21">
        <v>0.5</v>
      </c>
      <c r="W322" s="24">
        <f t="shared" si="55"/>
        <v>6680.2529844789524</v>
      </c>
      <c r="X322" s="24">
        <f t="shared" si="56"/>
        <v>805.41</v>
      </c>
      <c r="Y322" s="21">
        <v>1</v>
      </c>
      <c r="Z322" s="24">
        <f t="shared" ref="Z322:Z385" si="57">Y322*W322</f>
        <v>6680.2529844789524</v>
      </c>
      <c r="AA322" s="24">
        <f t="shared" ref="AA322:AA385" si="58">Y322*X322</f>
        <v>805.41</v>
      </c>
      <c r="AB322" s="21"/>
      <c r="AC322" s="21"/>
      <c r="AD322" s="21"/>
      <c r="AE322" s="21"/>
      <c r="AF322" s="21" t="s">
        <v>247</v>
      </c>
      <c r="AG322" s="21"/>
      <c r="AH322" s="24"/>
      <c r="AI322" s="24"/>
      <c r="AJ322" s="21">
        <v>805.8</v>
      </c>
      <c r="AK322" s="21">
        <v>150</v>
      </c>
      <c r="AL322" s="22" t="s">
        <v>161</v>
      </c>
      <c r="AM322" s="22">
        <v>0.11</v>
      </c>
      <c r="AN322" s="22" t="s">
        <v>1057</v>
      </c>
      <c r="AO322" s="22" t="s">
        <v>1057</v>
      </c>
      <c r="AP322" s="22" t="s">
        <v>963</v>
      </c>
      <c r="AQ322" s="22" t="str">
        <f t="shared" ref="AQ322:AQ385" si="59">IF(AND($AK322&lt;20,AJ322&lt;10000),"Nanophytoplankton","Microphytoplankton")</f>
        <v>Microphytoplankton</v>
      </c>
      <c r="AR322" s="22">
        <v>1</v>
      </c>
      <c r="AS322" s="22">
        <v>1</v>
      </c>
      <c r="AT322" s="22">
        <v>0</v>
      </c>
      <c r="AU322" s="22">
        <v>1</v>
      </c>
      <c r="AV322" s="22">
        <v>0</v>
      </c>
      <c r="AW322" s="22">
        <v>0</v>
      </c>
      <c r="AX322" s="22">
        <v>1</v>
      </c>
      <c r="AY322" s="22">
        <v>0</v>
      </c>
    </row>
    <row r="323" spans="1:51">
      <c r="A323" s="21" t="s">
        <v>1123</v>
      </c>
      <c r="B323" s="22" t="s">
        <v>663</v>
      </c>
      <c r="C323" s="23" t="s">
        <v>822</v>
      </c>
      <c r="D323" s="23" t="s">
        <v>965</v>
      </c>
      <c r="E323" s="22" t="s">
        <v>991</v>
      </c>
      <c r="F323" s="23" t="s">
        <v>992</v>
      </c>
      <c r="G323" s="23" t="s">
        <v>1005</v>
      </c>
      <c r="H323" s="22" t="s">
        <v>1022</v>
      </c>
      <c r="I323" s="22" t="s">
        <v>1054</v>
      </c>
      <c r="J323" s="22" t="s">
        <v>1112</v>
      </c>
      <c r="K323" s="22" t="s">
        <v>175</v>
      </c>
      <c r="L323" s="22" t="s">
        <v>1124</v>
      </c>
      <c r="N323" s="22" t="s">
        <v>1125</v>
      </c>
      <c r="O323" s="22" t="s">
        <v>962</v>
      </c>
      <c r="P323" s="21">
        <v>50361</v>
      </c>
      <c r="Q323" s="21">
        <v>38</v>
      </c>
      <c r="R323" s="21">
        <v>9</v>
      </c>
      <c r="S323" s="21">
        <v>9</v>
      </c>
      <c r="T323" s="22" t="s">
        <v>281</v>
      </c>
      <c r="U323" s="21">
        <v>0.5</v>
      </c>
      <c r="V323" s="21">
        <v>0.5</v>
      </c>
      <c r="W323" s="24">
        <f t="shared" si="55"/>
        <v>6680.2529844789524</v>
      </c>
      <c r="X323" s="24">
        <f t="shared" si="56"/>
        <v>805.41</v>
      </c>
      <c r="Y323" s="21">
        <v>1</v>
      </c>
      <c r="Z323" s="24">
        <f t="shared" si="57"/>
        <v>6680.2529844789524</v>
      </c>
      <c r="AA323" s="24">
        <f t="shared" si="58"/>
        <v>805.41</v>
      </c>
      <c r="AB323" s="21"/>
      <c r="AC323" s="21"/>
      <c r="AD323" s="21"/>
      <c r="AE323" s="21"/>
      <c r="AF323" s="21" t="s">
        <v>247</v>
      </c>
      <c r="AG323" s="21"/>
      <c r="AH323" s="24"/>
      <c r="AI323" s="24"/>
      <c r="AJ323" s="21">
        <v>805.8</v>
      </c>
      <c r="AK323" s="21">
        <v>150</v>
      </c>
      <c r="AL323" s="22" t="s">
        <v>161</v>
      </c>
      <c r="AM323" s="22">
        <v>0.11</v>
      </c>
      <c r="AN323" s="22" t="s">
        <v>1057</v>
      </c>
      <c r="AO323" s="22" t="s">
        <v>1057</v>
      </c>
      <c r="AP323" s="22" t="s">
        <v>963</v>
      </c>
      <c r="AQ323" s="22" t="str">
        <f t="shared" si="59"/>
        <v>Microphytoplankton</v>
      </c>
      <c r="AR323" s="22">
        <v>1</v>
      </c>
      <c r="AS323" s="22">
        <v>1</v>
      </c>
      <c r="AT323" s="22">
        <v>0</v>
      </c>
      <c r="AU323" s="22">
        <v>1</v>
      </c>
      <c r="AV323" s="22">
        <v>0</v>
      </c>
      <c r="AW323" s="22">
        <v>0</v>
      </c>
      <c r="AX323" s="22">
        <v>1</v>
      </c>
      <c r="AY323" s="22">
        <v>0</v>
      </c>
    </row>
    <row r="324" spans="1:51">
      <c r="A324" s="21" t="s">
        <v>1126</v>
      </c>
      <c r="B324" s="22" t="s">
        <v>663</v>
      </c>
      <c r="C324" s="23" t="s">
        <v>822</v>
      </c>
      <c r="D324" s="23" t="s">
        <v>965</v>
      </c>
      <c r="E324" s="22" t="s">
        <v>991</v>
      </c>
      <c r="F324" s="23" t="s">
        <v>992</v>
      </c>
      <c r="G324" s="23" t="s">
        <v>1005</v>
      </c>
      <c r="H324" s="22" t="s">
        <v>1022</v>
      </c>
      <c r="I324" s="22" t="s">
        <v>1054</v>
      </c>
      <c r="J324" s="22" t="s">
        <v>1112</v>
      </c>
      <c r="K324" s="22" t="s">
        <v>175</v>
      </c>
      <c r="L324" s="22" t="s">
        <v>1127</v>
      </c>
      <c r="N324" s="22" t="s">
        <v>1125</v>
      </c>
      <c r="O324" s="22" t="s">
        <v>962</v>
      </c>
      <c r="P324" s="21">
        <v>50362</v>
      </c>
      <c r="Q324" s="21">
        <v>38</v>
      </c>
      <c r="R324" s="21">
        <v>9</v>
      </c>
      <c r="S324" s="21">
        <v>9</v>
      </c>
      <c r="T324" s="22" t="s">
        <v>281</v>
      </c>
      <c r="U324" s="21">
        <v>0.5</v>
      </c>
      <c r="V324" s="21">
        <v>0.5</v>
      </c>
      <c r="W324" s="24">
        <f t="shared" si="55"/>
        <v>6680.2529844789524</v>
      </c>
      <c r="X324" s="24">
        <f t="shared" si="56"/>
        <v>805.41</v>
      </c>
      <c r="Y324" s="21">
        <v>1</v>
      </c>
      <c r="Z324" s="24">
        <f t="shared" si="57"/>
        <v>6680.2529844789524</v>
      </c>
      <c r="AA324" s="24">
        <f t="shared" si="58"/>
        <v>805.41</v>
      </c>
      <c r="AB324" s="21"/>
      <c r="AC324" s="21"/>
      <c r="AD324" s="21"/>
      <c r="AE324" s="21"/>
      <c r="AF324" s="21" t="s">
        <v>247</v>
      </c>
      <c r="AG324" s="21"/>
      <c r="AH324" s="24"/>
      <c r="AI324" s="24"/>
      <c r="AJ324" s="21">
        <v>805.8</v>
      </c>
      <c r="AK324" s="21">
        <v>150</v>
      </c>
      <c r="AL324" s="22" t="s">
        <v>161</v>
      </c>
      <c r="AM324" s="22">
        <v>0.11</v>
      </c>
      <c r="AN324" s="22" t="s">
        <v>1057</v>
      </c>
      <c r="AO324" s="22" t="s">
        <v>1057</v>
      </c>
      <c r="AP324" s="22" t="s">
        <v>963</v>
      </c>
      <c r="AQ324" s="22" t="str">
        <f t="shared" si="59"/>
        <v>Microphytoplankton</v>
      </c>
      <c r="AR324" s="22">
        <v>1</v>
      </c>
      <c r="AS324" s="22">
        <v>1</v>
      </c>
      <c r="AT324" s="22">
        <v>0</v>
      </c>
      <c r="AU324" s="22">
        <v>1</v>
      </c>
      <c r="AV324" s="22">
        <v>0</v>
      </c>
      <c r="AW324" s="22">
        <v>0</v>
      </c>
      <c r="AX324" s="22">
        <v>1</v>
      </c>
      <c r="AY324" s="22">
        <v>0</v>
      </c>
    </row>
    <row r="325" spans="1:51">
      <c r="A325" s="21" t="s">
        <v>1128</v>
      </c>
      <c r="B325" s="22" t="s">
        <v>663</v>
      </c>
      <c r="C325" s="23" t="s">
        <v>822</v>
      </c>
      <c r="D325" s="23" t="s">
        <v>965</v>
      </c>
      <c r="E325" s="22" t="s">
        <v>991</v>
      </c>
      <c r="F325" s="23" t="s">
        <v>992</v>
      </c>
      <c r="G325" s="23" t="s">
        <v>1005</v>
      </c>
      <c r="H325" s="22" t="s">
        <v>1022</v>
      </c>
      <c r="I325" s="22" t="s">
        <v>1054</v>
      </c>
      <c r="J325" s="22" t="s">
        <v>211</v>
      </c>
      <c r="L325" s="22" t="s">
        <v>1129</v>
      </c>
      <c r="N325" s="22" t="s">
        <v>694</v>
      </c>
      <c r="O325" s="22" t="s">
        <v>962</v>
      </c>
      <c r="P325" s="21">
        <v>50363</v>
      </c>
      <c r="Q325" s="21">
        <v>10</v>
      </c>
      <c r="R325" s="21">
        <v>5</v>
      </c>
      <c r="S325" s="21">
        <v>5</v>
      </c>
      <c r="T325" s="22" t="s">
        <v>159</v>
      </c>
      <c r="U325" s="21">
        <v>0.8</v>
      </c>
      <c r="V325" s="21">
        <v>0.8</v>
      </c>
      <c r="W325" s="24">
        <f t="shared" si="55"/>
        <v>618.79459383016319</v>
      </c>
      <c r="X325" s="24">
        <f t="shared" si="56"/>
        <v>104.66666666666669</v>
      </c>
      <c r="Y325" s="21">
        <v>1</v>
      </c>
      <c r="Z325" s="24">
        <f t="shared" si="57"/>
        <v>618.79459383016319</v>
      </c>
      <c r="AA325" s="24">
        <f t="shared" si="58"/>
        <v>104.66666666666669</v>
      </c>
      <c r="AB325" s="21"/>
      <c r="AC325" s="21"/>
      <c r="AD325" s="21"/>
      <c r="AE325" s="21"/>
      <c r="AF325" s="21" t="s">
        <v>247</v>
      </c>
      <c r="AG325" s="21"/>
      <c r="AH325" s="24"/>
      <c r="AI325" s="24"/>
      <c r="AJ325" s="21">
        <v>105.33333333333336</v>
      </c>
      <c r="AK325" s="21">
        <v>10</v>
      </c>
      <c r="AL325" s="22" t="s">
        <v>1130</v>
      </c>
      <c r="AM325" s="22">
        <v>0.11</v>
      </c>
      <c r="AN325" s="22" t="s">
        <v>1057</v>
      </c>
      <c r="AO325" s="22" t="s">
        <v>1057</v>
      </c>
      <c r="AP325" s="22" t="s">
        <v>963</v>
      </c>
      <c r="AQ325" s="22" t="str">
        <f t="shared" si="59"/>
        <v>Nanophytoplankton</v>
      </c>
      <c r="AR325" s="22">
        <v>1</v>
      </c>
      <c r="AS325" s="22">
        <v>1</v>
      </c>
      <c r="AT325" s="22">
        <v>0</v>
      </c>
      <c r="AU325" s="22">
        <v>1</v>
      </c>
      <c r="AV325" s="22">
        <v>0</v>
      </c>
      <c r="AW325" s="22">
        <v>0</v>
      </c>
      <c r="AX325" s="22">
        <v>1</v>
      </c>
      <c r="AY325" s="22">
        <v>0</v>
      </c>
    </row>
    <row r="326" spans="1:51">
      <c r="A326" s="21" t="s">
        <v>1131</v>
      </c>
      <c r="B326" s="22" t="s">
        <v>663</v>
      </c>
      <c r="C326" s="23" t="s">
        <v>822</v>
      </c>
      <c r="D326" s="23" t="s">
        <v>965</v>
      </c>
      <c r="E326" s="22" t="s">
        <v>991</v>
      </c>
      <c r="F326" s="23" t="s">
        <v>992</v>
      </c>
      <c r="G326" s="23" t="s">
        <v>1005</v>
      </c>
      <c r="H326" s="22" t="s">
        <v>1022</v>
      </c>
      <c r="I326" s="22" t="s">
        <v>1132</v>
      </c>
      <c r="J326" s="22" t="s">
        <v>1133</v>
      </c>
      <c r="N326" s="22" t="s">
        <v>1134</v>
      </c>
      <c r="O326" s="22" t="s">
        <v>962</v>
      </c>
      <c r="P326" s="21">
        <v>51319</v>
      </c>
      <c r="Q326" s="21">
        <v>17</v>
      </c>
      <c r="R326" s="21">
        <v>5.25</v>
      </c>
      <c r="S326" s="21">
        <v>5.25</v>
      </c>
      <c r="T326" s="22" t="s">
        <v>281</v>
      </c>
      <c r="U326" s="21">
        <v>0.8</v>
      </c>
      <c r="V326" s="21">
        <v>0.8</v>
      </c>
      <c r="W326" s="24">
        <f t="shared" si="55"/>
        <v>1094.8442496103412</v>
      </c>
      <c r="X326" s="24">
        <f t="shared" si="56"/>
        <v>196.17150000000001</v>
      </c>
      <c r="Y326" s="21">
        <v>1</v>
      </c>
      <c r="Z326" s="24">
        <f t="shared" si="57"/>
        <v>1094.8442496103412</v>
      </c>
      <c r="AA326" s="24">
        <f t="shared" si="58"/>
        <v>196.17150000000001</v>
      </c>
      <c r="AB326" s="21"/>
      <c r="AC326" s="21"/>
      <c r="AD326" s="21"/>
      <c r="AE326" s="21"/>
      <c r="AF326" s="21"/>
      <c r="AG326" s="21"/>
      <c r="AH326" s="24"/>
      <c r="AI326" s="24"/>
      <c r="AJ326" s="21">
        <v>196.17150000000001</v>
      </c>
      <c r="AK326" s="21">
        <v>17</v>
      </c>
      <c r="AL326" s="22" t="s">
        <v>161</v>
      </c>
      <c r="AM326" s="22">
        <v>0.11</v>
      </c>
      <c r="AN326" s="22" t="s">
        <v>1057</v>
      </c>
      <c r="AO326" s="22" t="s">
        <v>1057</v>
      </c>
      <c r="AP326" s="22" t="s">
        <v>963</v>
      </c>
      <c r="AQ326" s="22" t="str">
        <f t="shared" si="59"/>
        <v>Nanophytoplankton</v>
      </c>
      <c r="AR326" s="22">
        <v>1</v>
      </c>
      <c r="AS326" s="22">
        <v>1</v>
      </c>
      <c r="AT326" s="22">
        <v>0</v>
      </c>
      <c r="AU326" s="22">
        <v>1</v>
      </c>
      <c r="AV326" s="22">
        <v>0</v>
      </c>
      <c r="AW326" s="22">
        <v>0</v>
      </c>
      <c r="AX326" s="22">
        <v>1</v>
      </c>
      <c r="AY326" s="22">
        <v>0</v>
      </c>
    </row>
    <row r="327" spans="1:51">
      <c r="A327" s="21" t="s">
        <v>1135</v>
      </c>
      <c r="B327" s="22" t="s">
        <v>663</v>
      </c>
      <c r="C327" s="23" t="s">
        <v>822</v>
      </c>
      <c r="D327" s="23" t="s">
        <v>965</v>
      </c>
      <c r="E327" s="22" t="s">
        <v>991</v>
      </c>
      <c r="F327" s="23" t="s">
        <v>992</v>
      </c>
      <c r="G327" s="23" t="s">
        <v>1005</v>
      </c>
      <c r="H327" s="22" t="s">
        <v>1022</v>
      </c>
      <c r="I327" s="22" t="s">
        <v>1132</v>
      </c>
      <c r="J327" s="22" t="s">
        <v>980</v>
      </c>
      <c r="N327" s="22" t="s">
        <v>1136</v>
      </c>
      <c r="O327" s="22" t="s">
        <v>962</v>
      </c>
      <c r="P327" s="21">
        <v>51320</v>
      </c>
      <c r="Q327" s="21">
        <v>30</v>
      </c>
      <c r="R327" s="21">
        <v>6.5</v>
      </c>
      <c r="S327" s="21">
        <v>6.5</v>
      </c>
      <c r="T327" s="22" t="s">
        <v>281</v>
      </c>
      <c r="U327" s="21">
        <v>0.8</v>
      </c>
      <c r="V327" s="21">
        <v>0.8</v>
      </c>
      <c r="W327" s="24">
        <f t="shared" si="55"/>
        <v>2382.5955007960292</v>
      </c>
      <c r="X327" s="24">
        <f t="shared" si="56"/>
        <v>530.66</v>
      </c>
      <c r="Y327" s="21">
        <v>1</v>
      </c>
      <c r="Z327" s="24">
        <f t="shared" si="57"/>
        <v>2382.5955007960292</v>
      </c>
      <c r="AA327" s="24">
        <f t="shared" si="58"/>
        <v>530.66</v>
      </c>
      <c r="AB327" s="21"/>
      <c r="AC327" s="21"/>
      <c r="AD327" s="21"/>
      <c r="AE327" s="21"/>
      <c r="AF327" s="21" t="s">
        <v>247</v>
      </c>
      <c r="AG327" s="21"/>
      <c r="AH327" s="24"/>
      <c r="AI327" s="24"/>
      <c r="AJ327" s="21">
        <v>530.9</v>
      </c>
      <c r="AK327" s="21">
        <v>30</v>
      </c>
      <c r="AL327" s="22" t="s">
        <v>161</v>
      </c>
      <c r="AM327" s="22">
        <v>0.11</v>
      </c>
      <c r="AO327" s="22" t="s">
        <v>1057</v>
      </c>
      <c r="AP327" s="22" t="s">
        <v>963</v>
      </c>
      <c r="AQ327" s="22" t="str">
        <f t="shared" si="59"/>
        <v>Microphytoplankton</v>
      </c>
      <c r="AR327" s="22">
        <v>1</v>
      </c>
      <c r="AS327" s="22">
        <v>1</v>
      </c>
      <c r="AT327" s="22">
        <v>0</v>
      </c>
      <c r="AU327" s="22">
        <v>0</v>
      </c>
      <c r="AV327" s="22">
        <v>0</v>
      </c>
      <c r="AW327" s="22">
        <v>0</v>
      </c>
      <c r="AX327" s="22">
        <v>1</v>
      </c>
      <c r="AY327" s="22">
        <v>0</v>
      </c>
    </row>
    <row r="328" spans="1:51">
      <c r="A328" s="21" t="s">
        <v>1137</v>
      </c>
      <c r="B328" s="22" t="s">
        <v>663</v>
      </c>
      <c r="C328" s="23" t="s">
        <v>822</v>
      </c>
      <c r="D328" s="23" t="s">
        <v>965</v>
      </c>
      <c r="E328" s="22" t="s">
        <v>991</v>
      </c>
      <c r="F328" s="23" t="s">
        <v>992</v>
      </c>
      <c r="G328" s="23" t="s">
        <v>1005</v>
      </c>
      <c r="H328" s="22" t="s">
        <v>1022</v>
      </c>
      <c r="I328" s="22" t="s">
        <v>1132</v>
      </c>
      <c r="J328" s="22" t="s">
        <v>609</v>
      </c>
      <c r="N328" s="22" t="s">
        <v>1138</v>
      </c>
      <c r="O328" s="22" t="s">
        <v>962</v>
      </c>
      <c r="P328" s="21">
        <v>51310</v>
      </c>
      <c r="Q328" s="21">
        <v>25</v>
      </c>
      <c r="R328" s="21">
        <v>4.5</v>
      </c>
      <c r="S328" s="21">
        <v>4.5</v>
      </c>
      <c r="T328" s="22" t="s">
        <v>281</v>
      </c>
      <c r="U328" s="21">
        <v>0.5</v>
      </c>
      <c r="V328" s="21">
        <v>0.5</v>
      </c>
      <c r="W328" s="24">
        <f t="shared" si="55"/>
        <v>2201.3262603454045</v>
      </c>
      <c r="X328" s="24">
        <f t="shared" si="56"/>
        <v>132.46874999999997</v>
      </c>
      <c r="Y328" s="21">
        <v>1</v>
      </c>
      <c r="Z328" s="24">
        <f t="shared" si="57"/>
        <v>2201.3262603454045</v>
      </c>
      <c r="AA328" s="24">
        <f t="shared" si="58"/>
        <v>132.46874999999997</v>
      </c>
      <c r="AB328" s="21"/>
      <c r="AC328" s="21"/>
      <c r="AD328" s="21"/>
      <c r="AE328" s="21"/>
      <c r="AF328" s="21" t="s">
        <v>247</v>
      </c>
      <c r="AG328" s="21"/>
      <c r="AH328" s="24"/>
      <c r="AI328" s="24"/>
      <c r="AJ328" s="21">
        <v>132.5</v>
      </c>
      <c r="AK328" s="21">
        <v>25</v>
      </c>
      <c r="AL328" s="22" t="s">
        <v>161</v>
      </c>
      <c r="AM328" s="22">
        <v>0.11</v>
      </c>
      <c r="AO328" s="22" t="s">
        <v>1057</v>
      </c>
      <c r="AP328" s="22" t="s">
        <v>963</v>
      </c>
      <c r="AQ328" s="22" t="str">
        <f t="shared" si="59"/>
        <v>Microphytoplankton</v>
      </c>
      <c r="AR328" s="22">
        <v>1</v>
      </c>
      <c r="AS328" s="22">
        <v>1</v>
      </c>
      <c r="AT328" s="22">
        <v>0</v>
      </c>
      <c r="AU328" s="22">
        <v>0</v>
      </c>
      <c r="AV328" s="22">
        <v>0</v>
      </c>
      <c r="AW328" s="22">
        <v>0</v>
      </c>
      <c r="AX328" s="22">
        <v>1</v>
      </c>
      <c r="AY328" s="22">
        <v>0</v>
      </c>
    </row>
    <row r="329" spans="1:51">
      <c r="A329" s="21" t="s">
        <v>1139</v>
      </c>
      <c r="B329" s="22" t="s">
        <v>663</v>
      </c>
      <c r="C329" s="23" t="s">
        <v>822</v>
      </c>
      <c r="D329" s="23" t="s">
        <v>965</v>
      </c>
      <c r="E329" s="22" t="s">
        <v>991</v>
      </c>
      <c r="F329" s="23" t="s">
        <v>992</v>
      </c>
      <c r="G329" s="23" t="s">
        <v>1005</v>
      </c>
      <c r="H329" s="22" t="s">
        <v>1022</v>
      </c>
      <c r="I329" s="22" t="s">
        <v>1132</v>
      </c>
      <c r="J329" s="22" t="s">
        <v>209</v>
      </c>
      <c r="N329" s="22" t="s">
        <v>1140</v>
      </c>
      <c r="O329" s="22" t="s">
        <v>962</v>
      </c>
      <c r="P329" s="21">
        <v>51312</v>
      </c>
      <c r="Q329" s="21">
        <f>(25+64)/2</f>
        <v>44.5</v>
      </c>
      <c r="R329" s="21">
        <v>6</v>
      </c>
      <c r="S329" s="21">
        <v>6</v>
      </c>
      <c r="T329" s="21" t="s">
        <v>160</v>
      </c>
      <c r="U329" s="21">
        <v>0.8</v>
      </c>
      <c r="V329" s="21">
        <v>0.8</v>
      </c>
      <c r="W329" s="24">
        <f>3.14*R329*Q329+2*3.14*(S329/2)^2/V329</f>
        <v>909.03</v>
      </c>
      <c r="X329" s="25">
        <f>(3.14/4*R329^2*Q329)*U329</f>
        <v>1006.0560000000002</v>
      </c>
      <c r="Y329" s="21">
        <v>1</v>
      </c>
      <c r="Z329" s="24">
        <f t="shared" si="57"/>
        <v>909.03</v>
      </c>
      <c r="AA329" s="24">
        <f t="shared" si="58"/>
        <v>1006.0560000000002</v>
      </c>
      <c r="AB329" s="21"/>
      <c r="AC329" s="21"/>
      <c r="AD329" s="21"/>
      <c r="AE329" s="21"/>
      <c r="AF329" s="21" t="s">
        <v>247</v>
      </c>
      <c r="AG329" s="21"/>
      <c r="AH329" s="24"/>
      <c r="AI329" s="24"/>
      <c r="AJ329" s="21">
        <v>1006.056</v>
      </c>
      <c r="AK329" s="21">
        <v>44.5</v>
      </c>
      <c r="AL329" s="22" t="s">
        <v>161</v>
      </c>
      <c r="AM329" s="22">
        <v>0.11</v>
      </c>
      <c r="AO329" s="22" t="s">
        <v>1057</v>
      </c>
      <c r="AP329" s="22" t="s">
        <v>963</v>
      </c>
      <c r="AQ329" s="22" t="str">
        <f t="shared" si="59"/>
        <v>Microphytoplankton</v>
      </c>
      <c r="AR329" s="22">
        <v>1</v>
      </c>
      <c r="AS329" s="22">
        <v>1</v>
      </c>
      <c r="AT329" s="22">
        <v>0</v>
      </c>
      <c r="AU329" s="22">
        <v>0</v>
      </c>
      <c r="AV329" s="22">
        <v>0</v>
      </c>
      <c r="AW329" s="22">
        <v>0</v>
      </c>
      <c r="AX329" s="22">
        <v>1</v>
      </c>
      <c r="AY329" s="22">
        <v>0</v>
      </c>
    </row>
    <row r="330" spans="1:51">
      <c r="A330" s="28" t="s">
        <v>1141</v>
      </c>
      <c r="B330" s="22" t="s">
        <v>663</v>
      </c>
      <c r="C330" s="23" t="s">
        <v>822</v>
      </c>
      <c r="D330" s="23" t="s">
        <v>965</v>
      </c>
      <c r="E330" s="22" t="s">
        <v>991</v>
      </c>
      <c r="F330" s="23" t="s">
        <v>992</v>
      </c>
      <c r="G330" s="23" t="s">
        <v>1005</v>
      </c>
      <c r="H330" s="22" t="s">
        <v>1022</v>
      </c>
      <c r="I330" s="22" t="s">
        <v>1132</v>
      </c>
      <c r="J330" s="22" t="s">
        <v>1142</v>
      </c>
      <c r="N330" s="22" t="s">
        <v>1143</v>
      </c>
      <c r="O330" s="22" t="s">
        <v>962</v>
      </c>
      <c r="P330" s="21">
        <v>51311</v>
      </c>
      <c r="Q330" s="21">
        <f>(19+38)/2</f>
        <v>28.5</v>
      </c>
      <c r="R330" s="21">
        <f>(3.5+8.5)/2</f>
        <v>6</v>
      </c>
      <c r="S330" s="21">
        <f>(3.5+8.5)/2</f>
        <v>6</v>
      </c>
      <c r="T330" s="21" t="s">
        <v>160</v>
      </c>
      <c r="U330" s="21">
        <v>0.7</v>
      </c>
      <c r="V330" s="21">
        <v>0.7</v>
      </c>
      <c r="W330" s="24">
        <f>3.14*R330*Q330+2*3.14*(S330/2)^2/V330</f>
        <v>617.68285714285707</v>
      </c>
      <c r="X330" s="25">
        <f>(3.14/4*R330^2*Q330)*U330</f>
        <v>563.78700000000003</v>
      </c>
      <c r="Y330" s="21">
        <v>1</v>
      </c>
      <c r="Z330" s="24">
        <f t="shared" si="57"/>
        <v>617.68285714285707</v>
      </c>
      <c r="AA330" s="24">
        <f t="shared" si="58"/>
        <v>563.78700000000003</v>
      </c>
      <c r="AB330" s="21"/>
      <c r="AC330" s="21"/>
      <c r="AD330" s="21"/>
      <c r="AE330" s="21"/>
      <c r="AF330" s="21" t="s">
        <v>247</v>
      </c>
      <c r="AG330" s="21"/>
      <c r="AH330" s="24"/>
      <c r="AI330" s="24"/>
      <c r="AJ330" s="21">
        <v>805.41</v>
      </c>
      <c r="AK330" s="21">
        <v>28.5</v>
      </c>
      <c r="AL330" s="22" t="s">
        <v>161</v>
      </c>
      <c r="AM330" s="22">
        <v>0.11</v>
      </c>
      <c r="AO330" s="22" t="s">
        <v>1057</v>
      </c>
      <c r="AP330" s="22" t="s">
        <v>963</v>
      </c>
      <c r="AQ330" s="22" t="str">
        <f t="shared" si="59"/>
        <v>Microphytoplankton</v>
      </c>
      <c r="AR330" s="22">
        <v>1</v>
      </c>
      <c r="AS330" s="22">
        <v>1</v>
      </c>
      <c r="AT330" s="22">
        <v>0</v>
      </c>
      <c r="AU330" s="22">
        <v>0</v>
      </c>
      <c r="AV330" s="22">
        <v>0</v>
      </c>
      <c r="AW330" s="22">
        <v>0</v>
      </c>
      <c r="AX330" s="22">
        <v>1</v>
      </c>
      <c r="AY330" s="22">
        <v>0</v>
      </c>
    </row>
    <row r="331" spans="1:51">
      <c r="A331" s="21" t="s">
        <v>1144</v>
      </c>
      <c r="B331" s="22" t="s">
        <v>663</v>
      </c>
      <c r="C331" s="23" t="s">
        <v>822</v>
      </c>
      <c r="D331" s="23" t="s">
        <v>965</v>
      </c>
      <c r="E331" s="22" t="s">
        <v>991</v>
      </c>
      <c r="F331" s="23" t="s">
        <v>992</v>
      </c>
      <c r="G331" s="23" t="s">
        <v>1005</v>
      </c>
      <c r="H331" s="22" t="s">
        <v>1022</v>
      </c>
      <c r="I331" s="22" t="s">
        <v>1132</v>
      </c>
      <c r="J331" s="22" t="s">
        <v>1145</v>
      </c>
      <c r="N331" s="22" t="s">
        <v>1146</v>
      </c>
      <c r="O331" s="22" t="s">
        <v>962</v>
      </c>
      <c r="P331" s="21">
        <v>51315</v>
      </c>
      <c r="Q331" s="21">
        <v>22.6</v>
      </c>
      <c r="R331" s="21">
        <v>7.1</v>
      </c>
      <c r="S331" s="21">
        <v>7.1</v>
      </c>
      <c r="T331" s="22" t="s">
        <v>281</v>
      </c>
      <c r="U331" s="21">
        <v>0.6</v>
      </c>
      <c r="V331" s="21">
        <v>0.6</v>
      </c>
      <c r="W331" s="24">
        <f>(4*3.14*(((Q331^1.6*R331^1.6+Q331^1.6*S331^1.6+R331^1.6+S331^1.6)/3)^(1/1.6)))*(1/V331)</f>
        <v>2618.1318967395187</v>
      </c>
      <c r="X331" s="24">
        <f>3.14/6*Q331*R331*S331*U331</f>
        <v>357.72952399999991</v>
      </c>
      <c r="Y331" s="21">
        <v>1</v>
      </c>
      <c r="Z331" s="24">
        <f t="shared" si="57"/>
        <v>2618.1318967395187</v>
      </c>
      <c r="AA331" s="24">
        <f t="shared" si="58"/>
        <v>357.72952399999991</v>
      </c>
      <c r="AB331" s="21"/>
      <c r="AC331" s="21"/>
      <c r="AD331" s="21"/>
      <c r="AE331" s="21"/>
      <c r="AF331" s="21" t="s">
        <v>247</v>
      </c>
      <c r="AG331" s="21"/>
      <c r="AH331" s="24"/>
      <c r="AI331" s="24"/>
      <c r="AJ331" s="21">
        <v>600</v>
      </c>
      <c r="AK331" s="21">
        <v>22.6</v>
      </c>
      <c r="AL331" s="22" t="s">
        <v>161</v>
      </c>
      <c r="AM331" s="22">
        <v>0.11</v>
      </c>
      <c r="AO331" s="22" t="s">
        <v>1057</v>
      </c>
      <c r="AP331" s="22" t="s">
        <v>963</v>
      </c>
      <c r="AQ331" s="22" t="str">
        <f t="shared" si="59"/>
        <v>Microphytoplankton</v>
      </c>
      <c r="AR331" s="22">
        <v>1</v>
      </c>
      <c r="AS331" s="22">
        <v>1</v>
      </c>
      <c r="AT331" s="22">
        <v>0</v>
      </c>
      <c r="AU331" s="22">
        <v>0</v>
      </c>
      <c r="AV331" s="22">
        <v>0</v>
      </c>
      <c r="AW331" s="22">
        <v>0</v>
      </c>
      <c r="AX331" s="22">
        <v>1</v>
      </c>
      <c r="AY331" s="22">
        <v>0</v>
      </c>
    </row>
    <row r="332" spans="1:51">
      <c r="A332" s="21" t="s">
        <v>1147</v>
      </c>
      <c r="B332" s="22" t="s">
        <v>663</v>
      </c>
      <c r="C332" s="23" t="s">
        <v>822</v>
      </c>
      <c r="D332" s="23" t="s">
        <v>965</v>
      </c>
      <c r="E332" s="22" t="s">
        <v>991</v>
      </c>
      <c r="F332" s="23" t="s">
        <v>992</v>
      </c>
      <c r="G332" s="23" t="s">
        <v>1005</v>
      </c>
      <c r="H332" s="22" t="s">
        <v>1022</v>
      </c>
      <c r="I332" s="22" t="s">
        <v>1132</v>
      </c>
      <c r="J332" s="22" t="s">
        <v>211</v>
      </c>
      <c r="M332" s="22" t="s">
        <v>1</v>
      </c>
      <c r="N332" s="22" t="s">
        <v>1148</v>
      </c>
      <c r="O332" s="22" t="s">
        <v>962</v>
      </c>
      <c r="P332" s="21">
        <v>51316</v>
      </c>
      <c r="Q332" s="21">
        <v>18</v>
      </c>
      <c r="R332" s="21">
        <v>6</v>
      </c>
      <c r="S332" s="21">
        <v>6</v>
      </c>
      <c r="T332" s="21" t="s">
        <v>160</v>
      </c>
      <c r="U332" s="21">
        <v>0.6</v>
      </c>
      <c r="V332" s="21">
        <v>0.6</v>
      </c>
      <c r="W332" s="24">
        <f>3.14*R332*Q332+2*3.14*(S332/2)^2/V332</f>
        <v>433.32</v>
      </c>
      <c r="X332" s="25">
        <f>(3.14/4*R332^2*Q332)*U332</f>
        <v>305.20799999999997</v>
      </c>
      <c r="Y332" s="21">
        <v>1</v>
      </c>
      <c r="Z332" s="24">
        <f t="shared" si="57"/>
        <v>433.32</v>
      </c>
      <c r="AA332" s="24">
        <f t="shared" si="58"/>
        <v>305.20799999999997</v>
      </c>
      <c r="AB332" s="21"/>
      <c r="AC332" s="21"/>
      <c r="AD332" s="21"/>
      <c r="AE332" s="21"/>
      <c r="AF332" s="21" t="s">
        <v>247</v>
      </c>
      <c r="AG332" s="21"/>
      <c r="AH332" s="24"/>
      <c r="AI332" s="24"/>
      <c r="AJ332" s="21">
        <v>28.3</v>
      </c>
      <c r="AK332" s="21">
        <v>18</v>
      </c>
      <c r="AL332" s="22" t="s">
        <v>1149</v>
      </c>
      <c r="AM332" s="22">
        <v>0.11</v>
      </c>
      <c r="AO332" s="22" t="s">
        <v>1057</v>
      </c>
      <c r="AP332" s="22" t="s">
        <v>963</v>
      </c>
      <c r="AQ332" s="22" t="str">
        <f t="shared" si="59"/>
        <v>Nanophytoplankton</v>
      </c>
      <c r="AR332" s="22">
        <v>1</v>
      </c>
      <c r="AS332" s="22">
        <v>1</v>
      </c>
      <c r="AT332" s="22">
        <v>0</v>
      </c>
      <c r="AU332" s="22">
        <v>0</v>
      </c>
      <c r="AV332" s="22">
        <v>0</v>
      </c>
      <c r="AW332" s="22">
        <v>0</v>
      </c>
      <c r="AX332" s="22">
        <v>1</v>
      </c>
      <c r="AY332" s="22">
        <v>0</v>
      </c>
    </row>
    <row r="333" spans="1:51">
      <c r="A333" s="21" t="s">
        <v>1150</v>
      </c>
      <c r="B333" s="22" t="s">
        <v>663</v>
      </c>
      <c r="C333" s="23" t="s">
        <v>822</v>
      </c>
      <c r="D333" s="23" t="s">
        <v>965</v>
      </c>
      <c r="E333" s="22" t="s">
        <v>991</v>
      </c>
      <c r="F333" s="23" t="s">
        <v>992</v>
      </c>
      <c r="G333" s="23" t="s">
        <v>1005</v>
      </c>
      <c r="H333" s="22" t="s">
        <v>1022</v>
      </c>
      <c r="I333" s="22" t="s">
        <v>1023</v>
      </c>
      <c r="J333" s="22" t="s">
        <v>340</v>
      </c>
      <c r="N333" s="22" t="s">
        <v>1151</v>
      </c>
      <c r="O333" s="22" t="s">
        <v>962</v>
      </c>
      <c r="P333" s="21">
        <v>51400</v>
      </c>
      <c r="Q333" s="21">
        <v>8</v>
      </c>
      <c r="R333" s="21">
        <v>8</v>
      </c>
      <c r="S333" s="21">
        <v>8</v>
      </c>
      <c r="T333" s="22" t="s">
        <v>281</v>
      </c>
      <c r="U333" s="21">
        <v>0.9</v>
      </c>
      <c r="V333" s="21">
        <v>0.9</v>
      </c>
      <c r="W333" s="24">
        <f t="shared" ref="W333:W362" si="60">(4*3.14*(((Q333^1.6*R333^1.6+Q333^1.6*S333^1.6+R333^1.6+S333^1.6)/3)^(1/1.6)))*(1/V333)</f>
        <v>708.66809434877553</v>
      </c>
      <c r="X333" s="24">
        <f t="shared" ref="X333:X353" si="61">3.14/6*Q333*R333*S333*U333</f>
        <v>241.15199999999999</v>
      </c>
      <c r="Y333" s="21">
        <v>1</v>
      </c>
      <c r="Z333" s="24">
        <f t="shared" si="57"/>
        <v>708.66809434877553</v>
      </c>
      <c r="AA333" s="24">
        <f t="shared" si="58"/>
        <v>241.15199999999999</v>
      </c>
      <c r="AB333" s="21"/>
      <c r="AC333" s="21"/>
      <c r="AD333" s="21"/>
      <c r="AE333" s="21"/>
      <c r="AF333" s="21"/>
      <c r="AG333" s="21"/>
      <c r="AH333" s="24"/>
      <c r="AI333" s="24"/>
      <c r="AJ333" s="21">
        <v>241.15</v>
      </c>
      <c r="AK333" s="21">
        <v>8</v>
      </c>
      <c r="AL333" s="22" t="s">
        <v>161</v>
      </c>
      <c r="AM333" s="22">
        <v>0.11</v>
      </c>
      <c r="AQ333" s="22" t="str">
        <f t="shared" si="59"/>
        <v>Nanophytoplankton</v>
      </c>
      <c r="AR333" s="22">
        <v>1</v>
      </c>
      <c r="AS333" s="22">
        <v>1</v>
      </c>
      <c r="AT333" s="22">
        <v>0</v>
      </c>
      <c r="AU333" s="22">
        <v>0</v>
      </c>
      <c r="AV333" s="22">
        <v>0</v>
      </c>
      <c r="AW333" s="22">
        <v>0</v>
      </c>
      <c r="AX333" s="22">
        <v>1</v>
      </c>
      <c r="AY333" s="22">
        <v>0</v>
      </c>
    </row>
    <row r="334" spans="1:51">
      <c r="A334" s="21" t="s">
        <v>1152</v>
      </c>
      <c r="B334" s="22" t="s">
        <v>663</v>
      </c>
      <c r="C334" s="23" t="s">
        <v>822</v>
      </c>
      <c r="D334" s="23" t="s">
        <v>965</v>
      </c>
      <c r="E334" s="22" t="s">
        <v>1153</v>
      </c>
      <c r="F334" s="23" t="s">
        <v>1154</v>
      </c>
      <c r="G334" s="22" t="s">
        <v>1155</v>
      </c>
      <c r="H334" s="22" t="s">
        <v>1156</v>
      </c>
      <c r="I334" s="22" t="s">
        <v>1157</v>
      </c>
      <c r="J334" s="22" t="s">
        <v>1158</v>
      </c>
      <c r="N334" s="22" t="s">
        <v>850</v>
      </c>
      <c r="O334" s="22" t="s">
        <v>962</v>
      </c>
      <c r="P334" s="21">
        <v>51200</v>
      </c>
      <c r="Q334" s="21">
        <v>4.5</v>
      </c>
      <c r="R334" s="21">
        <v>4.5</v>
      </c>
      <c r="S334" s="21">
        <v>3</v>
      </c>
      <c r="T334" s="22" t="s">
        <v>281</v>
      </c>
      <c r="U334" s="21">
        <v>1.1000000000000001</v>
      </c>
      <c r="V334" s="21">
        <v>1.1000000000000001</v>
      </c>
      <c r="W334" s="24">
        <f t="shared" si="60"/>
        <v>159.72721905179992</v>
      </c>
      <c r="X334" s="24">
        <f t="shared" si="61"/>
        <v>34.97175</v>
      </c>
      <c r="Y334" s="21">
        <v>1</v>
      </c>
      <c r="Z334" s="24">
        <f t="shared" si="57"/>
        <v>159.72721905179992</v>
      </c>
      <c r="AA334" s="24">
        <f t="shared" si="58"/>
        <v>34.97175</v>
      </c>
      <c r="AB334" s="21"/>
      <c r="AC334" s="21"/>
      <c r="AD334" s="21"/>
      <c r="AE334" s="21"/>
      <c r="AF334" s="21" t="s">
        <v>247</v>
      </c>
      <c r="AG334" s="21"/>
      <c r="AH334" s="24"/>
      <c r="AI334" s="24"/>
      <c r="AJ334" s="21">
        <v>35</v>
      </c>
      <c r="AK334" s="21">
        <v>4.5</v>
      </c>
      <c r="AL334" s="22" t="s">
        <v>161</v>
      </c>
      <c r="AM334" s="22">
        <v>0.11</v>
      </c>
      <c r="AO334" s="22" t="s">
        <v>1057</v>
      </c>
      <c r="AP334" s="22" t="s">
        <v>963</v>
      </c>
      <c r="AQ334" s="22" t="str">
        <f t="shared" si="59"/>
        <v>Nanophytoplankton</v>
      </c>
      <c r="AR334" s="22">
        <v>1</v>
      </c>
      <c r="AS334" s="22">
        <v>1</v>
      </c>
      <c r="AT334" s="22">
        <v>0</v>
      </c>
      <c r="AU334" s="22">
        <v>0</v>
      </c>
      <c r="AV334" s="22">
        <v>0</v>
      </c>
      <c r="AW334" s="22">
        <v>0</v>
      </c>
      <c r="AX334" s="22">
        <v>1</v>
      </c>
      <c r="AY334" s="22">
        <v>0</v>
      </c>
    </row>
    <row r="335" spans="1:51">
      <c r="A335" s="22" t="s">
        <v>1159</v>
      </c>
      <c r="B335" s="22" t="s">
        <v>663</v>
      </c>
      <c r="C335" s="23" t="s">
        <v>822</v>
      </c>
      <c r="D335" s="23" t="s">
        <v>965</v>
      </c>
      <c r="E335" s="22" t="s">
        <v>991</v>
      </c>
      <c r="F335" s="23" t="s">
        <v>992</v>
      </c>
      <c r="G335" s="23" t="s">
        <v>1005</v>
      </c>
      <c r="H335" s="22" t="s">
        <v>1022</v>
      </c>
      <c r="I335" s="22" t="s">
        <v>1160</v>
      </c>
      <c r="J335" s="22" t="s">
        <v>1161</v>
      </c>
      <c r="N335" s="22" t="s">
        <v>1162</v>
      </c>
      <c r="O335" s="22" t="s">
        <v>962</v>
      </c>
      <c r="P335" s="21">
        <v>54103</v>
      </c>
      <c r="Q335" s="22">
        <v>6</v>
      </c>
      <c r="R335" s="22">
        <v>6.7</v>
      </c>
      <c r="S335" s="22">
        <v>6.7</v>
      </c>
      <c r="T335" s="22" t="s">
        <v>281</v>
      </c>
      <c r="U335" s="21">
        <v>1</v>
      </c>
      <c r="V335" s="22">
        <v>1</v>
      </c>
      <c r="W335" s="24">
        <f t="shared" si="60"/>
        <v>405.67164382225809</v>
      </c>
      <c r="X335" s="24">
        <f t="shared" si="61"/>
        <v>140.95459999999997</v>
      </c>
      <c r="Y335" s="21">
        <v>1</v>
      </c>
      <c r="Z335" s="24">
        <f t="shared" si="57"/>
        <v>405.67164382225809</v>
      </c>
      <c r="AA335" s="24">
        <f t="shared" si="58"/>
        <v>140.95459999999997</v>
      </c>
      <c r="AE335" s="21"/>
      <c r="AF335" s="21"/>
      <c r="AG335" s="21"/>
      <c r="AH335" s="24"/>
      <c r="AI335" s="24"/>
      <c r="AJ335" s="21">
        <v>140.9546</v>
      </c>
      <c r="AK335" s="21">
        <v>6.7</v>
      </c>
      <c r="AL335" s="22" t="s">
        <v>161</v>
      </c>
      <c r="AM335" s="22">
        <v>0.11</v>
      </c>
      <c r="AO335" s="22" t="s">
        <v>830</v>
      </c>
      <c r="AP335" s="22" t="s">
        <v>963</v>
      </c>
      <c r="AQ335" s="22" t="str">
        <f t="shared" si="59"/>
        <v>Nanophytoplankton</v>
      </c>
      <c r="AR335" s="22">
        <v>1</v>
      </c>
      <c r="AS335" s="22">
        <v>1</v>
      </c>
      <c r="AT335" s="22">
        <v>0</v>
      </c>
      <c r="AU335" s="22">
        <v>0</v>
      </c>
      <c r="AV335" s="22">
        <v>0</v>
      </c>
      <c r="AW335" s="22">
        <v>0</v>
      </c>
      <c r="AX335" s="22">
        <v>1</v>
      </c>
      <c r="AY335" s="22">
        <v>0</v>
      </c>
    </row>
    <row r="336" spans="1:51">
      <c r="A336" s="22" t="s">
        <v>1163</v>
      </c>
      <c r="B336" s="22" t="s">
        <v>663</v>
      </c>
      <c r="C336" s="23" t="s">
        <v>822</v>
      </c>
      <c r="D336" s="23" t="s">
        <v>965</v>
      </c>
      <c r="E336" s="22" t="s">
        <v>991</v>
      </c>
      <c r="F336" s="23" t="s">
        <v>992</v>
      </c>
      <c r="G336" s="23" t="s">
        <v>1005</v>
      </c>
      <c r="H336" s="22" t="s">
        <v>1022</v>
      </c>
      <c r="I336" s="22" t="s">
        <v>1160</v>
      </c>
      <c r="J336" s="22" t="s">
        <v>1164</v>
      </c>
      <c r="N336" s="22" t="s">
        <v>1165</v>
      </c>
      <c r="O336" s="22" t="s">
        <v>962</v>
      </c>
      <c r="P336" s="21">
        <v>54104</v>
      </c>
      <c r="Q336" s="22">
        <v>9</v>
      </c>
      <c r="R336" s="22">
        <v>6.5</v>
      </c>
      <c r="S336" s="22">
        <v>6.5</v>
      </c>
      <c r="T336" s="22" t="s">
        <v>281</v>
      </c>
      <c r="U336" s="21">
        <v>1</v>
      </c>
      <c r="V336" s="22">
        <v>1</v>
      </c>
      <c r="W336" s="24">
        <f t="shared" si="60"/>
        <v>580.81908753567404</v>
      </c>
      <c r="X336" s="24">
        <f t="shared" si="61"/>
        <v>198.9975</v>
      </c>
      <c r="Y336" s="21">
        <v>1</v>
      </c>
      <c r="Z336" s="24">
        <f t="shared" si="57"/>
        <v>580.81908753567404</v>
      </c>
      <c r="AA336" s="24">
        <f t="shared" si="58"/>
        <v>198.9975</v>
      </c>
      <c r="AE336" s="21"/>
      <c r="AF336" s="21"/>
      <c r="AG336" s="21"/>
      <c r="AH336" s="24"/>
      <c r="AI336" s="24"/>
      <c r="AJ336" s="21">
        <v>198.9975</v>
      </c>
      <c r="AK336" s="21">
        <v>9</v>
      </c>
      <c r="AL336" s="22" t="s">
        <v>161</v>
      </c>
      <c r="AM336" s="22">
        <v>0.11</v>
      </c>
      <c r="AO336" s="22" t="s">
        <v>830</v>
      </c>
      <c r="AP336" s="22" t="s">
        <v>963</v>
      </c>
      <c r="AQ336" s="22" t="str">
        <f t="shared" si="59"/>
        <v>Nanophytoplankton</v>
      </c>
      <c r="AR336" s="22">
        <v>1</v>
      </c>
      <c r="AS336" s="22">
        <v>1</v>
      </c>
      <c r="AT336" s="22">
        <v>0</v>
      </c>
      <c r="AU336" s="22">
        <v>0</v>
      </c>
      <c r="AV336" s="22">
        <v>0</v>
      </c>
      <c r="AW336" s="22">
        <v>0</v>
      </c>
      <c r="AX336" s="22">
        <v>1</v>
      </c>
      <c r="AY336" s="22">
        <v>0</v>
      </c>
    </row>
    <row r="337" spans="1:57">
      <c r="A337" s="21" t="s">
        <v>1166</v>
      </c>
      <c r="B337" s="22" t="s">
        <v>663</v>
      </c>
      <c r="C337" s="23" t="s">
        <v>822</v>
      </c>
      <c r="D337" s="23" t="s">
        <v>965</v>
      </c>
      <c r="E337" s="22" t="s">
        <v>991</v>
      </c>
      <c r="F337" s="23" t="s">
        <v>992</v>
      </c>
      <c r="G337" s="23" t="s">
        <v>1005</v>
      </c>
      <c r="H337" s="22" t="s">
        <v>1022</v>
      </c>
      <c r="I337" s="22" t="s">
        <v>1160</v>
      </c>
      <c r="J337" s="22" t="s">
        <v>1167</v>
      </c>
      <c r="N337" s="22" t="s">
        <v>940</v>
      </c>
      <c r="O337" s="22" t="s">
        <v>962</v>
      </c>
      <c r="P337" s="21">
        <v>54100</v>
      </c>
      <c r="Q337" s="21">
        <v>8</v>
      </c>
      <c r="R337" s="21">
        <v>8</v>
      </c>
      <c r="S337" s="21">
        <v>8</v>
      </c>
      <c r="T337" s="22" t="s">
        <v>281</v>
      </c>
      <c r="U337" s="21">
        <v>1</v>
      </c>
      <c r="V337" s="22">
        <v>1</v>
      </c>
      <c r="W337" s="24">
        <f t="shared" si="60"/>
        <v>637.80128491389792</v>
      </c>
      <c r="X337" s="24">
        <f t="shared" si="61"/>
        <v>267.94666666666666</v>
      </c>
      <c r="Y337" s="21">
        <v>1</v>
      </c>
      <c r="Z337" s="24">
        <f t="shared" si="57"/>
        <v>637.80128491389792</v>
      </c>
      <c r="AA337" s="24">
        <f t="shared" si="58"/>
        <v>267.94666666666666</v>
      </c>
      <c r="AB337" s="21"/>
      <c r="AC337" s="21"/>
      <c r="AD337" s="21"/>
      <c r="AE337" s="21"/>
      <c r="AF337" s="21" t="s">
        <v>247</v>
      </c>
      <c r="AG337" s="21"/>
      <c r="AH337" s="24"/>
      <c r="AI337" s="24"/>
      <c r="AJ337" s="21">
        <v>268.10000000000002</v>
      </c>
      <c r="AK337" s="21">
        <v>8</v>
      </c>
      <c r="AL337" s="22" t="s">
        <v>161</v>
      </c>
      <c r="AM337" s="22">
        <v>0.11</v>
      </c>
      <c r="AO337" s="22" t="s">
        <v>830</v>
      </c>
      <c r="AP337" s="22" t="s">
        <v>963</v>
      </c>
      <c r="AQ337" s="22" t="str">
        <f t="shared" si="59"/>
        <v>Nanophytoplankton</v>
      </c>
      <c r="AR337" s="22">
        <v>1</v>
      </c>
      <c r="AS337" s="22">
        <v>1</v>
      </c>
      <c r="AT337" s="22">
        <v>0</v>
      </c>
      <c r="AU337" s="22">
        <v>0</v>
      </c>
      <c r="AV337" s="22">
        <v>0</v>
      </c>
      <c r="AW337" s="22">
        <v>0</v>
      </c>
      <c r="AX337" s="22">
        <v>1</v>
      </c>
      <c r="AY337" s="22">
        <v>0</v>
      </c>
    </row>
    <row r="338" spans="1:57">
      <c r="A338" s="21" t="s">
        <v>1168</v>
      </c>
      <c r="B338" s="22" t="s">
        <v>663</v>
      </c>
      <c r="C338" s="23" t="s">
        <v>822</v>
      </c>
      <c r="D338" s="23" t="s">
        <v>965</v>
      </c>
      <c r="E338" s="22" t="s">
        <v>991</v>
      </c>
      <c r="F338" s="23" t="s">
        <v>992</v>
      </c>
      <c r="G338" s="23" t="s">
        <v>1005</v>
      </c>
      <c r="H338" s="22" t="s">
        <v>1022</v>
      </c>
      <c r="I338" s="22" t="s">
        <v>1160</v>
      </c>
      <c r="J338" s="22" t="s">
        <v>1169</v>
      </c>
      <c r="N338" s="22" t="s">
        <v>940</v>
      </c>
      <c r="O338" s="22" t="s">
        <v>962</v>
      </c>
      <c r="P338" s="21">
        <v>54004</v>
      </c>
      <c r="Q338" s="21">
        <v>6</v>
      </c>
      <c r="R338" s="21">
        <v>5</v>
      </c>
      <c r="S338" s="21">
        <v>5</v>
      </c>
      <c r="T338" s="22" t="s">
        <v>281</v>
      </c>
      <c r="U338" s="21">
        <v>1</v>
      </c>
      <c r="V338" s="22">
        <v>1</v>
      </c>
      <c r="W338" s="24">
        <f t="shared" si="60"/>
        <v>302.74003270317746</v>
      </c>
      <c r="X338" s="24">
        <f t="shared" si="61"/>
        <v>78.5</v>
      </c>
      <c r="Y338" s="21">
        <v>1</v>
      </c>
      <c r="Z338" s="24">
        <f t="shared" si="57"/>
        <v>302.74003270317746</v>
      </c>
      <c r="AA338" s="24">
        <f t="shared" si="58"/>
        <v>78.5</v>
      </c>
      <c r="AB338" s="21"/>
      <c r="AC338" s="21"/>
      <c r="AD338" s="21"/>
      <c r="AE338" s="21"/>
      <c r="AF338" s="21" t="s">
        <v>247</v>
      </c>
      <c r="AG338" s="21"/>
      <c r="AH338" s="24"/>
      <c r="AI338" s="24"/>
      <c r="AJ338" s="21">
        <v>78.5</v>
      </c>
      <c r="AK338" s="21">
        <v>6</v>
      </c>
      <c r="AL338" s="22" t="s">
        <v>161</v>
      </c>
      <c r="AM338" s="22">
        <v>0.11</v>
      </c>
      <c r="AO338" s="22" t="s">
        <v>830</v>
      </c>
      <c r="AP338" s="22" t="s">
        <v>963</v>
      </c>
      <c r="AQ338" s="22" t="str">
        <f t="shared" si="59"/>
        <v>Nanophytoplankton</v>
      </c>
      <c r="AR338" s="22">
        <v>1</v>
      </c>
      <c r="AS338" s="22">
        <v>1</v>
      </c>
      <c r="AT338" s="22">
        <v>0</v>
      </c>
      <c r="AU338" s="22">
        <v>0</v>
      </c>
      <c r="AV338" s="22">
        <v>0</v>
      </c>
      <c r="AW338" s="22">
        <v>0</v>
      </c>
      <c r="AX338" s="22">
        <v>1</v>
      </c>
      <c r="AY338" s="22">
        <v>0</v>
      </c>
    </row>
    <row r="339" spans="1:57">
      <c r="A339" s="21" t="s">
        <v>1170</v>
      </c>
      <c r="B339" s="22" t="s">
        <v>663</v>
      </c>
      <c r="C339" s="23" t="s">
        <v>822</v>
      </c>
      <c r="D339" s="23" t="s">
        <v>965</v>
      </c>
      <c r="E339" s="22" t="s">
        <v>991</v>
      </c>
      <c r="F339" s="23" t="s">
        <v>992</v>
      </c>
      <c r="G339" s="23" t="s">
        <v>1005</v>
      </c>
      <c r="H339" s="22" t="s">
        <v>1022</v>
      </c>
      <c r="I339" s="22" t="s">
        <v>1160</v>
      </c>
      <c r="J339" s="22" t="s">
        <v>422</v>
      </c>
      <c r="N339" s="22" t="s">
        <v>1171</v>
      </c>
      <c r="O339" s="22" t="s">
        <v>962</v>
      </c>
      <c r="P339" s="21">
        <v>54005</v>
      </c>
      <c r="Q339" s="21">
        <v>8</v>
      </c>
      <c r="R339" s="21">
        <v>5</v>
      </c>
      <c r="S339" s="21">
        <v>5</v>
      </c>
      <c r="T339" s="22" t="s">
        <v>281</v>
      </c>
      <c r="U339" s="21">
        <v>1</v>
      </c>
      <c r="V339" s="22">
        <v>1</v>
      </c>
      <c r="W339" s="24">
        <f t="shared" si="60"/>
        <v>398.62580307118628</v>
      </c>
      <c r="X339" s="24">
        <f t="shared" si="61"/>
        <v>104.66666666666667</v>
      </c>
      <c r="Y339" s="21">
        <v>1</v>
      </c>
      <c r="Z339" s="24">
        <f t="shared" si="57"/>
        <v>398.62580307118628</v>
      </c>
      <c r="AA339" s="24">
        <f t="shared" si="58"/>
        <v>104.66666666666667</v>
      </c>
      <c r="AB339" s="21"/>
      <c r="AC339" s="21"/>
      <c r="AD339" s="21"/>
      <c r="AE339" s="21"/>
      <c r="AF339" s="21"/>
      <c r="AG339" s="21"/>
      <c r="AH339" s="24"/>
      <c r="AI339" s="24"/>
      <c r="AJ339" s="21">
        <v>104.7</v>
      </c>
      <c r="AK339" s="21">
        <v>8</v>
      </c>
      <c r="AL339" s="22" t="s">
        <v>161</v>
      </c>
      <c r="AM339" s="22">
        <v>0.11</v>
      </c>
      <c r="AQ339" s="22" t="str">
        <f t="shared" si="59"/>
        <v>Nanophytoplankton</v>
      </c>
      <c r="AR339" s="22">
        <v>1</v>
      </c>
      <c r="AS339" s="22">
        <v>1</v>
      </c>
      <c r="AT339" s="22">
        <v>0</v>
      </c>
      <c r="AU339" s="22">
        <v>0</v>
      </c>
      <c r="AV339" s="22">
        <v>0</v>
      </c>
      <c r="AW339" s="22">
        <v>0</v>
      </c>
      <c r="AX339" s="22">
        <v>1</v>
      </c>
      <c r="AY339" s="22">
        <v>0</v>
      </c>
    </row>
    <row r="340" spans="1:57">
      <c r="A340" s="21" t="s">
        <v>1172</v>
      </c>
      <c r="B340" s="22" t="s">
        <v>663</v>
      </c>
      <c r="C340" s="23" t="s">
        <v>822</v>
      </c>
      <c r="D340" s="23" t="s">
        <v>965</v>
      </c>
      <c r="E340" s="22" t="s">
        <v>991</v>
      </c>
      <c r="F340" s="23" t="s">
        <v>992</v>
      </c>
      <c r="G340" s="23" t="s">
        <v>1005</v>
      </c>
      <c r="H340" s="22" t="s">
        <v>1022</v>
      </c>
      <c r="I340" s="22" t="s">
        <v>1160</v>
      </c>
      <c r="J340" s="22" t="s">
        <v>211</v>
      </c>
      <c r="M340" s="22" t="s">
        <v>1</v>
      </c>
      <c r="N340" s="22" t="s">
        <v>1173</v>
      </c>
      <c r="O340" s="22" t="s">
        <v>962</v>
      </c>
      <c r="P340" s="21">
        <v>54000</v>
      </c>
      <c r="Q340" s="21">
        <v>8</v>
      </c>
      <c r="R340" s="21">
        <v>5</v>
      </c>
      <c r="S340" s="21">
        <v>5</v>
      </c>
      <c r="T340" s="22" t="s">
        <v>281</v>
      </c>
      <c r="U340" s="21">
        <v>1</v>
      </c>
      <c r="V340" s="22">
        <v>1</v>
      </c>
      <c r="W340" s="24">
        <f t="shared" si="60"/>
        <v>398.62580307118628</v>
      </c>
      <c r="X340" s="24">
        <f t="shared" si="61"/>
        <v>104.66666666666667</v>
      </c>
      <c r="Y340" s="21">
        <v>1</v>
      </c>
      <c r="Z340" s="24">
        <f t="shared" si="57"/>
        <v>398.62580307118628</v>
      </c>
      <c r="AA340" s="24">
        <f t="shared" si="58"/>
        <v>104.66666666666667</v>
      </c>
      <c r="AB340" s="21"/>
      <c r="AC340" s="21"/>
      <c r="AD340" s="21"/>
      <c r="AE340" s="21"/>
      <c r="AF340" s="21" t="s">
        <v>247</v>
      </c>
      <c r="AG340" s="21"/>
      <c r="AH340" s="24"/>
      <c r="AI340" s="24"/>
      <c r="AJ340" s="21">
        <v>104.7</v>
      </c>
      <c r="AK340" s="21">
        <v>8</v>
      </c>
      <c r="AL340" s="22" t="s">
        <v>161</v>
      </c>
      <c r="AM340" s="22">
        <v>0.11</v>
      </c>
      <c r="AO340" s="22" t="s">
        <v>830</v>
      </c>
      <c r="AP340" s="22" t="s">
        <v>963</v>
      </c>
      <c r="AQ340" s="22" t="str">
        <f t="shared" si="59"/>
        <v>Nanophytoplankton</v>
      </c>
      <c r="AR340" s="22">
        <v>1</v>
      </c>
      <c r="AS340" s="22">
        <v>1</v>
      </c>
      <c r="AT340" s="22">
        <v>0</v>
      </c>
      <c r="AU340" s="22">
        <v>0</v>
      </c>
      <c r="AV340" s="22">
        <v>0</v>
      </c>
      <c r="AW340" s="22">
        <v>0</v>
      </c>
      <c r="AX340" s="22">
        <v>1</v>
      </c>
      <c r="AY340" s="22">
        <v>0</v>
      </c>
    </row>
    <row r="341" spans="1:57">
      <c r="A341" s="21" t="s">
        <v>1174</v>
      </c>
      <c r="B341" s="22" t="s">
        <v>663</v>
      </c>
      <c r="C341" s="23" t="s">
        <v>822</v>
      </c>
      <c r="D341" s="23" t="s">
        <v>965</v>
      </c>
      <c r="E341" s="22" t="s">
        <v>991</v>
      </c>
      <c r="F341" s="23" t="s">
        <v>992</v>
      </c>
      <c r="G341" s="23" t="s">
        <v>1005</v>
      </c>
      <c r="H341" s="22" t="s">
        <v>1022</v>
      </c>
      <c r="I341" s="22" t="s">
        <v>1160</v>
      </c>
      <c r="J341" s="22" t="s">
        <v>1175</v>
      </c>
      <c r="M341" s="22" t="s">
        <v>1</v>
      </c>
      <c r="N341" s="22" t="s">
        <v>1173</v>
      </c>
      <c r="O341" s="22" t="s">
        <v>962</v>
      </c>
      <c r="P341" s="21">
        <v>54001</v>
      </c>
      <c r="Q341" s="21">
        <v>7.5</v>
      </c>
      <c r="R341" s="21">
        <v>6.5</v>
      </c>
      <c r="S341" s="21">
        <v>6.5</v>
      </c>
      <c r="T341" s="22" t="s">
        <v>281</v>
      </c>
      <c r="U341" s="21">
        <v>1</v>
      </c>
      <c r="V341" s="22">
        <v>1</v>
      </c>
      <c r="W341" s="24">
        <f t="shared" si="60"/>
        <v>486.96899182917912</v>
      </c>
      <c r="X341" s="24">
        <f t="shared" si="61"/>
        <v>165.83124999999998</v>
      </c>
      <c r="Y341" s="21">
        <v>1</v>
      </c>
      <c r="Z341" s="24">
        <f t="shared" si="57"/>
        <v>486.96899182917912</v>
      </c>
      <c r="AA341" s="24">
        <f t="shared" si="58"/>
        <v>165.83124999999998</v>
      </c>
      <c r="AB341" s="21"/>
      <c r="AC341" s="21"/>
      <c r="AD341" s="21"/>
      <c r="AE341" s="21"/>
      <c r="AF341" s="21" t="s">
        <v>247</v>
      </c>
      <c r="AG341" s="21"/>
      <c r="AH341" s="24"/>
      <c r="AI341" s="24"/>
      <c r="AJ341" s="21">
        <v>165.83124999999998</v>
      </c>
      <c r="AK341" s="21">
        <v>7.5</v>
      </c>
      <c r="AL341" s="22" t="s">
        <v>1176</v>
      </c>
      <c r="AM341" s="22">
        <v>0.11</v>
      </c>
      <c r="AO341" s="22" t="s">
        <v>830</v>
      </c>
      <c r="AP341" s="22" t="s">
        <v>963</v>
      </c>
      <c r="AQ341" s="22" t="str">
        <f t="shared" si="59"/>
        <v>Nanophytoplankton</v>
      </c>
      <c r="AR341" s="22">
        <v>1</v>
      </c>
      <c r="AS341" s="22">
        <v>1</v>
      </c>
      <c r="AT341" s="22">
        <v>0</v>
      </c>
      <c r="AU341" s="22">
        <v>0</v>
      </c>
      <c r="AV341" s="22">
        <v>0</v>
      </c>
      <c r="AW341" s="22">
        <v>0</v>
      </c>
      <c r="AX341" s="22">
        <v>1</v>
      </c>
      <c r="AY341" s="22">
        <v>0</v>
      </c>
    </row>
    <row r="342" spans="1:57">
      <c r="A342" s="21" t="s">
        <v>1177</v>
      </c>
      <c r="B342" s="22" t="s">
        <v>663</v>
      </c>
      <c r="C342" s="23" t="s">
        <v>822</v>
      </c>
      <c r="D342" s="23" t="s">
        <v>965</v>
      </c>
      <c r="E342" s="22" t="s">
        <v>991</v>
      </c>
      <c r="F342" s="23" t="s">
        <v>992</v>
      </c>
      <c r="G342" s="23" t="s">
        <v>1005</v>
      </c>
      <c r="H342" s="22" t="s">
        <v>1022</v>
      </c>
      <c r="I342" s="22" t="s">
        <v>1160</v>
      </c>
      <c r="J342" s="22" t="s">
        <v>1178</v>
      </c>
      <c r="M342" s="22" t="s">
        <v>1</v>
      </c>
      <c r="N342" s="22" t="s">
        <v>1173</v>
      </c>
      <c r="O342" s="22" t="s">
        <v>962</v>
      </c>
      <c r="P342" s="21">
        <v>54002</v>
      </c>
      <c r="Q342" s="21">
        <v>8</v>
      </c>
      <c r="R342" s="21">
        <v>7</v>
      </c>
      <c r="S342" s="21">
        <v>7</v>
      </c>
      <c r="T342" s="22" t="s">
        <v>281</v>
      </c>
      <c r="U342" s="21">
        <v>1</v>
      </c>
      <c r="V342" s="22">
        <v>1</v>
      </c>
      <c r="W342" s="24">
        <f t="shared" si="60"/>
        <v>558.07612429966082</v>
      </c>
      <c r="X342" s="24">
        <f t="shared" si="61"/>
        <v>205.14666666666665</v>
      </c>
      <c r="Y342" s="21">
        <v>1</v>
      </c>
      <c r="Z342" s="24">
        <f t="shared" si="57"/>
        <v>558.07612429966082</v>
      </c>
      <c r="AA342" s="24">
        <f t="shared" si="58"/>
        <v>205.14666666666665</v>
      </c>
      <c r="AB342" s="21"/>
      <c r="AC342" s="21"/>
      <c r="AD342" s="21"/>
      <c r="AE342" s="21"/>
      <c r="AF342" s="21" t="s">
        <v>247</v>
      </c>
      <c r="AG342" s="21"/>
      <c r="AH342" s="24"/>
      <c r="AI342" s="24"/>
      <c r="AJ342" s="21">
        <v>205.14666666666665</v>
      </c>
      <c r="AK342" s="21">
        <v>8</v>
      </c>
      <c r="AL342" s="22" t="s">
        <v>1176</v>
      </c>
      <c r="AM342" s="22">
        <v>0.11</v>
      </c>
      <c r="AO342" s="22" t="s">
        <v>830</v>
      </c>
      <c r="AP342" s="22" t="s">
        <v>963</v>
      </c>
      <c r="AQ342" s="22" t="str">
        <f t="shared" si="59"/>
        <v>Nanophytoplankton</v>
      </c>
      <c r="AR342" s="22">
        <v>1</v>
      </c>
      <c r="AS342" s="22">
        <v>1</v>
      </c>
      <c r="AT342" s="22">
        <v>0</v>
      </c>
      <c r="AU342" s="22">
        <v>0</v>
      </c>
      <c r="AV342" s="22">
        <v>0</v>
      </c>
      <c r="AW342" s="22">
        <v>0</v>
      </c>
      <c r="AX342" s="22">
        <v>1</v>
      </c>
      <c r="AY342" s="22">
        <v>0</v>
      </c>
    </row>
    <row r="343" spans="1:57">
      <c r="A343" s="21" t="s">
        <v>1179</v>
      </c>
      <c r="B343" s="22" t="s">
        <v>663</v>
      </c>
      <c r="C343" s="23" t="s">
        <v>822</v>
      </c>
      <c r="D343" s="23" t="s">
        <v>965</v>
      </c>
      <c r="E343" s="22" t="s">
        <v>991</v>
      </c>
      <c r="F343" s="23" t="s">
        <v>992</v>
      </c>
      <c r="G343" s="23" t="s">
        <v>1005</v>
      </c>
      <c r="H343" s="22" t="s">
        <v>1022</v>
      </c>
      <c r="I343" s="22" t="s">
        <v>1160</v>
      </c>
      <c r="J343" s="22" t="s">
        <v>1180</v>
      </c>
      <c r="M343" s="22" t="s">
        <v>1</v>
      </c>
      <c r="N343" s="22" t="s">
        <v>1173</v>
      </c>
      <c r="O343" s="22" t="s">
        <v>962</v>
      </c>
      <c r="P343" s="21">
        <v>54105</v>
      </c>
      <c r="Q343" s="21">
        <v>8</v>
      </c>
      <c r="R343" s="21">
        <v>7</v>
      </c>
      <c r="S343" s="21">
        <v>7</v>
      </c>
      <c r="T343" s="22" t="s">
        <v>281</v>
      </c>
      <c r="U343" s="21">
        <v>1</v>
      </c>
      <c r="V343" s="22">
        <v>1</v>
      </c>
      <c r="W343" s="24">
        <f t="shared" si="60"/>
        <v>558.07612429966082</v>
      </c>
      <c r="X343" s="24">
        <f t="shared" si="61"/>
        <v>205.14666666666665</v>
      </c>
      <c r="Y343" s="21">
        <v>1</v>
      </c>
      <c r="Z343" s="24">
        <f t="shared" si="57"/>
        <v>558.07612429966082</v>
      </c>
      <c r="AA343" s="24">
        <f t="shared" si="58"/>
        <v>205.14666666666665</v>
      </c>
      <c r="AB343" s="21"/>
      <c r="AC343" s="21"/>
      <c r="AD343" s="21"/>
      <c r="AE343" s="21"/>
      <c r="AF343" s="21" t="s">
        <v>247</v>
      </c>
      <c r="AG343" s="21"/>
      <c r="AH343" s="24"/>
      <c r="AI343" s="24"/>
      <c r="AJ343" s="21">
        <v>205.14666666666665</v>
      </c>
      <c r="AK343" s="21">
        <v>8</v>
      </c>
      <c r="AL343" s="22" t="s">
        <v>1176</v>
      </c>
      <c r="AM343" s="22">
        <v>0.11</v>
      </c>
      <c r="AO343" s="22" t="s">
        <v>830</v>
      </c>
      <c r="AP343" s="22" t="s">
        <v>963</v>
      </c>
      <c r="AQ343" s="22" t="str">
        <f t="shared" si="59"/>
        <v>Nanophytoplankton</v>
      </c>
      <c r="AR343" s="22">
        <v>1</v>
      </c>
      <c r="AS343" s="22">
        <v>1</v>
      </c>
      <c r="AT343" s="22">
        <v>0</v>
      </c>
      <c r="AU343" s="22">
        <v>0</v>
      </c>
      <c r="AV343" s="22">
        <v>0</v>
      </c>
      <c r="AW343" s="22">
        <v>0</v>
      </c>
      <c r="AX343" s="22">
        <v>1</v>
      </c>
      <c r="AY343" s="22">
        <v>0</v>
      </c>
    </row>
    <row r="344" spans="1:57">
      <c r="A344" s="21" t="s">
        <v>1181</v>
      </c>
      <c r="B344" s="22" t="s">
        <v>663</v>
      </c>
      <c r="C344" s="23" t="s">
        <v>822</v>
      </c>
      <c r="D344" s="23" t="s">
        <v>965</v>
      </c>
      <c r="E344" s="22" t="s">
        <v>991</v>
      </c>
      <c r="F344" s="23" t="s">
        <v>992</v>
      </c>
      <c r="G344" s="23" t="s">
        <v>1005</v>
      </c>
      <c r="H344" s="22" t="s">
        <v>1022</v>
      </c>
      <c r="I344" s="22" t="s">
        <v>1160</v>
      </c>
      <c r="J344" s="22" t="s">
        <v>1182</v>
      </c>
      <c r="M344" s="22" t="s">
        <v>1</v>
      </c>
      <c r="N344" s="22" t="s">
        <v>1173</v>
      </c>
      <c r="O344" s="22" t="s">
        <v>962</v>
      </c>
      <c r="P344" s="21">
        <v>54003</v>
      </c>
      <c r="Q344" s="21">
        <v>5</v>
      </c>
      <c r="R344" s="21">
        <v>3</v>
      </c>
      <c r="S344" s="21">
        <v>3</v>
      </c>
      <c r="T344" s="22" t="s">
        <v>281</v>
      </c>
      <c r="U344" s="21">
        <v>1</v>
      </c>
      <c r="V344" s="22">
        <v>1</v>
      </c>
      <c r="W344" s="24">
        <f t="shared" si="60"/>
        <v>153.08879288982666</v>
      </c>
      <c r="X344" s="24">
        <f t="shared" si="61"/>
        <v>23.549999999999997</v>
      </c>
      <c r="Y344" s="21">
        <v>1</v>
      </c>
      <c r="Z344" s="24">
        <f t="shared" si="57"/>
        <v>153.08879288982666</v>
      </c>
      <c r="AA344" s="24">
        <f t="shared" si="58"/>
        <v>23.549999999999997</v>
      </c>
      <c r="AB344" s="21"/>
      <c r="AC344" s="21"/>
      <c r="AD344" s="21"/>
      <c r="AE344" s="21"/>
      <c r="AF344" s="21" t="s">
        <v>247</v>
      </c>
      <c r="AG344" s="21"/>
      <c r="AH344" s="24"/>
      <c r="AI344" s="24"/>
      <c r="AJ344" s="21">
        <v>23.549999999999997</v>
      </c>
      <c r="AK344" s="21">
        <v>5</v>
      </c>
      <c r="AL344" s="22" t="s">
        <v>1183</v>
      </c>
      <c r="AM344" s="22">
        <v>0.11</v>
      </c>
      <c r="AO344" s="22" t="s">
        <v>830</v>
      </c>
      <c r="AP344" s="22" t="s">
        <v>963</v>
      </c>
      <c r="AQ344" s="22" t="str">
        <f t="shared" si="59"/>
        <v>Nanophytoplankton</v>
      </c>
      <c r="AR344" s="22">
        <v>1</v>
      </c>
      <c r="AS344" s="22">
        <v>1</v>
      </c>
      <c r="AT344" s="22">
        <v>0</v>
      </c>
      <c r="AU344" s="22">
        <v>0</v>
      </c>
      <c r="AV344" s="22">
        <v>0</v>
      </c>
      <c r="AW344" s="22">
        <v>0</v>
      </c>
      <c r="AX344" s="22">
        <v>1</v>
      </c>
      <c r="AY344" s="22">
        <v>0</v>
      </c>
    </row>
    <row r="345" spans="1:57">
      <c r="A345" s="21" t="s">
        <v>1184</v>
      </c>
      <c r="B345" s="22" t="s">
        <v>663</v>
      </c>
      <c r="C345" s="23" t="s">
        <v>822</v>
      </c>
      <c r="D345" s="23" t="s">
        <v>965</v>
      </c>
      <c r="E345" s="22" t="s">
        <v>991</v>
      </c>
      <c r="F345" s="23" t="s">
        <v>992</v>
      </c>
      <c r="G345" s="23" t="s">
        <v>1005</v>
      </c>
      <c r="H345" s="22" t="s">
        <v>1022</v>
      </c>
      <c r="I345" s="22" t="s">
        <v>1160</v>
      </c>
      <c r="J345" s="22" t="s">
        <v>1185</v>
      </c>
      <c r="N345" s="22" t="s">
        <v>1186</v>
      </c>
      <c r="O345" s="22" t="s">
        <v>962</v>
      </c>
      <c r="P345" s="21">
        <v>54101</v>
      </c>
      <c r="Q345" s="21">
        <v>7</v>
      </c>
      <c r="R345" s="21">
        <v>4</v>
      </c>
      <c r="S345" s="21">
        <v>4</v>
      </c>
      <c r="T345" s="22" t="s">
        <v>281</v>
      </c>
      <c r="U345" s="21">
        <v>1</v>
      </c>
      <c r="V345" s="22">
        <v>1</v>
      </c>
      <c r="W345" s="24">
        <f t="shared" si="60"/>
        <v>280.4753226174592</v>
      </c>
      <c r="X345" s="24">
        <f t="shared" si="61"/>
        <v>58.61333333333333</v>
      </c>
      <c r="Y345" s="21">
        <v>1</v>
      </c>
      <c r="Z345" s="24">
        <f t="shared" si="57"/>
        <v>280.4753226174592</v>
      </c>
      <c r="AA345" s="24">
        <f t="shared" si="58"/>
        <v>58.61333333333333</v>
      </c>
      <c r="AB345" s="21"/>
      <c r="AC345" s="21"/>
      <c r="AD345" s="21"/>
      <c r="AE345" s="21"/>
      <c r="AF345" s="21" t="s">
        <v>247</v>
      </c>
      <c r="AG345" s="21"/>
      <c r="AH345" s="24"/>
      <c r="AI345" s="24"/>
      <c r="AJ345" s="21">
        <v>58.61333333333333</v>
      </c>
      <c r="AK345" s="21">
        <v>7</v>
      </c>
      <c r="AL345" s="22" t="s">
        <v>1176</v>
      </c>
      <c r="AM345" s="22">
        <v>0.11</v>
      </c>
      <c r="AO345" s="22" t="s">
        <v>830</v>
      </c>
      <c r="AP345" s="22" t="s">
        <v>963</v>
      </c>
      <c r="AQ345" s="22" t="str">
        <f t="shared" si="59"/>
        <v>Nanophytoplankton</v>
      </c>
      <c r="AR345" s="22">
        <v>1</v>
      </c>
      <c r="AS345" s="22">
        <v>1</v>
      </c>
      <c r="AT345" s="22">
        <v>0</v>
      </c>
      <c r="AU345" s="22">
        <v>0</v>
      </c>
      <c r="AV345" s="22">
        <v>0</v>
      </c>
      <c r="AW345" s="22">
        <v>0</v>
      </c>
      <c r="AX345" s="22">
        <v>1</v>
      </c>
      <c r="AY345" s="22">
        <v>0</v>
      </c>
    </row>
    <row r="346" spans="1:57">
      <c r="A346" s="21" t="s">
        <v>1187</v>
      </c>
      <c r="B346" s="22" t="s">
        <v>663</v>
      </c>
      <c r="C346" s="23" t="s">
        <v>822</v>
      </c>
      <c r="D346" s="23" t="s">
        <v>965</v>
      </c>
      <c r="E346" s="22" t="s">
        <v>991</v>
      </c>
      <c r="F346" s="23" t="s">
        <v>992</v>
      </c>
      <c r="G346" s="23" t="s">
        <v>1005</v>
      </c>
      <c r="H346" s="22" t="s">
        <v>1022</v>
      </c>
      <c r="I346" s="22" t="s">
        <v>1160</v>
      </c>
      <c r="J346" s="22" t="s">
        <v>1188</v>
      </c>
      <c r="N346" s="22" t="s">
        <v>1189</v>
      </c>
      <c r="O346" s="22" t="s">
        <v>962</v>
      </c>
      <c r="P346" s="21">
        <v>54102</v>
      </c>
      <c r="Q346" s="21">
        <v>5</v>
      </c>
      <c r="R346" s="21">
        <v>6.4</v>
      </c>
      <c r="S346" s="21">
        <v>6.4</v>
      </c>
      <c r="T346" s="22" t="s">
        <v>281</v>
      </c>
      <c r="U346" s="21">
        <v>1</v>
      </c>
      <c r="V346" s="22">
        <v>1</v>
      </c>
      <c r="W346" s="24">
        <f t="shared" si="60"/>
        <v>326.5894248316302</v>
      </c>
      <c r="X346" s="24">
        <f t="shared" si="61"/>
        <v>107.17866666666667</v>
      </c>
      <c r="Y346" s="21">
        <v>1</v>
      </c>
      <c r="Z346" s="24">
        <f t="shared" si="57"/>
        <v>326.5894248316302</v>
      </c>
      <c r="AA346" s="24">
        <f t="shared" si="58"/>
        <v>107.17866666666667</v>
      </c>
      <c r="AB346" s="21"/>
      <c r="AC346" s="21"/>
      <c r="AD346" s="21"/>
      <c r="AE346" s="21"/>
      <c r="AF346" s="21" t="s">
        <v>247</v>
      </c>
      <c r="AG346" s="21"/>
      <c r="AH346" s="24"/>
      <c r="AI346" s="24"/>
      <c r="AJ346" s="21">
        <v>107.17866666666667</v>
      </c>
      <c r="AK346" s="21">
        <v>6.4</v>
      </c>
      <c r="AL346" s="22" t="s">
        <v>161</v>
      </c>
      <c r="AM346" s="22">
        <v>0.11</v>
      </c>
      <c r="AO346" s="22" t="s">
        <v>830</v>
      </c>
      <c r="AP346" s="22" t="s">
        <v>963</v>
      </c>
      <c r="AQ346" s="22" t="str">
        <f t="shared" si="59"/>
        <v>Nanophytoplankton</v>
      </c>
      <c r="AR346" s="22">
        <v>1</v>
      </c>
      <c r="AS346" s="22">
        <v>1</v>
      </c>
      <c r="AT346" s="22">
        <v>0</v>
      </c>
      <c r="AU346" s="22">
        <v>0</v>
      </c>
      <c r="AV346" s="22">
        <v>0</v>
      </c>
      <c r="AW346" s="22">
        <v>0</v>
      </c>
      <c r="AX346" s="22">
        <v>1</v>
      </c>
      <c r="AY346" s="22">
        <v>0</v>
      </c>
    </row>
    <row r="347" spans="1:57">
      <c r="A347" s="21" t="s">
        <v>1190</v>
      </c>
      <c r="B347" s="22" t="s">
        <v>663</v>
      </c>
      <c r="C347" s="23" t="s">
        <v>822</v>
      </c>
      <c r="D347" s="23" t="s">
        <v>965</v>
      </c>
      <c r="E347" s="22" t="s">
        <v>991</v>
      </c>
      <c r="F347" s="23" t="s">
        <v>992</v>
      </c>
      <c r="I347" s="22" t="s">
        <v>685</v>
      </c>
      <c r="J347" s="22" t="s">
        <v>1191</v>
      </c>
      <c r="K347" s="22" t="s">
        <v>184</v>
      </c>
      <c r="L347" s="22" t="s">
        <v>685</v>
      </c>
      <c r="M347" s="22" t="s">
        <v>102</v>
      </c>
      <c r="O347" s="22" t="s">
        <v>1048</v>
      </c>
      <c r="P347" s="21">
        <v>51810</v>
      </c>
      <c r="Q347" s="21">
        <v>10</v>
      </c>
      <c r="R347" s="21">
        <v>10</v>
      </c>
      <c r="S347" s="21">
        <v>10</v>
      </c>
      <c r="T347" s="22" t="s">
        <v>281</v>
      </c>
      <c r="U347" s="21">
        <v>1</v>
      </c>
      <c r="V347" s="22">
        <v>1</v>
      </c>
      <c r="W347" s="24">
        <f t="shared" si="60"/>
        <v>990.0713501282612</v>
      </c>
      <c r="X347" s="24">
        <f t="shared" si="61"/>
        <v>523.33333333333337</v>
      </c>
      <c r="Y347" s="21">
        <v>1</v>
      </c>
      <c r="Z347" s="24">
        <f t="shared" si="57"/>
        <v>990.0713501282612</v>
      </c>
      <c r="AA347" s="24">
        <f t="shared" si="58"/>
        <v>523.33333333333337</v>
      </c>
      <c r="AB347" s="21"/>
      <c r="AC347" s="21"/>
      <c r="AD347" s="21"/>
      <c r="AE347" s="21"/>
      <c r="AF347" s="21" t="s">
        <v>247</v>
      </c>
      <c r="AG347" s="21"/>
      <c r="AH347" s="24"/>
      <c r="AI347" s="24"/>
      <c r="AJ347" s="21">
        <v>523.6</v>
      </c>
      <c r="AK347" s="21">
        <v>12</v>
      </c>
      <c r="AL347" s="22" t="s">
        <v>161</v>
      </c>
      <c r="AM347" s="22">
        <v>0.11</v>
      </c>
      <c r="AP347" s="22" t="s">
        <v>963</v>
      </c>
      <c r="AQ347" s="22" t="str">
        <f t="shared" si="59"/>
        <v>Nanophytoplankton</v>
      </c>
      <c r="AR347" s="22">
        <v>0</v>
      </c>
      <c r="AS347" s="22">
        <v>0</v>
      </c>
      <c r="AT347" s="22">
        <v>0</v>
      </c>
      <c r="AU347" s="22">
        <v>0</v>
      </c>
      <c r="AV347" s="22">
        <v>0</v>
      </c>
      <c r="AW347" s="22">
        <v>0</v>
      </c>
      <c r="AX347" s="22">
        <v>1</v>
      </c>
      <c r="AY347" s="22">
        <v>0</v>
      </c>
    </row>
    <row r="348" spans="1:57">
      <c r="A348" s="22" t="s">
        <v>1192</v>
      </c>
      <c r="B348" s="22" t="s">
        <v>663</v>
      </c>
      <c r="C348" s="23" t="s">
        <v>822</v>
      </c>
      <c r="D348" s="23" t="s">
        <v>965</v>
      </c>
      <c r="E348" s="22" t="s">
        <v>991</v>
      </c>
      <c r="F348" s="23" t="s">
        <v>992</v>
      </c>
      <c r="I348" s="22" t="s">
        <v>685</v>
      </c>
      <c r="J348" s="22" t="s">
        <v>1193</v>
      </c>
      <c r="K348" s="22" t="s">
        <v>184</v>
      </c>
      <c r="L348" s="22" t="s">
        <v>685</v>
      </c>
      <c r="M348" s="22" t="s">
        <v>102</v>
      </c>
      <c r="O348" s="22" t="s">
        <v>1048</v>
      </c>
      <c r="P348" s="22">
        <v>51811</v>
      </c>
      <c r="Q348" s="22">
        <v>17.5</v>
      </c>
      <c r="R348" s="22">
        <v>17.5</v>
      </c>
      <c r="S348" s="22">
        <v>17.5</v>
      </c>
      <c r="T348" s="22" t="s">
        <v>281</v>
      </c>
      <c r="U348" s="21">
        <v>1</v>
      </c>
      <c r="V348" s="22">
        <v>1</v>
      </c>
      <c r="W348" s="24">
        <f t="shared" si="60"/>
        <v>3004.5495545717131</v>
      </c>
      <c r="X348" s="24">
        <f t="shared" si="61"/>
        <v>2804.7395833333335</v>
      </c>
      <c r="Y348" s="21">
        <v>1</v>
      </c>
      <c r="Z348" s="24">
        <f t="shared" si="57"/>
        <v>3004.5495545717131</v>
      </c>
      <c r="AA348" s="24">
        <f t="shared" si="58"/>
        <v>2804.7395833333335</v>
      </c>
      <c r="AE348" s="21"/>
      <c r="AF348" s="21" t="s">
        <v>247</v>
      </c>
      <c r="AG348" s="21"/>
      <c r="AH348" s="24"/>
      <c r="AI348" s="24"/>
      <c r="AJ348" s="21">
        <v>2806.2</v>
      </c>
      <c r="AK348" s="21">
        <v>17.5</v>
      </c>
      <c r="AL348" s="22" t="s">
        <v>161</v>
      </c>
      <c r="AM348" s="22">
        <v>0.11</v>
      </c>
      <c r="AP348" s="22" t="s">
        <v>963</v>
      </c>
      <c r="AQ348" s="22" t="str">
        <f t="shared" si="59"/>
        <v>Nanophytoplankton</v>
      </c>
      <c r="AR348" s="22">
        <v>0</v>
      </c>
      <c r="AS348" s="22">
        <v>0</v>
      </c>
      <c r="AT348" s="22">
        <v>0</v>
      </c>
      <c r="AU348" s="22">
        <v>0</v>
      </c>
      <c r="AV348" s="22">
        <v>0</v>
      </c>
      <c r="AW348" s="22">
        <v>0</v>
      </c>
      <c r="AX348" s="22">
        <v>1</v>
      </c>
      <c r="AY348" s="22">
        <v>0</v>
      </c>
    </row>
    <row r="349" spans="1:57">
      <c r="A349" s="22" t="s">
        <v>1194</v>
      </c>
      <c r="B349" s="22" t="s">
        <v>663</v>
      </c>
      <c r="C349" s="23" t="s">
        <v>822</v>
      </c>
      <c r="D349" s="23" t="s">
        <v>965</v>
      </c>
      <c r="E349" s="22" t="s">
        <v>991</v>
      </c>
      <c r="F349" s="23" t="s">
        <v>992</v>
      </c>
      <c r="I349" s="22" t="s">
        <v>685</v>
      </c>
      <c r="J349" s="22" t="s">
        <v>1195</v>
      </c>
      <c r="K349" s="22" t="s">
        <v>184</v>
      </c>
      <c r="L349" s="22" t="s">
        <v>685</v>
      </c>
      <c r="O349" s="22" t="s">
        <v>1048</v>
      </c>
      <c r="P349" s="22">
        <v>51825</v>
      </c>
      <c r="Q349" s="22">
        <v>14</v>
      </c>
      <c r="R349" s="22">
        <v>14</v>
      </c>
      <c r="S349" s="22">
        <v>14</v>
      </c>
      <c r="T349" s="22" t="s">
        <v>281</v>
      </c>
      <c r="U349" s="21">
        <v>1</v>
      </c>
      <c r="V349" s="22">
        <v>1</v>
      </c>
      <c r="W349" s="24">
        <f t="shared" si="60"/>
        <v>1928.1444370745123</v>
      </c>
      <c r="X349" s="24">
        <f t="shared" si="61"/>
        <v>1436.0266666666666</v>
      </c>
      <c r="Y349" s="21">
        <v>1</v>
      </c>
      <c r="Z349" s="24">
        <f t="shared" si="57"/>
        <v>1928.1444370745123</v>
      </c>
      <c r="AA349" s="24">
        <f t="shared" si="58"/>
        <v>1436.0266666666666</v>
      </c>
      <c r="AE349" s="21"/>
      <c r="AF349" s="21" t="s">
        <v>247</v>
      </c>
      <c r="AG349" s="21"/>
      <c r="AH349" s="24"/>
      <c r="AI349" s="24"/>
      <c r="AJ349" s="21">
        <v>1436.0266666666666</v>
      </c>
      <c r="AK349" s="21">
        <v>14</v>
      </c>
      <c r="AL349" s="22" t="s">
        <v>161</v>
      </c>
      <c r="AM349" s="22">
        <v>0.11</v>
      </c>
      <c r="AP349" s="22" t="s">
        <v>963</v>
      </c>
      <c r="AQ349" s="22" t="str">
        <f t="shared" si="59"/>
        <v>Nanophytoplankton</v>
      </c>
      <c r="AR349" s="22">
        <v>0</v>
      </c>
      <c r="AS349" s="22">
        <v>0</v>
      </c>
      <c r="AT349" s="22">
        <v>0</v>
      </c>
      <c r="AU349" s="22">
        <v>0</v>
      </c>
      <c r="AV349" s="22">
        <v>0</v>
      </c>
      <c r="AW349" s="22">
        <v>0</v>
      </c>
      <c r="AX349" s="22">
        <v>1</v>
      </c>
      <c r="AY349" s="22">
        <v>0</v>
      </c>
    </row>
    <row r="350" spans="1:57">
      <c r="A350" s="22" t="s">
        <v>1196</v>
      </c>
      <c r="B350" s="22" t="s">
        <v>663</v>
      </c>
      <c r="C350" s="23" t="s">
        <v>822</v>
      </c>
      <c r="D350" s="23" t="s">
        <v>965</v>
      </c>
      <c r="E350" s="22" t="s">
        <v>991</v>
      </c>
      <c r="F350" s="23" t="s">
        <v>992</v>
      </c>
      <c r="I350" s="22" t="s">
        <v>685</v>
      </c>
      <c r="J350" s="22" t="s">
        <v>1197</v>
      </c>
      <c r="K350" s="22" t="s">
        <v>184</v>
      </c>
      <c r="L350" s="22" t="s">
        <v>685</v>
      </c>
      <c r="O350" s="22" t="s">
        <v>1048</v>
      </c>
      <c r="P350" s="22">
        <v>51826</v>
      </c>
      <c r="Q350" s="22">
        <v>30</v>
      </c>
      <c r="R350" s="22">
        <v>30</v>
      </c>
      <c r="S350" s="22">
        <v>30</v>
      </c>
      <c r="T350" s="22" t="s">
        <v>281</v>
      </c>
      <c r="U350" s="21">
        <v>1</v>
      </c>
      <c r="V350" s="22">
        <v>1</v>
      </c>
      <c r="W350" s="24">
        <f t="shared" si="60"/>
        <v>8797.275695246879</v>
      </c>
      <c r="X350" s="24">
        <f t="shared" si="61"/>
        <v>14130</v>
      </c>
      <c r="Y350" s="21">
        <v>1</v>
      </c>
      <c r="Z350" s="24">
        <f t="shared" si="57"/>
        <v>8797.275695246879</v>
      </c>
      <c r="AA350" s="24">
        <f t="shared" si="58"/>
        <v>14130</v>
      </c>
      <c r="AE350" s="21"/>
      <c r="AF350" s="21" t="s">
        <v>247</v>
      </c>
      <c r="AG350" s="21"/>
      <c r="AH350" s="24"/>
      <c r="AI350" s="24"/>
      <c r="AJ350" s="21">
        <v>14130</v>
      </c>
      <c r="AK350" s="21">
        <v>30</v>
      </c>
      <c r="AL350" s="22" t="s">
        <v>161</v>
      </c>
      <c r="AM350" s="22">
        <v>0.11</v>
      </c>
      <c r="AP350" s="22" t="s">
        <v>963</v>
      </c>
      <c r="AQ350" s="22" t="str">
        <f t="shared" si="59"/>
        <v>Microphytoplankton</v>
      </c>
      <c r="AR350" s="22">
        <v>0</v>
      </c>
      <c r="AS350" s="22">
        <v>0</v>
      </c>
      <c r="AT350" s="22">
        <v>0</v>
      </c>
      <c r="AU350" s="22">
        <v>0</v>
      </c>
      <c r="AV350" s="22">
        <v>0</v>
      </c>
      <c r="AW350" s="22">
        <v>0</v>
      </c>
      <c r="AX350" s="22">
        <v>1</v>
      </c>
      <c r="AY350" s="22">
        <v>0</v>
      </c>
    </row>
    <row r="351" spans="1:57">
      <c r="A351" s="22" t="s">
        <v>1198</v>
      </c>
      <c r="B351" s="22" t="s">
        <v>663</v>
      </c>
      <c r="C351" s="23" t="s">
        <v>822</v>
      </c>
      <c r="D351" s="23" t="s">
        <v>965</v>
      </c>
      <c r="E351" s="22" t="s">
        <v>991</v>
      </c>
      <c r="F351" s="23" t="s">
        <v>992</v>
      </c>
      <c r="I351" s="22" t="s">
        <v>1054</v>
      </c>
      <c r="J351" s="22" t="s">
        <v>685</v>
      </c>
      <c r="K351" s="22" t="s">
        <v>184</v>
      </c>
      <c r="L351" s="22" t="s">
        <v>685</v>
      </c>
      <c r="M351" s="22" t="s">
        <v>0</v>
      </c>
      <c r="O351" s="22" t="s">
        <v>1048</v>
      </c>
      <c r="P351" s="22">
        <v>51812</v>
      </c>
      <c r="Q351" s="22">
        <v>13</v>
      </c>
      <c r="R351" s="22">
        <v>13</v>
      </c>
      <c r="S351" s="22">
        <v>13</v>
      </c>
      <c r="T351" s="22" t="s">
        <v>281</v>
      </c>
      <c r="U351" s="21">
        <v>1</v>
      </c>
      <c r="V351" s="22">
        <v>1</v>
      </c>
      <c r="W351" s="24">
        <f t="shared" si="60"/>
        <v>1664.4222732199528</v>
      </c>
      <c r="X351" s="24">
        <f t="shared" si="61"/>
        <v>1149.7633333333333</v>
      </c>
      <c r="Y351" s="21">
        <v>1</v>
      </c>
      <c r="Z351" s="24">
        <f t="shared" si="57"/>
        <v>1664.4222732199528</v>
      </c>
      <c r="AA351" s="24">
        <f t="shared" si="58"/>
        <v>1149.7633333333333</v>
      </c>
      <c r="AE351" s="21"/>
      <c r="AF351" s="21" t="s">
        <v>247</v>
      </c>
      <c r="AG351" s="21"/>
      <c r="AH351" s="24"/>
      <c r="AI351" s="24"/>
      <c r="AJ351" s="21">
        <v>1150</v>
      </c>
      <c r="AK351" s="21">
        <v>13</v>
      </c>
      <c r="AL351" s="22" t="s">
        <v>161</v>
      </c>
      <c r="AM351" s="22">
        <v>0.11</v>
      </c>
      <c r="AP351" s="22" t="s">
        <v>963</v>
      </c>
      <c r="AQ351" s="22" t="str">
        <f t="shared" si="59"/>
        <v>Nanophytoplankton</v>
      </c>
      <c r="AR351" s="22">
        <v>0</v>
      </c>
      <c r="AS351" s="22">
        <v>0</v>
      </c>
      <c r="AT351" s="22">
        <v>0</v>
      </c>
      <c r="AU351" s="22">
        <v>0</v>
      </c>
      <c r="AV351" s="22">
        <v>0</v>
      </c>
      <c r="AW351" s="22">
        <v>0</v>
      </c>
      <c r="AX351" s="22">
        <v>1</v>
      </c>
      <c r="AY351" s="22">
        <v>0</v>
      </c>
    </row>
    <row r="352" spans="1:57">
      <c r="A352" s="21" t="s">
        <v>1199</v>
      </c>
      <c r="B352" s="22" t="s">
        <v>663</v>
      </c>
      <c r="C352" s="23" t="s">
        <v>822</v>
      </c>
      <c r="D352" s="23" t="s">
        <v>965</v>
      </c>
      <c r="E352" s="22" t="s">
        <v>991</v>
      </c>
      <c r="F352" s="23" t="s">
        <v>1200</v>
      </c>
      <c r="G352" s="23" t="s">
        <v>1201</v>
      </c>
      <c r="H352" s="22" t="s">
        <v>1202</v>
      </c>
      <c r="I352" s="22" t="s">
        <v>1203</v>
      </c>
      <c r="J352" s="22" t="s">
        <v>1204</v>
      </c>
      <c r="N352" s="22" t="s">
        <v>1205</v>
      </c>
      <c r="O352" s="22" t="s">
        <v>962</v>
      </c>
      <c r="P352" s="21">
        <v>50510</v>
      </c>
      <c r="Q352" s="21">
        <v>31</v>
      </c>
      <c r="R352" s="21">
        <v>15</v>
      </c>
      <c r="S352" s="21">
        <v>15</v>
      </c>
      <c r="T352" s="22" t="s">
        <v>281</v>
      </c>
      <c r="U352" s="21">
        <v>1</v>
      </c>
      <c r="V352" s="22">
        <v>1</v>
      </c>
      <c r="W352" s="24">
        <f t="shared" si="60"/>
        <v>4544.6329249199853</v>
      </c>
      <c r="X352" s="24">
        <f t="shared" si="61"/>
        <v>3650.25</v>
      </c>
      <c r="Y352" s="21">
        <v>1</v>
      </c>
      <c r="Z352" s="24">
        <f t="shared" si="57"/>
        <v>4544.6329249199853</v>
      </c>
      <c r="AA352" s="24">
        <f t="shared" si="58"/>
        <v>3650.25</v>
      </c>
      <c r="AB352" s="21"/>
      <c r="AC352" s="21"/>
      <c r="AD352" s="21"/>
      <c r="AE352" s="21"/>
      <c r="AF352" s="21" t="s">
        <v>247</v>
      </c>
      <c r="AG352" s="21"/>
      <c r="AH352" s="24"/>
      <c r="AI352" s="24"/>
      <c r="AJ352" s="21">
        <v>3652.1</v>
      </c>
      <c r="AK352" s="21">
        <v>31</v>
      </c>
      <c r="AL352" s="22" t="s">
        <v>161</v>
      </c>
      <c r="AM352" s="22">
        <v>0.11</v>
      </c>
      <c r="AN352" s="22" t="s">
        <v>1057</v>
      </c>
      <c r="AO352" s="22" t="s">
        <v>1057</v>
      </c>
      <c r="AP352" s="22" t="s">
        <v>963</v>
      </c>
      <c r="AQ352" s="22" t="str">
        <f t="shared" si="59"/>
        <v>Microphytoplankton</v>
      </c>
      <c r="AR352" s="22">
        <v>1</v>
      </c>
      <c r="AS352" s="22">
        <v>1</v>
      </c>
      <c r="AT352" s="22">
        <v>0</v>
      </c>
      <c r="AU352" s="22">
        <v>0</v>
      </c>
      <c r="AV352" s="22">
        <v>0</v>
      </c>
      <c r="AW352" s="22">
        <v>0</v>
      </c>
      <c r="AX352" s="22">
        <v>1</v>
      </c>
      <c r="AY352" s="22">
        <v>0</v>
      </c>
      <c r="AZ352" s="22">
        <v>0</v>
      </c>
      <c r="BA352" s="22">
        <v>0</v>
      </c>
      <c r="BB352" s="22">
        <v>1</v>
      </c>
      <c r="BC352" s="22">
        <v>3</v>
      </c>
      <c r="BD352" s="22">
        <v>4</v>
      </c>
      <c r="BE352" s="22">
        <v>2</v>
      </c>
    </row>
    <row r="353" spans="1:57">
      <c r="A353" s="21" t="s">
        <v>1206</v>
      </c>
      <c r="B353" s="22" t="s">
        <v>663</v>
      </c>
      <c r="C353" s="23" t="s">
        <v>822</v>
      </c>
      <c r="D353" s="23" t="s">
        <v>965</v>
      </c>
      <c r="E353" s="22" t="s">
        <v>991</v>
      </c>
      <c r="F353" s="23" t="s">
        <v>1200</v>
      </c>
      <c r="G353" s="23" t="s">
        <v>1201</v>
      </c>
      <c r="H353" s="22" t="s">
        <v>1202</v>
      </c>
      <c r="I353" s="22" t="s">
        <v>1203</v>
      </c>
      <c r="J353" s="22" t="s">
        <v>1207</v>
      </c>
      <c r="N353" s="22" t="s">
        <v>1208</v>
      </c>
      <c r="O353" s="22" t="s">
        <v>962</v>
      </c>
      <c r="P353" s="21">
        <v>50520</v>
      </c>
      <c r="Q353" s="21">
        <v>40</v>
      </c>
      <c r="R353" s="21">
        <v>5</v>
      </c>
      <c r="S353" s="21">
        <v>5</v>
      </c>
      <c r="T353" s="22" t="s">
        <v>281</v>
      </c>
      <c r="U353" s="21">
        <v>0.6</v>
      </c>
      <c r="V353" s="21">
        <v>0.6</v>
      </c>
      <c r="W353" s="24">
        <f t="shared" si="60"/>
        <v>3255.0096080756221</v>
      </c>
      <c r="X353" s="24">
        <f t="shared" si="61"/>
        <v>314</v>
      </c>
      <c r="Y353" s="21">
        <v>1</v>
      </c>
      <c r="Z353" s="24">
        <f t="shared" si="57"/>
        <v>3255.0096080756221</v>
      </c>
      <c r="AA353" s="24">
        <f t="shared" si="58"/>
        <v>314</v>
      </c>
      <c r="AB353" s="21"/>
      <c r="AC353" s="21"/>
      <c r="AD353" s="21"/>
      <c r="AE353" s="21"/>
      <c r="AF353" s="21" t="s">
        <v>247</v>
      </c>
      <c r="AG353" s="21"/>
      <c r="AH353" s="24"/>
      <c r="AI353" s="24"/>
      <c r="AJ353" s="21">
        <v>314.2</v>
      </c>
      <c r="AK353" s="21">
        <v>40</v>
      </c>
      <c r="AL353" s="22" t="s">
        <v>161</v>
      </c>
      <c r="AM353" s="22">
        <v>0.11</v>
      </c>
      <c r="AN353" s="22" t="s">
        <v>1057</v>
      </c>
      <c r="AO353" s="22" t="s">
        <v>1057</v>
      </c>
      <c r="AP353" s="22" t="s">
        <v>963</v>
      </c>
      <c r="AQ353" s="22" t="str">
        <f t="shared" si="59"/>
        <v>Microphytoplankton</v>
      </c>
      <c r="AR353" s="22">
        <v>1</v>
      </c>
      <c r="AS353" s="22">
        <v>1</v>
      </c>
      <c r="AT353" s="22">
        <v>0</v>
      </c>
      <c r="AU353" s="22">
        <v>0</v>
      </c>
      <c r="AV353" s="22">
        <v>0</v>
      </c>
      <c r="AW353" s="22">
        <v>0</v>
      </c>
      <c r="AX353" s="22">
        <v>1</v>
      </c>
      <c r="AY353" s="22">
        <v>0</v>
      </c>
      <c r="AZ353" s="22">
        <v>0</v>
      </c>
      <c r="BA353" s="22">
        <v>0</v>
      </c>
      <c r="BB353" s="22">
        <v>2</v>
      </c>
      <c r="BC353" s="22">
        <v>3</v>
      </c>
      <c r="BD353" s="22">
        <v>3</v>
      </c>
      <c r="BE353" s="22">
        <v>2</v>
      </c>
    </row>
    <row r="354" spans="1:57">
      <c r="A354" s="21" t="s">
        <v>1209</v>
      </c>
      <c r="B354" s="22" t="s">
        <v>663</v>
      </c>
      <c r="C354" s="23" t="s">
        <v>822</v>
      </c>
      <c r="D354" s="23" t="s">
        <v>965</v>
      </c>
      <c r="E354" s="22" t="s">
        <v>991</v>
      </c>
      <c r="F354" s="23" t="s">
        <v>1200</v>
      </c>
      <c r="G354" s="23" t="s">
        <v>1201</v>
      </c>
      <c r="H354" s="22" t="s">
        <v>1202</v>
      </c>
      <c r="I354" s="22" t="s">
        <v>1203</v>
      </c>
      <c r="J354" s="22" t="s">
        <v>1210</v>
      </c>
      <c r="N354" s="22" t="s">
        <v>1211</v>
      </c>
      <c r="O354" s="22" t="s">
        <v>962</v>
      </c>
      <c r="P354" s="21">
        <v>50580</v>
      </c>
      <c r="Q354" s="21">
        <v>35</v>
      </c>
      <c r="R354" s="21">
        <v>14</v>
      </c>
      <c r="S354" s="21">
        <v>14</v>
      </c>
      <c r="T354" s="21" t="s">
        <v>977</v>
      </c>
      <c r="U354" s="21">
        <v>1</v>
      </c>
      <c r="V354" s="22">
        <v>1</v>
      </c>
      <c r="W354" s="24">
        <f t="shared" si="60"/>
        <v>4786.8056261383617</v>
      </c>
      <c r="X354" s="24">
        <f>3.14/12*Q354*R354*S354*U354</f>
        <v>1795.0333333333333</v>
      </c>
      <c r="Y354" s="21">
        <v>1</v>
      </c>
      <c r="Z354" s="24">
        <f t="shared" si="57"/>
        <v>4786.8056261383617</v>
      </c>
      <c r="AA354" s="24">
        <f t="shared" si="58"/>
        <v>1795.0333333333333</v>
      </c>
      <c r="AB354" s="21"/>
      <c r="AC354" s="21"/>
      <c r="AD354" s="21"/>
      <c r="AE354" s="21"/>
      <c r="AF354" s="21" t="s">
        <v>247</v>
      </c>
      <c r="AG354" s="21"/>
      <c r="AH354" s="24"/>
      <c r="AI354" s="24"/>
      <c r="AJ354" s="21">
        <v>2154.04</v>
      </c>
      <c r="AK354" s="21">
        <v>35</v>
      </c>
      <c r="AL354" s="22" t="s">
        <v>161</v>
      </c>
      <c r="AM354" s="22">
        <v>0.11</v>
      </c>
      <c r="AN354" s="22" t="s">
        <v>1057</v>
      </c>
      <c r="AO354" s="22" t="s">
        <v>1057</v>
      </c>
      <c r="AP354" s="22" t="s">
        <v>963</v>
      </c>
      <c r="AQ354" s="22" t="str">
        <f t="shared" si="59"/>
        <v>Microphytoplankton</v>
      </c>
      <c r="AR354" s="22">
        <v>1</v>
      </c>
      <c r="AS354" s="22">
        <v>1</v>
      </c>
      <c r="AT354" s="22">
        <v>0</v>
      </c>
      <c r="AU354" s="22">
        <v>0</v>
      </c>
      <c r="AV354" s="22">
        <v>0</v>
      </c>
      <c r="AW354" s="22">
        <v>0</v>
      </c>
      <c r="AX354" s="22">
        <v>1</v>
      </c>
      <c r="AY354" s="22">
        <v>0</v>
      </c>
    </row>
    <row r="355" spans="1:57">
      <c r="A355" s="21" t="s">
        <v>1212</v>
      </c>
      <c r="B355" s="22" t="s">
        <v>663</v>
      </c>
      <c r="C355" s="23" t="s">
        <v>822</v>
      </c>
      <c r="D355" s="23" t="s">
        <v>965</v>
      </c>
      <c r="E355" s="22" t="s">
        <v>991</v>
      </c>
      <c r="F355" s="23" t="s">
        <v>1200</v>
      </c>
      <c r="G355" s="23" t="s">
        <v>1201</v>
      </c>
      <c r="H355" s="22" t="s">
        <v>1202</v>
      </c>
      <c r="I355" s="22" t="s">
        <v>1203</v>
      </c>
      <c r="J355" s="22" t="s">
        <v>216</v>
      </c>
      <c r="N355" s="22" t="s">
        <v>1213</v>
      </c>
      <c r="O355" s="22" t="s">
        <v>962</v>
      </c>
      <c r="P355" s="21">
        <v>50550</v>
      </c>
      <c r="Q355" s="21">
        <v>18</v>
      </c>
      <c r="R355" s="21">
        <v>13</v>
      </c>
      <c r="S355" s="21">
        <v>13</v>
      </c>
      <c r="T355" s="22" t="s">
        <v>281</v>
      </c>
      <c r="U355" s="21">
        <v>1</v>
      </c>
      <c r="V355" s="22">
        <v>1</v>
      </c>
      <c r="W355" s="24">
        <f t="shared" si="60"/>
        <v>2295.0788685687999</v>
      </c>
      <c r="X355" s="24">
        <f t="shared" ref="X355:X362" si="62">3.14/6*Q355*R355*S355*U355</f>
        <v>1591.98</v>
      </c>
      <c r="Y355" s="21">
        <v>1</v>
      </c>
      <c r="Z355" s="24">
        <f t="shared" si="57"/>
        <v>2295.0788685687999</v>
      </c>
      <c r="AA355" s="24">
        <f t="shared" si="58"/>
        <v>1591.98</v>
      </c>
      <c r="AB355" s="21"/>
      <c r="AC355" s="21"/>
      <c r="AD355" s="21"/>
      <c r="AE355" s="21"/>
      <c r="AF355" s="21" t="s">
        <v>247</v>
      </c>
      <c r="AG355" s="21"/>
      <c r="AH355" s="24"/>
      <c r="AI355" s="24"/>
      <c r="AJ355" s="21">
        <v>1592.8</v>
      </c>
      <c r="AK355" s="21">
        <v>18</v>
      </c>
      <c r="AL355" s="22" t="s">
        <v>161</v>
      </c>
      <c r="AM355" s="22">
        <v>0.11</v>
      </c>
      <c r="AN355" s="22" t="s">
        <v>1057</v>
      </c>
      <c r="AO355" s="22" t="s">
        <v>1057</v>
      </c>
      <c r="AP355" s="22" t="s">
        <v>963</v>
      </c>
      <c r="AQ355" s="22" t="str">
        <f t="shared" si="59"/>
        <v>Nanophytoplankton</v>
      </c>
      <c r="AR355" s="22">
        <v>1</v>
      </c>
      <c r="AS355" s="22">
        <v>1</v>
      </c>
      <c r="AT355" s="22">
        <v>0</v>
      </c>
      <c r="AU355" s="22">
        <v>0</v>
      </c>
      <c r="AV355" s="22">
        <v>0</v>
      </c>
      <c r="AW355" s="22">
        <v>0</v>
      </c>
      <c r="AX355" s="22">
        <v>1</v>
      </c>
      <c r="AY355" s="22">
        <v>0</v>
      </c>
    </row>
    <row r="356" spans="1:57">
      <c r="A356" s="21" t="s">
        <v>1214</v>
      </c>
      <c r="B356" s="22" t="s">
        <v>663</v>
      </c>
      <c r="C356" s="23" t="s">
        <v>822</v>
      </c>
      <c r="D356" s="23" t="s">
        <v>965</v>
      </c>
      <c r="E356" s="22" t="s">
        <v>991</v>
      </c>
      <c r="F356" s="23" t="s">
        <v>1200</v>
      </c>
      <c r="G356" s="23" t="s">
        <v>1201</v>
      </c>
      <c r="H356" s="22" t="s">
        <v>1202</v>
      </c>
      <c r="I356" s="22" t="s">
        <v>1203</v>
      </c>
      <c r="J356" s="22" t="s">
        <v>586</v>
      </c>
      <c r="N356" s="22" t="s">
        <v>1213</v>
      </c>
      <c r="O356" s="22" t="s">
        <v>962</v>
      </c>
      <c r="P356" s="21">
        <v>50570</v>
      </c>
      <c r="Q356" s="21">
        <v>12</v>
      </c>
      <c r="R356" s="21">
        <v>8.5</v>
      </c>
      <c r="S356" s="21">
        <v>8.5</v>
      </c>
      <c r="T356" s="22" t="s">
        <v>281</v>
      </c>
      <c r="U356" s="21">
        <v>0.7</v>
      </c>
      <c r="V356" s="21">
        <v>0.7</v>
      </c>
      <c r="W356" s="24">
        <f t="shared" si="60"/>
        <v>1437.078693472102</v>
      </c>
      <c r="X356" s="24">
        <f t="shared" si="62"/>
        <v>317.61099999999993</v>
      </c>
      <c r="Y356" s="21">
        <v>1</v>
      </c>
      <c r="Z356" s="24">
        <f t="shared" si="57"/>
        <v>1437.078693472102</v>
      </c>
      <c r="AA356" s="24">
        <f t="shared" si="58"/>
        <v>317.61099999999993</v>
      </c>
      <c r="AB356" s="21"/>
      <c r="AC356" s="21"/>
      <c r="AD356" s="21"/>
      <c r="AE356" s="21"/>
      <c r="AF356" s="21" t="s">
        <v>247</v>
      </c>
      <c r="AG356" s="21"/>
      <c r="AH356" s="24"/>
      <c r="AI356" s="24"/>
      <c r="AJ356" s="21">
        <v>453.9</v>
      </c>
      <c r="AK356" s="21">
        <v>12</v>
      </c>
      <c r="AL356" s="22" t="s">
        <v>161</v>
      </c>
      <c r="AM356" s="22">
        <v>0.11</v>
      </c>
      <c r="AN356" s="22" t="s">
        <v>1057</v>
      </c>
      <c r="AO356" s="22" t="s">
        <v>1057</v>
      </c>
      <c r="AP356" s="22" t="s">
        <v>963</v>
      </c>
      <c r="AQ356" s="22" t="str">
        <f t="shared" si="59"/>
        <v>Nanophytoplankton</v>
      </c>
      <c r="AR356" s="22">
        <v>1</v>
      </c>
      <c r="AS356" s="22">
        <v>1</v>
      </c>
      <c r="AT356" s="22">
        <v>0</v>
      </c>
      <c r="AU356" s="22">
        <v>0</v>
      </c>
      <c r="AV356" s="22">
        <v>0</v>
      </c>
      <c r="AW356" s="22">
        <v>0</v>
      </c>
      <c r="AX356" s="22">
        <v>1</v>
      </c>
      <c r="AY356" s="22">
        <v>0</v>
      </c>
    </row>
    <row r="357" spans="1:57">
      <c r="A357" s="21" t="s">
        <v>1215</v>
      </c>
      <c r="B357" s="22" t="s">
        <v>663</v>
      </c>
      <c r="C357" s="23" t="s">
        <v>822</v>
      </c>
      <c r="D357" s="23" t="s">
        <v>965</v>
      </c>
      <c r="E357" s="22" t="s">
        <v>991</v>
      </c>
      <c r="F357" s="23" t="s">
        <v>1200</v>
      </c>
      <c r="G357" s="23" t="s">
        <v>1201</v>
      </c>
      <c r="H357" s="22" t="s">
        <v>1202</v>
      </c>
      <c r="I357" s="22" t="s">
        <v>1203</v>
      </c>
      <c r="J357" s="22" t="s">
        <v>1216</v>
      </c>
      <c r="N357" s="22" t="s">
        <v>1217</v>
      </c>
      <c r="O357" s="22" t="s">
        <v>962</v>
      </c>
      <c r="P357" s="21">
        <v>50530</v>
      </c>
      <c r="Q357" s="21">
        <v>60</v>
      </c>
      <c r="R357" s="21">
        <v>13</v>
      </c>
      <c r="S357" s="21">
        <v>13</v>
      </c>
      <c r="T357" s="22" t="s">
        <v>281</v>
      </c>
      <c r="U357" s="21">
        <v>1</v>
      </c>
      <c r="V357" s="22">
        <v>1</v>
      </c>
      <c r="W357" s="24">
        <f t="shared" si="60"/>
        <v>7610.5271808288544</v>
      </c>
      <c r="X357" s="24">
        <f t="shared" si="62"/>
        <v>5306.5999999999995</v>
      </c>
      <c r="Y357" s="21">
        <v>1</v>
      </c>
      <c r="Z357" s="24">
        <f t="shared" si="57"/>
        <v>7610.5271808288544</v>
      </c>
      <c r="AA357" s="24">
        <f t="shared" si="58"/>
        <v>5306.5999999999995</v>
      </c>
      <c r="AB357" s="21"/>
      <c r="AC357" s="21"/>
      <c r="AD357" s="21"/>
      <c r="AE357" s="21"/>
      <c r="AF357" s="21" t="s">
        <v>247</v>
      </c>
      <c r="AG357" s="21"/>
      <c r="AH357" s="24"/>
      <c r="AI357" s="24"/>
      <c r="AJ357" s="21">
        <v>5309.3</v>
      </c>
      <c r="AK357" s="21">
        <v>60</v>
      </c>
      <c r="AL357" s="22" t="s">
        <v>161</v>
      </c>
      <c r="AM357" s="22">
        <v>0.11</v>
      </c>
      <c r="AN357" s="22" t="s">
        <v>1057</v>
      </c>
      <c r="AO357" s="22" t="s">
        <v>1057</v>
      </c>
      <c r="AP357" s="22" t="s">
        <v>963</v>
      </c>
      <c r="AQ357" s="22" t="str">
        <f t="shared" si="59"/>
        <v>Microphytoplankton</v>
      </c>
      <c r="AR357" s="22">
        <v>1</v>
      </c>
      <c r="AS357" s="22">
        <v>1</v>
      </c>
      <c r="AT357" s="22">
        <v>0</v>
      </c>
      <c r="AU357" s="22">
        <v>0</v>
      </c>
      <c r="AV357" s="22">
        <v>0</v>
      </c>
      <c r="AW357" s="22">
        <v>0</v>
      </c>
      <c r="AX357" s="22">
        <v>1</v>
      </c>
      <c r="AY357" s="22">
        <v>0</v>
      </c>
    </row>
    <row r="358" spans="1:57">
      <c r="A358" s="21" t="s">
        <v>1218</v>
      </c>
      <c r="B358" s="22" t="s">
        <v>663</v>
      </c>
      <c r="C358" s="23" t="s">
        <v>822</v>
      </c>
      <c r="D358" s="23" t="s">
        <v>965</v>
      </c>
      <c r="E358" s="22" t="s">
        <v>991</v>
      </c>
      <c r="F358" s="23" t="s">
        <v>1200</v>
      </c>
      <c r="G358" s="23" t="s">
        <v>1201</v>
      </c>
      <c r="H358" s="22" t="s">
        <v>1202</v>
      </c>
      <c r="I358" s="22" t="s">
        <v>1203</v>
      </c>
      <c r="J358" s="22" t="s">
        <v>1219</v>
      </c>
      <c r="N358" s="22" t="s">
        <v>409</v>
      </c>
      <c r="O358" s="22" t="s">
        <v>962</v>
      </c>
      <c r="P358" s="21">
        <v>50555</v>
      </c>
      <c r="Q358" s="21">
        <v>33</v>
      </c>
      <c r="R358" s="21">
        <v>19</v>
      </c>
      <c r="S358" s="21">
        <v>19</v>
      </c>
      <c r="T358" s="22" t="s">
        <v>159</v>
      </c>
      <c r="U358" s="21">
        <v>1</v>
      </c>
      <c r="V358" s="22">
        <v>1</v>
      </c>
      <c r="W358" s="24">
        <f t="shared" si="60"/>
        <v>6126.4320619192094</v>
      </c>
      <c r="X358" s="24">
        <f t="shared" si="62"/>
        <v>6234.47</v>
      </c>
      <c r="Y358" s="21">
        <v>1</v>
      </c>
      <c r="Z358" s="24">
        <f t="shared" si="57"/>
        <v>6126.4320619192094</v>
      </c>
      <c r="AA358" s="24">
        <f t="shared" si="58"/>
        <v>6234.47</v>
      </c>
      <c r="AB358" s="21"/>
      <c r="AC358" s="21"/>
      <c r="AD358" s="21"/>
      <c r="AE358" s="21"/>
      <c r="AF358" s="21"/>
      <c r="AG358" s="21"/>
      <c r="AH358" s="24"/>
      <c r="AI358" s="24"/>
      <c r="AJ358" s="21">
        <v>6274.1800000000012</v>
      </c>
      <c r="AK358" s="21">
        <v>33</v>
      </c>
      <c r="AL358" s="22" t="s">
        <v>1220</v>
      </c>
      <c r="AM358" s="22">
        <v>0.11</v>
      </c>
      <c r="AN358" s="22" t="s">
        <v>1057</v>
      </c>
      <c r="AO358" s="22" t="s">
        <v>1057</v>
      </c>
      <c r="AP358" s="22" t="s">
        <v>963</v>
      </c>
      <c r="AQ358" s="22" t="str">
        <f t="shared" si="59"/>
        <v>Microphytoplankton</v>
      </c>
      <c r="AR358" s="22">
        <v>1</v>
      </c>
      <c r="AS358" s="22">
        <v>1</v>
      </c>
      <c r="AT358" s="22">
        <v>0</v>
      </c>
      <c r="AU358" s="22">
        <v>0</v>
      </c>
      <c r="AV358" s="22">
        <v>0</v>
      </c>
      <c r="AW358" s="22">
        <v>0</v>
      </c>
      <c r="AX358" s="22">
        <v>1</v>
      </c>
      <c r="AY358" s="22">
        <v>0</v>
      </c>
    </row>
    <row r="359" spans="1:57">
      <c r="A359" s="21" t="s">
        <v>1221</v>
      </c>
      <c r="B359" s="22" t="s">
        <v>663</v>
      </c>
      <c r="C359" s="23" t="s">
        <v>822</v>
      </c>
      <c r="D359" s="23" t="s">
        <v>965</v>
      </c>
      <c r="E359" s="22" t="s">
        <v>991</v>
      </c>
      <c r="F359" s="23" t="s">
        <v>1200</v>
      </c>
      <c r="G359" s="23" t="s">
        <v>1201</v>
      </c>
      <c r="H359" s="22" t="s">
        <v>1202</v>
      </c>
      <c r="I359" s="22" t="s">
        <v>1203</v>
      </c>
      <c r="J359" s="22" t="s">
        <v>1222</v>
      </c>
      <c r="N359" s="22" t="s">
        <v>723</v>
      </c>
      <c r="O359" s="22" t="s">
        <v>962</v>
      </c>
      <c r="P359" s="21">
        <v>50560</v>
      </c>
      <c r="Q359" s="21">
        <v>14</v>
      </c>
      <c r="R359" s="21">
        <v>14</v>
      </c>
      <c r="S359" s="21">
        <v>14</v>
      </c>
      <c r="T359" s="22" t="s">
        <v>281</v>
      </c>
      <c r="U359" s="21">
        <v>1</v>
      </c>
      <c r="V359" s="22">
        <v>1</v>
      </c>
      <c r="W359" s="24">
        <f t="shared" si="60"/>
        <v>1928.1444370745123</v>
      </c>
      <c r="X359" s="24">
        <f t="shared" si="62"/>
        <v>1436.0266666666666</v>
      </c>
      <c r="Y359" s="21">
        <v>1</v>
      </c>
      <c r="Z359" s="24">
        <f t="shared" si="57"/>
        <v>1928.1444370745123</v>
      </c>
      <c r="AA359" s="24">
        <f t="shared" si="58"/>
        <v>1436.0266666666666</v>
      </c>
      <c r="AB359" s="21"/>
      <c r="AC359" s="21"/>
      <c r="AD359" s="21"/>
      <c r="AE359" s="21"/>
      <c r="AF359" s="21" t="s">
        <v>247</v>
      </c>
      <c r="AG359" s="21"/>
      <c r="AH359" s="24"/>
      <c r="AI359" s="24"/>
      <c r="AJ359" s="21">
        <v>1436</v>
      </c>
      <c r="AK359" s="21">
        <v>14</v>
      </c>
      <c r="AL359" s="22" t="s">
        <v>161</v>
      </c>
      <c r="AM359" s="22">
        <v>0.11</v>
      </c>
      <c r="AN359" s="22" t="s">
        <v>1057</v>
      </c>
      <c r="AO359" s="22" t="s">
        <v>1057</v>
      </c>
      <c r="AP359" s="22" t="s">
        <v>963</v>
      </c>
      <c r="AQ359" s="22" t="str">
        <f t="shared" si="59"/>
        <v>Nanophytoplankton</v>
      </c>
      <c r="AR359" s="22">
        <v>1</v>
      </c>
      <c r="AS359" s="22">
        <v>1</v>
      </c>
      <c r="AT359" s="22">
        <v>0</v>
      </c>
      <c r="AU359" s="22">
        <v>0</v>
      </c>
      <c r="AV359" s="22">
        <v>0</v>
      </c>
      <c r="AW359" s="22">
        <v>0</v>
      </c>
      <c r="AX359" s="22">
        <v>1</v>
      </c>
      <c r="AY359" s="22">
        <v>0</v>
      </c>
    </row>
    <row r="360" spans="1:57">
      <c r="A360" s="21" t="s">
        <v>1223</v>
      </c>
      <c r="B360" s="22" t="s">
        <v>663</v>
      </c>
      <c r="C360" s="23" t="s">
        <v>822</v>
      </c>
      <c r="D360" s="23" t="s">
        <v>965</v>
      </c>
      <c r="E360" s="22" t="s">
        <v>991</v>
      </c>
      <c r="F360" s="23" t="s">
        <v>1200</v>
      </c>
      <c r="G360" s="23" t="s">
        <v>1201</v>
      </c>
      <c r="H360" s="22" t="s">
        <v>1202</v>
      </c>
      <c r="I360" s="22" t="s">
        <v>1203</v>
      </c>
      <c r="J360" s="22" t="s">
        <v>1224</v>
      </c>
      <c r="N360" s="22" t="s">
        <v>989</v>
      </c>
      <c r="O360" s="22" t="s">
        <v>962</v>
      </c>
      <c r="P360" s="21">
        <v>50540</v>
      </c>
      <c r="Q360" s="21">
        <v>12</v>
      </c>
      <c r="R360" s="21">
        <v>6</v>
      </c>
      <c r="S360" s="21">
        <v>6</v>
      </c>
      <c r="T360" s="22" t="s">
        <v>281</v>
      </c>
      <c r="U360" s="21">
        <v>1</v>
      </c>
      <c r="V360" s="22">
        <v>1</v>
      </c>
      <c r="W360" s="24">
        <f t="shared" si="60"/>
        <v>710.08594265680301</v>
      </c>
      <c r="X360" s="24">
        <f t="shared" si="62"/>
        <v>226.07999999999996</v>
      </c>
      <c r="Y360" s="21">
        <v>1</v>
      </c>
      <c r="Z360" s="24">
        <f t="shared" si="57"/>
        <v>710.08594265680301</v>
      </c>
      <c r="AA360" s="24">
        <f t="shared" si="58"/>
        <v>226.07999999999996</v>
      </c>
      <c r="AB360" s="21"/>
      <c r="AC360" s="21"/>
      <c r="AD360" s="21"/>
      <c r="AE360" s="21"/>
      <c r="AF360" s="21" t="s">
        <v>247</v>
      </c>
      <c r="AG360" s="21"/>
      <c r="AH360" s="24"/>
      <c r="AI360" s="24"/>
      <c r="AJ360" s="21">
        <v>226.2</v>
      </c>
      <c r="AK360" s="21">
        <v>12</v>
      </c>
      <c r="AL360" s="22" t="s">
        <v>161</v>
      </c>
      <c r="AM360" s="22">
        <v>0.11</v>
      </c>
      <c r="AN360" s="22" t="s">
        <v>1057</v>
      </c>
      <c r="AO360" s="22" t="s">
        <v>1057</v>
      </c>
      <c r="AP360" s="22" t="s">
        <v>963</v>
      </c>
      <c r="AQ360" s="22" t="str">
        <f t="shared" si="59"/>
        <v>Nanophytoplankton</v>
      </c>
      <c r="AR360" s="22">
        <v>1</v>
      </c>
      <c r="AS360" s="22">
        <v>1</v>
      </c>
      <c r="AT360" s="22">
        <v>0</v>
      </c>
      <c r="AU360" s="22">
        <v>0</v>
      </c>
      <c r="AV360" s="22">
        <v>0</v>
      </c>
      <c r="AW360" s="22">
        <v>0</v>
      </c>
      <c r="AX360" s="22">
        <v>1</v>
      </c>
      <c r="AY360" s="22">
        <v>0</v>
      </c>
    </row>
    <row r="361" spans="1:57">
      <c r="A361" s="21" t="s">
        <v>1225</v>
      </c>
      <c r="B361" s="22" t="s">
        <v>663</v>
      </c>
      <c r="C361" s="23" t="s">
        <v>822</v>
      </c>
      <c r="D361" s="23" t="s">
        <v>965</v>
      </c>
      <c r="E361" s="22" t="s">
        <v>991</v>
      </c>
      <c r="F361" s="23" t="s">
        <v>1200</v>
      </c>
      <c r="G361" s="23" t="s">
        <v>1201</v>
      </c>
      <c r="H361" s="22" t="s">
        <v>1202</v>
      </c>
      <c r="I361" s="22" t="s">
        <v>1203</v>
      </c>
      <c r="J361" s="22" t="s">
        <v>211</v>
      </c>
      <c r="M361" s="22" t="s">
        <v>1</v>
      </c>
      <c r="N361" s="22" t="s">
        <v>1226</v>
      </c>
      <c r="O361" s="22" t="s">
        <v>962</v>
      </c>
      <c r="P361" s="21">
        <v>50500</v>
      </c>
      <c r="Q361" s="21">
        <v>15</v>
      </c>
      <c r="R361" s="21">
        <v>10</v>
      </c>
      <c r="S361" s="21">
        <v>10</v>
      </c>
      <c r="T361" s="22" t="s">
        <v>281</v>
      </c>
      <c r="U361" s="21">
        <v>1</v>
      </c>
      <c r="V361" s="22">
        <v>1</v>
      </c>
      <c r="W361" s="24">
        <f t="shared" si="60"/>
        <v>1474.2275035908667</v>
      </c>
      <c r="X361" s="24">
        <f t="shared" si="62"/>
        <v>785</v>
      </c>
      <c r="Y361" s="21">
        <v>1</v>
      </c>
      <c r="Z361" s="24">
        <f t="shared" si="57"/>
        <v>1474.2275035908667</v>
      </c>
      <c r="AA361" s="24">
        <f t="shared" si="58"/>
        <v>785</v>
      </c>
      <c r="AB361" s="21"/>
      <c r="AC361" s="21"/>
      <c r="AD361" s="21"/>
      <c r="AE361" s="21"/>
      <c r="AF361" s="21" t="s">
        <v>247</v>
      </c>
      <c r="AG361" s="21"/>
      <c r="AH361" s="24"/>
      <c r="AI361" s="24"/>
      <c r="AJ361" s="21">
        <v>785.4</v>
      </c>
      <c r="AK361" s="21">
        <v>15</v>
      </c>
      <c r="AL361" s="22" t="s">
        <v>161</v>
      </c>
      <c r="AM361" s="22">
        <v>0.11</v>
      </c>
      <c r="AN361" s="22" t="s">
        <v>1057</v>
      </c>
      <c r="AO361" s="22" t="s">
        <v>1057</v>
      </c>
      <c r="AP361" s="22" t="s">
        <v>963</v>
      </c>
      <c r="AQ361" s="22" t="str">
        <f t="shared" si="59"/>
        <v>Nanophytoplankton</v>
      </c>
      <c r="AR361" s="22">
        <v>1</v>
      </c>
      <c r="AS361" s="22">
        <v>1</v>
      </c>
      <c r="AT361" s="22">
        <v>0</v>
      </c>
      <c r="AU361" s="22">
        <v>0</v>
      </c>
      <c r="AV361" s="22">
        <v>0</v>
      </c>
      <c r="AW361" s="22">
        <v>0</v>
      </c>
      <c r="AX361" s="22">
        <v>1</v>
      </c>
      <c r="AY361" s="22">
        <v>0</v>
      </c>
    </row>
    <row r="362" spans="1:57">
      <c r="A362" s="21" t="s">
        <v>1227</v>
      </c>
      <c r="B362" s="22" t="s">
        <v>663</v>
      </c>
      <c r="C362" s="23" t="s">
        <v>822</v>
      </c>
      <c r="D362" s="23" t="s">
        <v>965</v>
      </c>
      <c r="E362" s="22" t="s">
        <v>991</v>
      </c>
      <c r="F362" s="23" t="s">
        <v>1200</v>
      </c>
      <c r="G362" s="23" t="s">
        <v>1201</v>
      </c>
      <c r="H362" s="22" t="s">
        <v>1202</v>
      </c>
      <c r="I362" s="22" t="s">
        <v>1203</v>
      </c>
      <c r="J362" s="22" t="s">
        <v>314</v>
      </c>
      <c r="M362" s="22" t="s">
        <v>1</v>
      </c>
      <c r="N362" s="22" t="s">
        <v>1226</v>
      </c>
      <c r="O362" s="22" t="s">
        <v>962</v>
      </c>
      <c r="P362" s="21">
        <v>50501</v>
      </c>
      <c r="Q362" s="21">
        <v>43</v>
      </c>
      <c r="R362" s="21">
        <v>13</v>
      </c>
      <c r="S362" s="21">
        <v>13</v>
      </c>
      <c r="T362" s="22" t="s">
        <v>159</v>
      </c>
      <c r="U362" s="21">
        <v>1</v>
      </c>
      <c r="V362" s="22">
        <v>1</v>
      </c>
      <c r="W362" s="24">
        <f t="shared" si="60"/>
        <v>5457.6348499890228</v>
      </c>
      <c r="X362" s="24">
        <f t="shared" si="62"/>
        <v>3803.0633333333335</v>
      </c>
      <c r="Y362" s="21">
        <v>1</v>
      </c>
      <c r="Z362" s="24">
        <f t="shared" si="57"/>
        <v>5457.6348499890228</v>
      </c>
      <c r="AA362" s="24">
        <f t="shared" si="58"/>
        <v>3803.0633333333335</v>
      </c>
      <c r="AB362" s="21"/>
      <c r="AC362" s="21"/>
      <c r="AD362" s="21"/>
      <c r="AE362" s="21"/>
      <c r="AF362" s="21" t="s">
        <v>247</v>
      </c>
      <c r="AG362" s="21"/>
      <c r="AH362" s="24"/>
      <c r="AI362" s="24"/>
      <c r="AJ362" s="21">
        <v>3827.2866666666669</v>
      </c>
      <c r="AK362" s="21">
        <v>43</v>
      </c>
      <c r="AL362" s="22" t="s">
        <v>1228</v>
      </c>
      <c r="AM362" s="22">
        <v>0.11</v>
      </c>
      <c r="AN362" s="22" t="s">
        <v>1057</v>
      </c>
      <c r="AO362" s="22" t="s">
        <v>1057</v>
      </c>
      <c r="AP362" s="22" t="s">
        <v>963</v>
      </c>
      <c r="AQ362" s="22" t="str">
        <f t="shared" si="59"/>
        <v>Microphytoplankton</v>
      </c>
      <c r="AR362" s="22">
        <v>1</v>
      </c>
      <c r="AS362" s="22">
        <v>1</v>
      </c>
      <c r="AT362" s="22">
        <v>0</v>
      </c>
      <c r="AU362" s="22">
        <v>0</v>
      </c>
      <c r="AV362" s="22">
        <v>0</v>
      </c>
      <c r="AW362" s="22">
        <v>0</v>
      </c>
      <c r="AX362" s="22">
        <v>1</v>
      </c>
      <c r="AY362" s="22">
        <v>0</v>
      </c>
    </row>
    <row r="363" spans="1:57">
      <c r="A363" s="21" t="s">
        <v>1229</v>
      </c>
      <c r="B363" s="22" t="s">
        <v>663</v>
      </c>
      <c r="C363" s="23" t="s">
        <v>822</v>
      </c>
      <c r="D363" s="23" t="s">
        <v>965</v>
      </c>
      <c r="E363" s="22" t="s">
        <v>991</v>
      </c>
      <c r="F363" s="23" t="s">
        <v>1200</v>
      </c>
      <c r="G363" s="23" t="s">
        <v>1201</v>
      </c>
      <c r="H363" s="22" t="s">
        <v>1202</v>
      </c>
      <c r="I363" s="22" t="s">
        <v>1203</v>
      </c>
      <c r="J363" s="22" t="s">
        <v>455</v>
      </c>
      <c r="M363" s="22" t="s">
        <v>1</v>
      </c>
      <c r="N363" s="22" t="s">
        <v>1226</v>
      </c>
      <c r="O363" s="22" t="s">
        <v>962</v>
      </c>
      <c r="P363" s="21">
        <v>50502</v>
      </c>
      <c r="Q363" s="21">
        <v>7</v>
      </c>
      <c r="R363" s="21">
        <v>7</v>
      </c>
      <c r="S363" s="21">
        <v>7</v>
      </c>
      <c r="T363" s="22" t="s">
        <v>246</v>
      </c>
      <c r="U363" s="21">
        <v>1</v>
      </c>
      <c r="V363" s="22">
        <v>0.3</v>
      </c>
      <c r="W363" s="25">
        <f>4*3.14*(R363/2)*(Q363/2)/V363</f>
        <v>512.86666666666679</v>
      </c>
      <c r="X363" s="25">
        <f>(3.14/6*(Q363*S363*R363))*U363</f>
        <v>179.50333333333333</v>
      </c>
      <c r="Y363" s="21">
        <v>1</v>
      </c>
      <c r="Z363" s="24">
        <f t="shared" si="57"/>
        <v>512.86666666666679</v>
      </c>
      <c r="AA363" s="24">
        <f t="shared" si="58"/>
        <v>179.50333333333333</v>
      </c>
      <c r="AB363" s="21"/>
      <c r="AC363" s="21"/>
      <c r="AD363" s="21"/>
      <c r="AE363" s="21"/>
      <c r="AF363" s="21"/>
      <c r="AG363" s="21"/>
      <c r="AH363" s="24"/>
      <c r="AI363" s="24"/>
      <c r="AJ363" s="21">
        <v>179.5</v>
      </c>
      <c r="AK363" s="21">
        <v>7</v>
      </c>
      <c r="AL363" s="22" t="s">
        <v>1230</v>
      </c>
      <c r="AM363" s="22">
        <v>0.11</v>
      </c>
      <c r="AN363" s="22" t="s">
        <v>1057</v>
      </c>
      <c r="AO363" s="22" t="s">
        <v>1057</v>
      </c>
      <c r="AP363" s="22" t="s">
        <v>963</v>
      </c>
      <c r="AQ363" s="22" t="str">
        <f t="shared" si="59"/>
        <v>Nanophytoplankton</v>
      </c>
      <c r="AR363" s="22">
        <v>1</v>
      </c>
      <c r="AS363" s="22">
        <v>1</v>
      </c>
      <c r="AT363" s="22">
        <v>0</v>
      </c>
      <c r="AU363" s="22">
        <v>0</v>
      </c>
      <c r="AV363" s="22">
        <v>0</v>
      </c>
      <c r="AW363" s="22">
        <v>0</v>
      </c>
      <c r="AX363" s="22">
        <v>1</v>
      </c>
      <c r="AY363" s="22">
        <v>0</v>
      </c>
    </row>
    <row r="364" spans="1:57">
      <c r="A364" s="21" t="s">
        <v>1231</v>
      </c>
      <c r="B364" s="22" t="s">
        <v>663</v>
      </c>
      <c r="C364" s="23" t="s">
        <v>664</v>
      </c>
      <c r="D364" s="22" t="s">
        <v>954</v>
      </c>
      <c r="E364" s="22" t="s">
        <v>955</v>
      </c>
      <c r="F364" s="23" t="s">
        <v>956</v>
      </c>
      <c r="G364" s="22" t="s">
        <v>957</v>
      </c>
      <c r="H364" s="22" t="s">
        <v>1041</v>
      </c>
      <c r="I364" s="22" t="s">
        <v>1232</v>
      </c>
      <c r="J364" s="22" t="s">
        <v>1233</v>
      </c>
      <c r="N364" s="22" t="s">
        <v>157</v>
      </c>
      <c r="O364" s="22" t="s">
        <v>962</v>
      </c>
      <c r="P364" s="21">
        <v>51410</v>
      </c>
      <c r="Q364" s="21">
        <v>7.5</v>
      </c>
      <c r="R364" s="21">
        <v>7.5</v>
      </c>
      <c r="S364" s="21">
        <v>7.5</v>
      </c>
      <c r="T364" s="22" t="s">
        <v>281</v>
      </c>
      <c r="U364" s="21">
        <v>1</v>
      </c>
      <c r="V364" s="22">
        <v>1</v>
      </c>
      <c r="W364" s="24">
        <f t="shared" ref="W364:W404" si="63">(4*3.14*(((Q364^1.6*R364^1.6+Q364^1.6*S364^1.6+R364^1.6+S364^1.6)/3)^(1/1.6)))*(1/V364)</f>
        <v>561.88729826443785</v>
      </c>
      <c r="X364" s="24">
        <f t="shared" ref="X364:X378" si="64">3.14/6*Q364*R364*S364*U364</f>
        <v>220.78125</v>
      </c>
      <c r="Y364" s="21">
        <v>1</v>
      </c>
      <c r="Z364" s="24">
        <f t="shared" si="57"/>
        <v>561.88729826443785</v>
      </c>
      <c r="AA364" s="24">
        <f t="shared" si="58"/>
        <v>220.78125</v>
      </c>
      <c r="AB364" s="21"/>
      <c r="AC364" s="21"/>
      <c r="AD364" s="21"/>
      <c r="AE364" s="21"/>
      <c r="AF364" s="21" t="s">
        <v>247</v>
      </c>
      <c r="AG364" s="21"/>
      <c r="AH364" s="24"/>
      <c r="AI364" s="24"/>
      <c r="AJ364" s="21">
        <v>220.9</v>
      </c>
      <c r="AK364" s="21">
        <v>7.5</v>
      </c>
      <c r="AL364" s="22" t="s">
        <v>161</v>
      </c>
      <c r="AM364" s="22">
        <v>0.11</v>
      </c>
      <c r="AP364" s="22" t="s">
        <v>963</v>
      </c>
      <c r="AQ364" s="22" t="str">
        <f t="shared" si="59"/>
        <v>Nanophytoplankton</v>
      </c>
      <c r="AR364" s="22">
        <v>1</v>
      </c>
      <c r="AS364" s="22">
        <v>1</v>
      </c>
      <c r="AT364" s="22">
        <v>0</v>
      </c>
      <c r="AU364" s="22">
        <v>0</v>
      </c>
      <c r="AV364" s="22">
        <v>0</v>
      </c>
      <c r="AW364" s="22">
        <v>1</v>
      </c>
      <c r="AX364" s="22">
        <v>0</v>
      </c>
      <c r="AY364" s="22">
        <v>0</v>
      </c>
    </row>
    <row r="365" spans="1:57">
      <c r="A365" s="21" t="s">
        <v>1234</v>
      </c>
      <c r="B365" s="22" t="s">
        <v>663</v>
      </c>
      <c r="C365" s="23" t="s">
        <v>822</v>
      </c>
      <c r="D365" s="23" t="s">
        <v>965</v>
      </c>
      <c r="E365" s="22" t="s">
        <v>991</v>
      </c>
      <c r="F365" s="23" t="s">
        <v>992</v>
      </c>
      <c r="G365" s="23" t="s">
        <v>1005</v>
      </c>
      <c r="H365" s="23" t="s">
        <v>1011</v>
      </c>
      <c r="I365" s="22" t="s">
        <v>1235</v>
      </c>
      <c r="J365" s="22" t="s">
        <v>1236</v>
      </c>
      <c r="N365" s="22" t="s">
        <v>157</v>
      </c>
      <c r="O365" s="22" t="s">
        <v>962</v>
      </c>
      <c r="P365" s="22">
        <v>52155</v>
      </c>
      <c r="Q365" s="21">
        <v>7</v>
      </c>
      <c r="R365" s="21">
        <v>4.5</v>
      </c>
      <c r="S365" s="21">
        <v>4.5</v>
      </c>
      <c r="T365" s="22" t="s">
        <v>281</v>
      </c>
      <c r="U365" s="21">
        <v>1</v>
      </c>
      <c r="V365" s="22">
        <v>1</v>
      </c>
      <c r="W365" s="24">
        <f t="shared" si="63"/>
        <v>315.53473794464173</v>
      </c>
      <c r="X365" s="24">
        <f t="shared" si="64"/>
        <v>74.182500000000005</v>
      </c>
      <c r="Y365" s="21">
        <v>1</v>
      </c>
      <c r="Z365" s="24">
        <f t="shared" si="57"/>
        <v>315.53473794464173</v>
      </c>
      <c r="AA365" s="24">
        <f t="shared" si="58"/>
        <v>74.182500000000005</v>
      </c>
      <c r="AB365" s="21"/>
      <c r="AC365" s="21"/>
      <c r="AD365" s="21"/>
      <c r="AE365" s="21"/>
      <c r="AF365" s="21" t="s">
        <v>247</v>
      </c>
      <c r="AG365" s="21"/>
      <c r="AH365" s="24"/>
      <c r="AI365" s="24"/>
      <c r="AJ365" s="21">
        <v>120</v>
      </c>
      <c r="AK365" s="21">
        <v>7</v>
      </c>
      <c r="AL365" s="22" t="s">
        <v>161</v>
      </c>
      <c r="AM365" s="22">
        <v>0.11</v>
      </c>
      <c r="AO365" s="22" t="s">
        <v>1015</v>
      </c>
      <c r="AP365" s="22" t="s">
        <v>963</v>
      </c>
      <c r="AQ365" s="22" t="str">
        <f t="shared" si="59"/>
        <v>Nanophytoplankton</v>
      </c>
      <c r="AR365" s="22">
        <v>1</v>
      </c>
      <c r="AS365" s="22">
        <v>1</v>
      </c>
      <c r="AT365" s="22">
        <v>0</v>
      </c>
      <c r="AU365" s="22">
        <v>0</v>
      </c>
      <c r="AV365" s="22">
        <v>0</v>
      </c>
      <c r="AW365" s="22">
        <v>0</v>
      </c>
      <c r="AX365" s="22">
        <v>1</v>
      </c>
      <c r="AY365" s="22">
        <v>0</v>
      </c>
    </row>
    <row r="366" spans="1:57">
      <c r="A366" s="21" t="s">
        <v>1237</v>
      </c>
      <c r="B366" s="22" t="s">
        <v>663</v>
      </c>
      <c r="C366" s="23" t="s">
        <v>822</v>
      </c>
      <c r="D366" s="23" t="s">
        <v>965</v>
      </c>
      <c r="E366" s="22" t="s">
        <v>991</v>
      </c>
      <c r="F366" s="23" t="s">
        <v>992</v>
      </c>
      <c r="G366" s="23" t="s">
        <v>1005</v>
      </c>
      <c r="H366" s="23" t="s">
        <v>1011</v>
      </c>
      <c r="I366" s="22" t="s">
        <v>1235</v>
      </c>
      <c r="J366" s="22" t="s">
        <v>1238</v>
      </c>
      <c r="N366" s="22" t="s">
        <v>1239</v>
      </c>
      <c r="O366" s="22" t="s">
        <v>962</v>
      </c>
      <c r="P366" s="22">
        <v>52156</v>
      </c>
      <c r="Q366" s="21">
        <v>14.2</v>
      </c>
      <c r="R366" s="21">
        <v>6</v>
      </c>
      <c r="S366" s="21">
        <v>6</v>
      </c>
      <c r="T366" s="22" t="s">
        <v>159</v>
      </c>
      <c r="U366" s="21">
        <v>1</v>
      </c>
      <c r="V366" s="22">
        <v>1</v>
      </c>
      <c r="W366" s="24">
        <f t="shared" si="63"/>
        <v>837.98270957519287</v>
      </c>
      <c r="X366" s="24">
        <f t="shared" si="64"/>
        <v>267.52799999999996</v>
      </c>
      <c r="Y366" s="21">
        <v>1</v>
      </c>
      <c r="Z366" s="24">
        <f t="shared" si="57"/>
        <v>837.98270957519287</v>
      </c>
      <c r="AA366" s="24">
        <f t="shared" si="58"/>
        <v>267.52799999999996</v>
      </c>
      <c r="AB366" s="21"/>
      <c r="AC366" s="21"/>
      <c r="AD366" s="21"/>
      <c r="AE366" s="21"/>
      <c r="AF366" s="21" t="s">
        <v>247</v>
      </c>
      <c r="AG366" s="21"/>
      <c r="AH366" s="24"/>
      <c r="AI366" s="24"/>
      <c r="AJ366" s="21">
        <v>269.23199999999997</v>
      </c>
      <c r="AK366" s="21">
        <v>14.2</v>
      </c>
      <c r="AL366" s="22" t="s">
        <v>161</v>
      </c>
      <c r="AM366" s="22">
        <v>0.11</v>
      </c>
      <c r="AO366" s="22" t="s">
        <v>1015</v>
      </c>
      <c r="AP366" s="22" t="s">
        <v>963</v>
      </c>
      <c r="AQ366" s="22" t="str">
        <f t="shared" si="59"/>
        <v>Nanophytoplankton</v>
      </c>
      <c r="AR366" s="22">
        <v>1</v>
      </c>
      <c r="AS366" s="22">
        <v>1</v>
      </c>
      <c r="AT366" s="22">
        <v>0</v>
      </c>
      <c r="AU366" s="22">
        <v>0</v>
      </c>
      <c r="AV366" s="22">
        <v>0</v>
      </c>
      <c r="AW366" s="22">
        <v>0</v>
      </c>
      <c r="AX366" s="22">
        <v>1</v>
      </c>
      <c r="AY366" s="22">
        <v>0</v>
      </c>
    </row>
    <row r="367" spans="1:57">
      <c r="A367" s="21" t="s">
        <v>1240</v>
      </c>
      <c r="B367" s="22" t="s">
        <v>663</v>
      </c>
      <c r="C367" s="23" t="s">
        <v>822</v>
      </c>
      <c r="D367" s="23" t="s">
        <v>965</v>
      </c>
      <c r="E367" s="22" t="s">
        <v>991</v>
      </c>
      <c r="F367" s="23" t="s">
        <v>992</v>
      </c>
      <c r="G367" s="23" t="s">
        <v>1005</v>
      </c>
      <c r="H367" s="23" t="s">
        <v>1011</v>
      </c>
      <c r="I367" s="22" t="s">
        <v>1235</v>
      </c>
      <c r="J367" s="22" t="s">
        <v>211</v>
      </c>
      <c r="M367" s="22" t="s">
        <v>1</v>
      </c>
      <c r="N367" s="22" t="s">
        <v>1241</v>
      </c>
      <c r="O367" s="22" t="s">
        <v>962</v>
      </c>
      <c r="P367" s="22">
        <v>52000</v>
      </c>
      <c r="Q367" s="21">
        <v>5</v>
      </c>
      <c r="R367" s="21">
        <v>5</v>
      </c>
      <c r="S367" s="21">
        <v>5</v>
      </c>
      <c r="T367" s="22" t="s">
        <v>281</v>
      </c>
      <c r="U367" s="21">
        <v>1</v>
      </c>
      <c r="V367" s="22">
        <v>1</v>
      </c>
      <c r="W367" s="24">
        <f t="shared" si="63"/>
        <v>255.14798814971115</v>
      </c>
      <c r="X367" s="24">
        <f t="shared" si="64"/>
        <v>65.416666666666671</v>
      </c>
      <c r="Y367" s="21">
        <v>1</v>
      </c>
      <c r="Z367" s="24">
        <f t="shared" si="57"/>
        <v>255.14798814971115</v>
      </c>
      <c r="AA367" s="24">
        <f t="shared" si="58"/>
        <v>65.416666666666671</v>
      </c>
      <c r="AB367" s="21"/>
      <c r="AC367" s="21"/>
      <c r="AD367" s="21"/>
      <c r="AE367" s="21"/>
      <c r="AF367" s="21" t="s">
        <v>247</v>
      </c>
      <c r="AG367" s="21"/>
      <c r="AH367" s="24"/>
      <c r="AI367" s="24"/>
      <c r="AJ367" s="21">
        <v>65.400000000000006</v>
      </c>
      <c r="AK367" s="21">
        <v>5</v>
      </c>
      <c r="AL367" s="22" t="s">
        <v>161</v>
      </c>
      <c r="AM367" s="22">
        <v>0.11</v>
      </c>
      <c r="AO367" s="22" t="s">
        <v>1015</v>
      </c>
      <c r="AP367" s="22" t="s">
        <v>963</v>
      </c>
      <c r="AQ367" s="22" t="str">
        <f t="shared" si="59"/>
        <v>Nanophytoplankton</v>
      </c>
      <c r="AR367" s="22">
        <v>1</v>
      </c>
      <c r="AS367" s="22">
        <v>1</v>
      </c>
      <c r="AT367" s="22">
        <v>0</v>
      </c>
      <c r="AU367" s="22">
        <v>0</v>
      </c>
      <c r="AV367" s="22">
        <v>0</v>
      </c>
      <c r="AW367" s="22">
        <v>0</v>
      </c>
      <c r="AX367" s="22">
        <v>1</v>
      </c>
      <c r="AY367" s="22">
        <v>0</v>
      </c>
    </row>
    <row r="368" spans="1:57">
      <c r="A368" s="21" t="s">
        <v>1242</v>
      </c>
      <c r="B368" s="22" t="s">
        <v>663</v>
      </c>
      <c r="C368" s="23" t="s">
        <v>822</v>
      </c>
      <c r="D368" s="23" t="s">
        <v>965</v>
      </c>
      <c r="E368" s="22" t="s">
        <v>991</v>
      </c>
      <c r="F368" s="23" t="s">
        <v>992</v>
      </c>
      <c r="G368" s="23" t="s">
        <v>1005</v>
      </c>
      <c r="H368" s="23" t="s">
        <v>1011</v>
      </c>
      <c r="I368" s="22" t="s">
        <v>1235</v>
      </c>
      <c r="J368" s="22" t="s">
        <v>1243</v>
      </c>
      <c r="M368" s="22" t="s">
        <v>1</v>
      </c>
      <c r="N368" s="22" t="s">
        <v>1244</v>
      </c>
      <c r="O368" s="22" t="s">
        <v>962</v>
      </c>
      <c r="P368" s="22">
        <v>52001</v>
      </c>
      <c r="Q368" s="21">
        <v>10</v>
      </c>
      <c r="R368" s="21">
        <v>10</v>
      </c>
      <c r="S368" s="21">
        <v>10</v>
      </c>
      <c r="T368" s="22" t="s">
        <v>281</v>
      </c>
      <c r="U368" s="21">
        <v>1</v>
      </c>
      <c r="V368" s="22">
        <v>1</v>
      </c>
      <c r="W368" s="24">
        <f t="shared" si="63"/>
        <v>990.0713501282612</v>
      </c>
      <c r="X368" s="24">
        <f t="shared" si="64"/>
        <v>523.33333333333337</v>
      </c>
      <c r="Y368" s="21">
        <v>1</v>
      </c>
      <c r="Z368" s="24">
        <f t="shared" si="57"/>
        <v>990.0713501282612</v>
      </c>
      <c r="AA368" s="24">
        <f t="shared" si="58"/>
        <v>523.33333333333337</v>
      </c>
      <c r="AB368" s="21"/>
      <c r="AC368" s="21"/>
      <c r="AD368" s="21"/>
      <c r="AE368" s="21"/>
      <c r="AF368" s="21" t="s">
        <v>247</v>
      </c>
      <c r="AG368" s="21"/>
      <c r="AH368" s="24"/>
      <c r="AI368" s="24"/>
      <c r="AJ368" s="21">
        <v>523.33333333333337</v>
      </c>
      <c r="AK368" s="21">
        <v>10</v>
      </c>
      <c r="AL368" s="22" t="s">
        <v>161</v>
      </c>
      <c r="AM368" s="22">
        <v>0.11</v>
      </c>
      <c r="AO368" s="22" t="s">
        <v>1015</v>
      </c>
      <c r="AP368" s="22" t="s">
        <v>963</v>
      </c>
      <c r="AQ368" s="22" t="str">
        <f t="shared" si="59"/>
        <v>Nanophytoplankton</v>
      </c>
      <c r="AR368" s="22">
        <v>1</v>
      </c>
      <c r="AS368" s="22">
        <v>1</v>
      </c>
      <c r="AT368" s="22">
        <v>0</v>
      </c>
      <c r="AU368" s="22">
        <v>0</v>
      </c>
      <c r="AV368" s="22">
        <v>0</v>
      </c>
      <c r="AW368" s="22">
        <v>0</v>
      </c>
      <c r="AX368" s="22">
        <v>1</v>
      </c>
      <c r="AY368" s="22">
        <v>0</v>
      </c>
    </row>
    <row r="369" spans="1:65">
      <c r="A369" s="21" t="s">
        <v>1245</v>
      </c>
      <c r="B369" s="22" t="s">
        <v>663</v>
      </c>
      <c r="C369" s="23" t="s">
        <v>822</v>
      </c>
      <c r="D369" s="23" t="s">
        <v>965</v>
      </c>
      <c r="E369" s="22" t="s">
        <v>991</v>
      </c>
      <c r="F369" s="23" t="s">
        <v>992</v>
      </c>
      <c r="G369" s="23" t="s">
        <v>1005</v>
      </c>
      <c r="H369" s="23" t="s">
        <v>1011</v>
      </c>
      <c r="I369" s="22" t="s">
        <v>1235</v>
      </c>
      <c r="J369" s="22" t="s">
        <v>1246</v>
      </c>
      <c r="N369" s="22" t="s">
        <v>1247</v>
      </c>
      <c r="O369" s="22" t="s">
        <v>962</v>
      </c>
      <c r="P369" s="22">
        <v>52002</v>
      </c>
      <c r="Q369" s="21">
        <v>7.5</v>
      </c>
      <c r="R369" s="21">
        <v>6.5</v>
      </c>
      <c r="S369" s="21">
        <v>6.5</v>
      </c>
      <c r="T369" s="22" t="s">
        <v>159</v>
      </c>
      <c r="U369" s="21">
        <v>1</v>
      </c>
      <c r="V369" s="22">
        <v>1</v>
      </c>
      <c r="W369" s="24">
        <f t="shared" si="63"/>
        <v>486.96899182917912</v>
      </c>
      <c r="X369" s="24">
        <f t="shared" si="64"/>
        <v>165.83124999999998</v>
      </c>
      <c r="Y369" s="21">
        <v>1</v>
      </c>
      <c r="Z369" s="24">
        <f t="shared" si="57"/>
        <v>486.96899182917912</v>
      </c>
      <c r="AA369" s="24">
        <f t="shared" si="58"/>
        <v>165.83124999999998</v>
      </c>
      <c r="AB369" s="21"/>
      <c r="AC369" s="21"/>
      <c r="AD369" s="21"/>
      <c r="AE369" s="21"/>
      <c r="AF369" s="21" t="s">
        <v>247</v>
      </c>
      <c r="AG369" s="21"/>
      <c r="AH369" s="24"/>
      <c r="AI369" s="24"/>
      <c r="AJ369" s="21">
        <v>166.88750000000002</v>
      </c>
      <c r="AK369" s="21">
        <v>7.5</v>
      </c>
      <c r="AL369" s="22" t="s">
        <v>161</v>
      </c>
      <c r="AM369" s="22">
        <v>0.11</v>
      </c>
      <c r="AO369" s="22" t="s">
        <v>1015</v>
      </c>
      <c r="AP369" s="22" t="s">
        <v>963</v>
      </c>
      <c r="AQ369" s="22" t="str">
        <f t="shared" si="59"/>
        <v>Nanophytoplankton</v>
      </c>
      <c r="AR369" s="22">
        <v>1</v>
      </c>
      <c r="AS369" s="22">
        <v>1</v>
      </c>
      <c r="AT369" s="22">
        <v>0</v>
      </c>
      <c r="AU369" s="22">
        <v>0</v>
      </c>
      <c r="AV369" s="22">
        <v>0</v>
      </c>
      <c r="AW369" s="22">
        <v>0</v>
      </c>
      <c r="AX369" s="22">
        <v>1</v>
      </c>
      <c r="AY369" s="22">
        <v>0</v>
      </c>
    </row>
    <row r="370" spans="1:65" s="21" customFormat="1">
      <c r="A370" s="21" t="s">
        <v>1248</v>
      </c>
      <c r="B370" s="22" t="s">
        <v>663</v>
      </c>
      <c r="C370" s="23" t="s">
        <v>822</v>
      </c>
      <c r="D370" s="23" t="s">
        <v>965</v>
      </c>
      <c r="E370" s="22" t="s">
        <v>991</v>
      </c>
      <c r="F370" s="23" t="s">
        <v>992</v>
      </c>
      <c r="G370" s="23" t="s">
        <v>1005</v>
      </c>
      <c r="H370" s="23" t="s">
        <v>1011</v>
      </c>
      <c r="I370" s="22" t="s">
        <v>1235</v>
      </c>
      <c r="J370" s="21" t="s">
        <v>1249</v>
      </c>
      <c r="N370" s="22" t="s">
        <v>1247</v>
      </c>
      <c r="O370" s="22" t="s">
        <v>962</v>
      </c>
      <c r="P370" s="21">
        <v>52003</v>
      </c>
      <c r="Q370" s="21">
        <v>10</v>
      </c>
      <c r="R370" s="21">
        <v>5</v>
      </c>
      <c r="S370" s="21">
        <v>5</v>
      </c>
      <c r="T370" s="22" t="s">
        <v>159</v>
      </c>
      <c r="U370" s="21">
        <v>1</v>
      </c>
      <c r="V370" s="22">
        <v>1</v>
      </c>
      <c r="W370" s="24">
        <f t="shared" si="63"/>
        <v>495.03567506413054</v>
      </c>
      <c r="X370" s="24">
        <f t="shared" si="64"/>
        <v>130.83333333333334</v>
      </c>
      <c r="Y370" s="21">
        <v>1</v>
      </c>
      <c r="Z370" s="24">
        <f t="shared" si="57"/>
        <v>495.03567506413054</v>
      </c>
      <c r="AA370" s="24">
        <f t="shared" si="58"/>
        <v>130.83333333333334</v>
      </c>
      <c r="AF370" s="21" t="s">
        <v>247</v>
      </c>
      <c r="AH370" s="24"/>
      <c r="AI370" s="24"/>
      <c r="AJ370" s="21">
        <v>130.83333333333334</v>
      </c>
      <c r="AK370" s="21">
        <v>10</v>
      </c>
      <c r="AL370" s="22" t="s">
        <v>161</v>
      </c>
      <c r="AM370" s="22">
        <v>0.11</v>
      </c>
      <c r="AN370" s="22"/>
      <c r="AO370" s="22" t="s">
        <v>1015</v>
      </c>
      <c r="AP370" s="22" t="s">
        <v>963</v>
      </c>
      <c r="AQ370" s="22" t="str">
        <f t="shared" si="59"/>
        <v>Nanophytoplankton</v>
      </c>
      <c r="AR370" s="22">
        <v>1</v>
      </c>
      <c r="AS370" s="22">
        <v>1</v>
      </c>
      <c r="AT370" s="22">
        <v>0</v>
      </c>
      <c r="AU370" s="22">
        <v>0</v>
      </c>
      <c r="AV370" s="22">
        <v>0</v>
      </c>
      <c r="AW370" s="22">
        <v>0</v>
      </c>
      <c r="AX370" s="22">
        <v>1</v>
      </c>
      <c r="AY370" s="22">
        <v>0</v>
      </c>
      <c r="AZ370" s="22"/>
      <c r="BA370" s="22"/>
      <c r="BB370" s="22"/>
      <c r="BC370" s="22"/>
      <c r="BD370" s="22"/>
      <c r="BE370" s="22"/>
      <c r="BF370" s="22"/>
      <c r="BG370" s="22"/>
      <c r="BH370" s="22"/>
      <c r="BI370" s="22"/>
      <c r="BJ370" s="22"/>
      <c r="BK370" s="22"/>
      <c r="BL370" s="22"/>
      <c r="BM370" s="22"/>
    </row>
    <row r="371" spans="1:65">
      <c r="A371" s="21" t="s">
        <v>1250</v>
      </c>
      <c r="B371" s="22" t="s">
        <v>663</v>
      </c>
      <c r="C371" s="23" t="s">
        <v>822</v>
      </c>
      <c r="D371" s="23" t="s">
        <v>965</v>
      </c>
      <c r="E371" s="22" t="s">
        <v>991</v>
      </c>
      <c r="F371" s="23" t="s">
        <v>992</v>
      </c>
      <c r="G371" s="23" t="s">
        <v>1005</v>
      </c>
      <c r="H371" s="23" t="s">
        <v>1011</v>
      </c>
      <c r="I371" s="22" t="s">
        <v>1235</v>
      </c>
      <c r="J371" s="22" t="s">
        <v>1251</v>
      </c>
      <c r="N371" s="22" t="s">
        <v>157</v>
      </c>
      <c r="O371" s="22" t="s">
        <v>962</v>
      </c>
      <c r="P371" s="21">
        <v>52150</v>
      </c>
      <c r="Q371" s="21">
        <v>29</v>
      </c>
      <c r="R371" s="21">
        <v>19</v>
      </c>
      <c r="S371" s="21">
        <v>19</v>
      </c>
      <c r="T371" s="22" t="s">
        <v>281</v>
      </c>
      <c r="U371" s="21">
        <v>1</v>
      </c>
      <c r="V371" s="22">
        <v>1</v>
      </c>
      <c r="W371" s="24">
        <f t="shared" si="63"/>
        <v>5386.6968054320851</v>
      </c>
      <c r="X371" s="24">
        <f t="shared" si="64"/>
        <v>5478.7766666666657</v>
      </c>
      <c r="Y371" s="21">
        <v>1</v>
      </c>
      <c r="Z371" s="24">
        <f t="shared" si="57"/>
        <v>5386.6968054320851</v>
      </c>
      <c r="AA371" s="24">
        <f t="shared" si="58"/>
        <v>5478.7766666666657</v>
      </c>
      <c r="AB371" s="21"/>
      <c r="AC371" s="21"/>
      <c r="AD371" s="21"/>
      <c r="AE371" s="21"/>
      <c r="AF371" s="21" t="s">
        <v>247</v>
      </c>
      <c r="AG371" s="21"/>
      <c r="AH371" s="24"/>
      <c r="AI371" s="24"/>
      <c r="AJ371" s="21">
        <v>5480</v>
      </c>
      <c r="AK371" s="21">
        <v>29</v>
      </c>
      <c r="AL371" s="22" t="s">
        <v>161</v>
      </c>
      <c r="AM371" s="22">
        <v>0.11</v>
      </c>
      <c r="AO371" s="22" t="s">
        <v>1015</v>
      </c>
      <c r="AP371" s="22" t="s">
        <v>963</v>
      </c>
      <c r="AQ371" s="22" t="str">
        <f t="shared" si="59"/>
        <v>Microphytoplankton</v>
      </c>
      <c r="AR371" s="22">
        <v>1</v>
      </c>
      <c r="AS371" s="22">
        <v>1</v>
      </c>
      <c r="AT371" s="22">
        <v>0</v>
      </c>
      <c r="AU371" s="22">
        <v>0</v>
      </c>
      <c r="AV371" s="22">
        <v>0</v>
      </c>
      <c r="AW371" s="22">
        <v>0</v>
      </c>
      <c r="AX371" s="22">
        <v>1</v>
      </c>
      <c r="AY371" s="22">
        <v>0</v>
      </c>
    </row>
    <row r="372" spans="1:65">
      <c r="A372" s="21" t="s">
        <v>1252</v>
      </c>
      <c r="B372" s="22" t="s">
        <v>663</v>
      </c>
      <c r="C372" s="23" t="s">
        <v>822</v>
      </c>
      <c r="D372" s="23" t="s">
        <v>965</v>
      </c>
      <c r="E372" s="22" t="s">
        <v>991</v>
      </c>
      <c r="F372" s="23" t="s">
        <v>992</v>
      </c>
      <c r="G372" s="23" t="s">
        <v>1005</v>
      </c>
      <c r="H372" s="22" t="s">
        <v>1022</v>
      </c>
      <c r="I372" s="22" t="s">
        <v>1253</v>
      </c>
      <c r="J372" s="22" t="s">
        <v>1254</v>
      </c>
      <c r="N372" s="22" t="s">
        <v>1173</v>
      </c>
      <c r="O372" s="22" t="s">
        <v>962</v>
      </c>
      <c r="P372" s="22">
        <v>57101</v>
      </c>
      <c r="Q372" s="21">
        <v>10</v>
      </c>
      <c r="R372" s="21">
        <v>9</v>
      </c>
      <c r="S372" s="21">
        <v>9</v>
      </c>
      <c r="T372" s="22" t="s">
        <v>159</v>
      </c>
      <c r="U372" s="21">
        <v>1</v>
      </c>
      <c r="V372" s="22">
        <v>1</v>
      </c>
      <c r="W372" s="24">
        <f t="shared" si="63"/>
        <v>891.06421511543465</v>
      </c>
      <c r="X372" s="24">
        <f t="shared" si="64"/>
        <v>423.90000000000003</v>
      </c>
      <c r="Y372" s="21">
        <v>1</v>
      </c>
      <c r="Z372" s="24">
        <f t="shared" si="57"/>
        <v>891.06421511543465</v>
      </c>
      <c r="AA372" s="24">
        <f t="shared" si="58"/>
        <v>423.90000000000003</v>
      </c>
      <c r="AB372" s="21"/>
      <c r="AC372" s="21"/>
      <c r="AD372" s="21"/>
      <c r="AE372" s="21"/>
      <c r="AF372" s="21" t="s">
        <v>247</v>
      </c>
      <c r="AG372" s="21"/>
      <c r="AH372" s="24"/>
      <c r="AI372" s="24"/>
      <c r="AJ372" s="21">
        <v>251.2</v>
      </c>
      <c r="AK372" s="21">
        <v>10</v>
      </c>
      <c r="AL372" s="22" t="s">
        <v>1255</v>
      </c>
      <c r="AM372" s="22">
        <v>0.11</v>
      </c>
      <c r="AO372" s="22" t="s">
        <v>830</v>
      </c>
      <c r="AP372" s="22" t="s">
        <v>963</v>
      </c>
      <c r="AQ372" s="22" t="str">
        <f t="shared" si="59"/>
        <v>Nanophytoplankton</v>
      </c>
      <c r="AR372" s="22">
        <v>1</v>
      </c>
      <c r="AS372" s="22">
        <v>1</v>
      </c>
      <c r="AT372" s="22">
        <v>0</v>
      </c>
      <c r="AU372" s="22">
        <v>0</v>
      </c>
      <c r="AV372" s="22">
        <v>0</v>
      </c>
      <c r="AW372" s="22">
        <v>0</v>
      </c>
      <c r="AX372" s="22">
        <v>1</v>
      </c>
      <c r="AY372" s="22">
        <v>0</v>
      </c>
    </row>
    <row r="373" spans="1:65">
      <c r="A373" s="21" t="s">
        <v>1256</v>
      </c>
      <c r="B373" s="22" t="s">
        <v>663</v>
      </c>
      <c r="C373" s="23" t="s">
        <v>822</v>
      </c>
      <c r="D373" s="23" t="s">
        <v>965</v>
      </c>
      <c r="E373" s="22" t="s">
        <v>991</v>
      </c>
      <c r="F373" s="23" t="s">
        <v>992</v>
      </c>
      <c r="G373" s="23" t="s">
        <v>1005</v>
      </c>
      <c r="H373" s="22" t="s">
        <v>1022</v>
      </c>
      <c r="I373" s="22" t="s">
        <v>1253</v>
      </c>
      <c r="J373" s="22" t="s">
        <v>1257</v>
      </c>
      <c r="N373" s="22" t="s">
        <v>1258</v>
      </c>
      <c r="O373" s="22" t="s">
        <v>962</v>
      </c>
      <c r="P373" s="22">
        <v>57104</v>
      </c>
      <c r="Q373" s="21">
        <v>5.5</v>
      </c>
      <c r="R373" s="21">
        <v>6</v>
      </c>
      <c r="S373" s="21">
        <v>6</v>
      </c>
      <c r="T373" s="22" t="s">
        <v>159</v>
      </c>
      <c r="U373" s="21">
        <v>1</v>
      </c>
      <c r="V373" s="22">
        <v>1</v>
      </c>
      <c r="W373" s="24">
        <f t="shared" si="63"/>
        <v>334.68474101167999</v>
      </c>
      <c r="X373" s="24">
        <f t="shared" si="64"/>
        <v>103.62</v>
      </c>
      <c r="Y373" s="21">
        <v>1</v>
      </c>
      <c r="Z373" s="24">
        <f t="shared" si="57"/>
        <v>334.68474101167999</v>
      </c>
      <c r="AA373" s="24">
        <f t="shared" si="58"/>
        <v>103.62</v>
      </c>
      <c r="AB373" s="21"/>
      <c r="AC373" s="21"/>
      <c r="AD373" s="21"/>
      <c r="AE373" s="21"/>
      <c r="AF373" s="21" t="s">
        <v>247</v>
      </c>
      <c r="AG373" s="21"/>
      <c r="AH373" s="24"/>
      <c r="AI373" s="24"/>
      <c r="AJ373" s="21">
        <v>104.28</v>
      </c>
      <c r="AK373" s="21">
        <v>6</v>
      </c>
      <c r="AL373" s="22" t="s">
        <v>161</v>
      </c>
      <c r="AM373" s="22">
        <v>0.11</v>
      </c>
      <c r="AO373" s="22" t="s">
        <v>830</v>
      </c>
      <c r="AP373" s="22" t="s">
        <v>963</v>
      </c>
      <c r="AQ373" s="22" t="str">
        <f t="shared" si="59"/>
        <v>Nanophytoplankton</v>
      </c>
      <c r="AR373" s="22">
        <v>1</v>
      </c>
      <c r="AS373" s="22">
        <v>1</v>
      </c>
      <c r="AT373" s="22">
        <v>0</v>
      </c>
      <c r="AU373" s="22">
        <v>0</v>
      </c>
      <c r="AV373" s="22">
        <v>0</v>
      </c>
      <c r="AW373" s="22">
        <v>0</v>
      </c>
      <c r="AX373" s="22">
        <v>1</v>
      </c>
      <c r="AY373" s="22">
        <v>0</v>
      </c>
    </row>
    <row r="374" spans="1:65">
      <c r="A374" s="22" t="s">
        <v>1259</v>
      </c>
      <c r="B374" s="22" t="s">
        <v>663</v>
      </c>
      <c r="C374" s="23" t="s">
        <v>822</v>
      </c>
      <c r="D374" s="23" t="s">
        <v>965</v>
      </c>
      <c r="E374" s="22" t="s">
        <v>991</v>
      </c>
      <c r="F374" s="23" t="s">
        <v>992</v>
      </c>
      <c r="G374" s="23" t="s">
        <v>1005</v>
      </c>
      <c r="H374" s="22" t="s">
        <v>1022</v>
      </c>
      <c r="I374" s="22" t="s">
        <v>1253</v>
      </c>
      <c r="J374" s="22" t="s">
        <v>1260</v>
      </c>
      <c r="N374" s="22" t="s">
        <v>1261</v>
      </c>
      <c r="O374" s="22" t="s">
        <v>962</v>
      </c>
      <c r="P374" s="22">
        <v>57102</v>
      </c>
      <c r="Q374" s="22">
        <v>11</v>
      </c>
      <c r="R374" s="22">
        <v>7.5</v>
      </c>
      <c r="S374" s="22">
        <v>5</v>
      </c>
      <c r="T374" s="22" t="s">
        <v>281</v>
      </c>
      <c r="U374" s="21">
        <v>1</v>
      </c>
      <c r="V374" s="22">
        <v>1</v>
      </c>
      <c r="W374" s="24">
        <f t="shared" si="63"/>
        <v>687.33528025762075</v>
      </c>
      <c r="X374" s="24">
        <f t="shared" si="64"/>
        <v>215.87500000000003</v>
      </c>
      <c r="Y374" s="21">
        <v>1</v>
      </c>
      <c r="Z374" s="24">
        <f t="shared" si="57"/>
        <v>687.33528025762075</v>
      </c>
      <c r="AA374" s="24">
        <f t="shared" si="58"/>
        <v>215.87500000000003</v>
      </c>
      <c r="AE374" s="21"/>
      <c r="AF374" s="21" t="s">
        <v>247</v>
      </c>
      <c r="AG374" s="21"/>
      <c r="AH374" s="24"/>
      <c r="AI374" s="24"/>
      <c r="AJ374" s="21">
        <v>323.8125</v>
      </c>
      <c r="AK374" s="21">
        <v>11</v>
      </c>
      <c r="AL374" s="22" t="s">
        <v>161</v>
      </c>
      <c r="AM374" s="22">
        <v>0.11</v>
      </c>
      <c r="AO374" s="22" t="s">
        <v>830</v>
      </c>
      <c r="AP374" s="22" t="s">
        <v>963</v>
      </c>
      <c r="AQ374" s="22" t="str">
        <f t="shared" si="59"/>
        <v>Nanophytoplankton</v>
      </c>
      <c r="AR374" s="22">
        <v>1</v>
      </c>
      <c r="AS374" s="22">
        <v>1</v>
      </c>
      <c r="AT374" s="22">
        <v>0</v>
      </c>
      <c r="AU374" s="22">
        <v>0</v>
      </c>
      <c r="AV374" s="22">
        <v>0</v>
      </c>
      <c r="AW374" s="22">
        <v>0</v>
      </c>
      <c r="AX374" s="22">
        <v>1</v>
      </c>
      <c r="AY374" s="22">
        <v>0</v>
      </c>
    </row>
    <row r="375" spans="1:65">
      <c r="A375" s="22" t="s">
        <v>1262</v>
      </c>
      <c r="B375" s="22" t="s">
        <v>663</v>
      </c>
      <c r="C375" s="23" t="s">
        <v>822</v>
      </c>
      <c r="D375" s="23" t="s">
        <v>965</v>
      </c>
      <c r="E375" s="22" t="s">
        <v>991</v>
      </c>
      <c r="F375" s="23" t="s">
        <v>992</v>
      </c>
      <c r="G375" s="23" t="s">
        <v>1005</v>
      </c>
      <c r="H375" s="22" t="s">
        <v>1022</v>
      </c>
      <c r="I375" s="22" t="s">
        <v>1253</v>
      </c>
      <c r="J375" s="22" t="s">
        <v>1263</v>
      </c>
      <c r="N375" s="22" t="s">
        <v>1264</v>
      </c>
      <c r="O375" s="22" t="s">
        <v>962</v>
      </c>
      <c r="P375" s="22">
        <v>57106</v>
      </c>
      <c r="Q375" s="22">
        <v>11</v>
      </c>
      <c r="R375" s="22">
        <v>6</v>
      </c>
      <c r="S375" s="22">
        <v>6</v>
      </c>
      <c r="T375" s="22" t="s">
        <v>159</v>
      </c>
      <c r="U375" s="21">
        <v>1</v>
      </c>
      <c r="V375" s="22">
        <v>1</v>
      </c>
      <c r="W375" s="24">
        <f t="shared" si="63"/>
        <v>652.03076045135776</v>
      </c>
      <c r="X375" s="24">
        <f t="shared" si="64"/>
        <v>207.24</v>
      </c>
      <c r="Y375" s="21">
        <v>1</v>
      </c>
      <c r="Z375" s="24">
        <f t="shared" si="57"/>
        <v>652.03076045135776</v>
      </c>
      <c r="AA375" s="24">
        <f t="shared" si="58"/>
        <v>207.24</v>
      </c>
      <c r="AE375" s="21"/>
      <c r="AF375" s="21" t="s">
        <v>247</v>
      </c>
      <c r="AG375" s="21"/>
      <c r="AH375" s="24"/>
      <c r="AI375" s="24"/>
      <c r="AJ375" s="21">
        <v>208.56</v>
      </c>
      <c r="AK375" s="21">
        <v>11</v>
      </c>
      <c r="AL375" s="22" t="s">
        <v>161</v>
      </c>
      <c r="AM375" s="22">
        <v>0.11</v>
      </c>
      <c r="AO375" s="22" t="s">
        <v>830</v>
      </c>
      <c r="AP375" s="22" t="s">
        <v>963</v>
      </c>
      <c r="AQ375" s="22" t="str">
        <f t="shared" si="59"/>
        <v>Nanophytoplankton</v>
      </c>
      <c r="AR375" s="22">
        <v>1</v>
      </c>
      <c r="AS375" s="22">
        <v>1</v>
      </c>
      <c r="AT375" s="22">
        <v>0</v>
      </c>
      <c r="AU375" s="22">
        <v>0</v>
      </c>
      <c r="AV375" s="22">
        <v>0</v>
      </c>
      <c r="AW375" s="22">
        <v>0</v>
      </c>
      <c r="AX375" s="22">
        <v>1</v>
      </c>
      <c r="AY375" s="22">
        <v>0</v>
      </c>
    </row>
    <row r="376" spans="1:65">
      <c r="A376" s="22" t="s">
        <v>1265</v>
      </c>
      <c r="B376" s="22" t="s">
        <v>663</v>
      </c>
      <c r="C376" s="23" t="s">
        <v>822</v>
      </c>
      <c r="D376" s="23" t="s">
        <v>965</v>
      </c>
      <c r="E376" s="22" t="s">
        <v>991</v>
      </c>
      <c r="F376" s="23" t="s">
        <v>992</v>
      </c>
      <c r="G376" s="23" t="s">
        <v>1005</v>
      </c>
      <c r="H376" s="22" t="s">
        <v>1022</v>
      </c>
      <c r="I376" s="22" t="s">
        <v>1253</v>
      </c>
      <c r="J376" s="22" t="s">
        <v>1266</v>
      </c>
      <c r="N376" s="22" t="s">
        <v>1267</v>
      </c>
      <c r="O376" s="22" t="s">
        <v>962</v>
      </c>
      <c r="P376" s="22">
        <v>57107</v>
      </c>
      <c r="Q376" s="22">
        <v>10</v>
      </c>
      <c r="R376" s="22">
        <v>10</v>
      </c>
      <c r="S376" s="22">
        <v>10</v>
      </c>
      <c r="T376" s="22" t="s">
        <v>159</v>
      </c>
      <c r="U376" s="21">
        <v>1</v>
      </c>
      <c r="V376" s="22">
        <v>1</v>
      </c>
      <c r="W376" s="24">
        <f t="shared" si="63"/>
        <v>990.0713501282612</v>
      </c>
      <c r="X376" s="24">
        <f t="shared" si="64"/>
        <v>523.33333333333337</v>
      </c>
      <c r="Y376" s="21">
        <v>1</v>
      </c>
      <c r="Z376" s="24">
        <f t="shared" si="57"/>
        <v>990.0713501282612</v>
      </c>
      <c r="AA376" s="24">
        <f t="shared" si="58"/>
        <v>523.33333333333337</v>
      </c>
      <c r="AE376" s="21"/>
      <c r="AF376" s="21" t="s">
        <v>247</v>
      </c>
      <c r="AG376" s="21"/>
      <c r="AH376" s="24"/>
      <c r="AI376" s="24"/>
      <c r="AJ376" s="21">
        <v>526.66666666666674</v>
      </c>
      <c r="AK376" s="21">
        <v>10</v>
      </c>
      <c r="AL376" s="22" t="s">
        <v>161</v>
      </c>
      <c r="AM376" s="22">
        <v>0.11</v>
      </c>
      <c r="AO376" s="22" t="s">
        <v>830</v>
      </c>
      <c r="AP376" s="22" t="s">
        <v>963</v>
      </c>
      <c r="AQ376" s="22" t="str">
        <f t="shared" si="59"/>
        <v>Nanophytoplankton</v>
      </c>
      <c r="AR376" s="22">
        <v>1</v>
      </c>
      <c r="AS376" s="22">
        <v>1</v>
      </c>
      <c r="AT376" s="22">
        <v>0</v>
      </c>
      <c r="AU376" s="22">
        <v>0</v>
      </c>
      <c r="AV376" s="22">
        <v>0</v>
      </c>
      <c r="AW376" s="22">
        <v>0</v>
      </c>
      <c r="AX376" s="22">
        <v>1</v>
      </c>
      <c r="AY376" s="22">
        <v>0</v>
      </c>
    </row>
    <row r="377" spans="1:65">
      <c r="A377" s="21" t="s">
        <v>1268</v>
      </c>
      <c r="B377" s="22" t="s">
        <v>663</v>
      </c>
      <c r="C377" s="23" t="s">
        <v>822</v>
      </c>
      <c r="D377" s="23" t="s">
        <v>965</v>
      </c>
      <c r="E377" s="22" t="s">
        <v>991</v>
      </c>
      <c r="F377" s="23" t="s">
        <v>992</v>
      </c>
      <c r="G377" s="23" t="s">
        <v>1005</v>
      </c>
      <c r="H377" s="22" t="s">
        <v>1022</v>
      </c>
      <c r="I377" s="22" t="s">
        <v>1253</v>
      </c>
      <c r="J377" s="22" t="s">
        <v>1269</v>
      </c>
      <c r="N377" s="22" t="s">
        <v>989</v>
      </c>
      <c r="O377" s="22" t="s">
        <v>962</v>
      </c>
      <c r="P377" s="22">
        <v>57100</v>
      </c>
      <c r="Q377" s="21">
        <v>7.5</v>
      </c>
      <c r="R377" s="21">
        <v>5</v>
      </c>
      <c r="S377" s="21">
        <v>5</v>
      </c>
      <c r="T377" s="22" t="s">
        <v>281</v>
      </c>
      <c r="U377" s="21">
        <v>1</v>
      </c>
      <c r="V377" s="22">
        <v>1</v>
      </c>
      <c r="W377" s="24">
        <f t="shared" si="63"/>
        <v>374.59153217629193</v>
      </c>
      <c r="X377" s="24">
        <f t="shared" si="64"/>
        <v>98.125</v>
      </c>
      <c r="Y377" s="21">
        <v>1</v>
      </c>
      <c r="Z377" s="24">
        <f t="shared" si="57"/>
        <v>374.59153217629193</v>
      </c>
      <c r="AA377" s="24">
        <f t="shared" si="58"/>
        <v>98.125</v>
      </c>
      <c r="AB377" s="21"/>
      <c r="AC377" s="21"/>
      <c r="AD377" s="21"/>
      <c r="AE377" s="21"/>
      <c r="AF377" s="21" t="s">
        <v>247</v>
      </c>
      <c r="AG377" s="21"/>
      <c r="AH377" s="24"/>
      <c r="AI377" s="24"/>
      <c r="AJ377" s="21">
        <v>147</v>
      </c>
      <c r="AK377" s="21">
        <v>7.5</v>
      </c>
      <c r="AL377" s="22" t="s">
        <v>161</v>
      </c>
      <c r="AM377" s="22">
        <v>0.11</v>
      </c>
      <c r="AO377" s="22" t="s">
        <v>830</v>
      </c>
      <c r="AP377" s="22" t="s">
        <v>963</v>
      </c>
      <c r="AQ377" s="22" t="str">
        <f t="shared" si="59"/>
        <v>Nanophytoplankton</v>
      </c>
      <c r="AR377" s="22">
        <v>1</v>
      </c>
      <c r="AS377" s="22">
        <v>1</v>
      </c>
      <c r="AT377" s="22">
        <v>0</v>
      </c>
      <c r="AU377" s="22">
        <v>0</v>
      </c>
      <c r="AV377" s="22">
        <v>0</v>
      </c>
      <c r="AW377" s="22">
        <v>0</v>
      </c>
      <c r="AX377" s="22">
        <v>1</v>
      </c>
      <c r="AY377" s="22">
        <v>0</v>
      </c>
    </row>
    <row r="378" spans="1:65">
      <c r="A378" s="22" t="s">
        <v>1270</v>
      </c>
      <c r="B378" s="22" t="s">
        <v>663</v>
      </c>
      <c r="C378" s="23" t="s">
        <v>822</v>
      </c>
      <c r="D378" s="23" t="s">
        <v>965</v>
      </c>
      <c r="E378" s="22" t="s">
        <v>991</v>
      </c>
      <c r="F378" s="23" t="s">
        <v>992</v>
      </c>
      <c r="G378" s="23" t="s">
        <v>1005</v>
      </c>
      <c r="H378" s="22" t="s">
        <v>1022</v>
      </c>
      <c r="I378" s="22" t="s">
        <v>1253</v>
      </c>
      <c r="J378" s="22" t="s">
        <v>211</v>
      </c>
      <c r="M378" s="22" t="s">
        <v>1</v>
      </c>
      <c r="N378" s="22" t="s">
        <v>1271</v>
      </c>
      <c r="O378" s="22" t="s">
        <v>962</v>
      </c>
      <c r="P378" s="22">
        <v>57103</v>
      </c>
      <c r="Q378" s="22">
        <v>6</v>
      </c>
      <c r="R378" s="22">
        <v>4</v>
      </c>
      <c r="S378" s="22">
        <v>4</v>
      </c>
      <c r="T378" s="22" t="s">
        <v>281</v>
      </c>
      <c r="U378" s="21">
        <v>1</v>
      </c>
      <c r="V378" s="22">
        <v>1</v>
      </c>
      <c r="W378" s="24">
        <f t="shared" si="63"/>
        <v>242.19202616254199</v>
      </c>
      <c r="X378" s="24">
        <f t="shared" si="64"/>
        <v>50.239999999999995</v>
      </c>
      <c r="Y378" s="21">
        <v>1</v>
      </c>
      <c r="Z378" s="24">
        <f t="shared" si="57"/>
        <v>242.19202616254199</v>
      </c>
      <c r="AA378" s="24">
        <f t="shared" si="58"/>
        <v>50.239999999999995</v>
      </c>
      <c r="AE378" s="21"/>
      <c r="AF378" s="21" t="s">
        <v>247</v>
      </c>
      <c r="AG378" s="21"/>
      <c r="AH378" s="24"/>
      <c r="AI378" s="24"/>
      <c r="AJ378" s="21">
        <v>50.239999999999995</v>
      </c>
      <c r="AK378" s="21">
        <v>6</v>
      </c>
      <c r="AL378" s="22" t="s">
        <v>161</v>
      </c>
      <c r="AM378" s="22">
        <v>0.11</v>
      </c>
      <c r="AO378" s="22" t="s">
        <v>830</v>
      </c>
      <c r="AP378" s="22" t="s">
        <v>963</v>
      </c>
      <c r="AQ378" s="22" t="str">
        <f t="shared" si="59"/>
        <v>Nanophytoplankton</v>
      </c>
      <c r="AR378" s="22">
        <v>1</v>
      </c>
      <c r="AS378" s="22">
        <v>1</v>
      </c>
      <c r="AT378" s="22">
        <v>0</v>
      </c>
      <c r="AU378" s="22">
        <v>0</v>
      </c>
      <c r="AV378" s="22">
        <v>0</v>
      </c>
      <c r="AW378" s="22">
        <v>0</v>
      </c>
      <c r="AX378" s="22">
        <v>1</v>
      </c>
      <c r="AY378" s="22">
        <v>0</v>
      </c>
    </row>
    <row r="379" spans="1:65">
      <c r="A379" s="22" t="s">
        <v>1272</v>
      </c>
      <c r="B379" s="22" t="s">
        <v>663</v>
      </c>
      <c r="C379" s="23" t="s">
        <v>822</v>
      </c>
      <c r="D379" s="23" t="s">
        <v>965</v>
      </c>
      <c r="E379" s="22" t="s">
        <v>991</v>
      </c>
      <c r="F379" s="23" t="s">
        <v>992</v>
      </c>
      <c r="G379" s="23" t="s">
        <v>1005</v>
      </c>
      <c r="H379" s="22" t="s">
        <v>1022</v>
      </c>
      <c r="I379" s="22" t="s">
        <v>1253</v>
      </c>
      <c r="J379" s="22" t="s">
        <v>1273</v>
      </c>
      <c r="N379" s="22" t="s">
        <v>1274</v>
      </c>
      <c r="O379" s="22" t="s">
        <v>962</v>
      </c>
      <c r="P379" s="22">
        <v>57105</v>
      </c>
      <c r="Q379" s="22">
        <v>6.6</v>
      </c>
      <c r="R379" s="22">
        <f>(4.4+5.3)/2</f>
        <v>4.8499999999999996</v>
      </c>
      <c r="S379" s="22">
        <f>(4.4+5.3)/2</f>
        <v>4.8499999999999996</v>
      </c>
      <c r="T379" s="21" t="s">
        <v>977</v>
      </c>
      <c r="U379" s="21">
        <v>1</v>
      </c>
      <c r="V379" s="22">
        <v>1</v>
      </c>
      <c r="W379" s="24">
        <f t="shared" si="63"/>
        <v>321.48463081804374</v>
      </c>
      <c r="X379" s="24">
        <f>3.14/12*Q379*R379*S379*U379</f>
        <v>40.623357499999997</v>
      </c>
      <c r="Y379" s="21">
        <v>1</v>
      </c>
      <c r="Z379" s="24">
        <f t="shared" si="57"/>
        <v>321.48463081804374</v>
      </c>
      <c r="AA379" s="24">
        <f t="shared" si="58"/>
        <v>40.623357499999997</v>
      </c>
      <c r="AE379" s="21"/>
      <c r="AF379" s="21" t="s">
        <v>247</v>
      </c>
      <c r="AG379" s="21"/>
      <c r="AH379" s="24"/>
      <c r="AI379" s="24"/>
      <c r="AJ379" s="21">
        <v>40.62335749999999</v>
      </c>
      <c r="AK379" s="21">
        <v>6.6</v>
      </c>
      <c r="AL379" s="22" t="s">
        <v>161</v>
      </c>
      <c r="AM379" s="22">
        <v>0.11</v>
      </c>
      <c r="AO379" s="22" t="s">
        <v>830</v>
      </c>
      <c r="AP379" s="22" t="s">
        <v>963</v>
      </c>
      <c r="AQ379" s="22" t="str">
        <f t="shared" si="59"/>
        <v>Nanophytoplankton</v>
      </c>
      <c r="AR379" s="22">
        <v>1</v>
      </c>
      <c r="AS379" s="22">
        <v>1</v>
      </c>
      <c r="AT379" s="22">
        <v>0</v>
      </c>
      <c r="AU379" s="22">
        <v>0</v>
      </c>
      <c r="AV379" s="22">
        <v>0</v>
      </c>
      <c r="AW379" s="22">
        <v>0</v>
      </c>
      <c r="AX379" s="22">
        <v>1</v>
      </c>
      <c r="AY379" s="22">
        <v>0</v>
      </c>
    </row>
    <row r="380" spans="1:65">
      <c r="A380" s="21" t="s">
        <v>1275</v>
      </c>
      <c r="B380" s="22" t="s">
        <v>663</v>
      </c>
      <c r="C380" s="23" t="s">
        <v>822</v>
      </c>
      <c r="D380" s="23" t="s">
        <v>965</v>
      </c>
      <c r="E380" s="22" t="s">
        <v>991</v>
      </c>
      <c r="F380" s="23" t="s">
        <v>1276</v>
      </c>
      <c r="G380" s="23" t="s">
        <v>1277</v>
      </c>
      <c r="H380" s="23" t="s">
        <v>1278</v>
      </c>
      <c r="I380" s="22" t="s">
        <v>1279</v>
      </c>
      <c r="J380" s="22" t="s">
        <v>211</v>
      </c>
      <c r="M380" s="22" t="s">
        <v>0</v>
      </c>
      <c r="N380" s="22" t="s">
        <v>1280</v>
      </c>
      <c r="O380" s="22" t="s">
        <v>962</v>
      </c>
      <c r="P380" s="21">
        <v>54500</v>
      </c>
      <c r="Q380" s="21">
        <v>2.5</v>
      </c>
      <c r="R380" s="21">
        <v>2.5</v>
      </c>
      <c r="S380" s="21">
        <v>2.5</v>
      </c>
      <c r="T380" s="22" t="s">
        <v>281</v>
      </c>
      <c r="U380" s="21">
        <v>1</v>
      </c>
      <c r="V380" s="21">
        <v>1</v>
      </c>
      <c r="W380" s="24">
        <f t="shared" si="63"/>
        <v>69.372421357191953</v>
      </c>
      <c r="X380" s="24">
        <f t="shared" ref="X380:X404" si="65">3.14/6*Q380*R380*S380*U380</f>
        <v>8.1770833333333339</v>
      </c>
      <c r="Y380" s="21">
        <v>6</v>
      </c>
      <c r="Z380" s="24">
        <f t="shared" si="57"/>
        <v>416.23452814315169</v>
      </c>
      <c r="AA380" s="24">
        <f t="shared" si="58"/>
        <v>49.0625</v>
      </c>
      <c r="AB380" s="21">
        <v>8</v>
      </c>
      <c r="AC380" s="21">
        <v>8</v>
      </c>
      <c r="AD380" s="21">
        <v>8</v>
      </c>
      <c r="AE380" s="21" t="s">
        <v>160</v>
      </c>
      <c r="AF380" s="21">
        <v>0.8</v>
      </c>
      <c r="AG380" s="21">
        <v>0.8</v>
      </c>
      <c r="AH380" s="24">
        <f>3.14*AC380*AB380+2*3.14*(AD380/2)^2/AG380</f>
        <v>326.56</v>
      </c>
      <c r="AI380" s="25">
        <f>(3.14/4*AC380^2*AB380)*AF380</f>
        <v>321.53600000000006</v>
      </c>
      <c r="AJ380" s="21">
        <v>8.1770833333333339</v>
      </c>
      <c r="AK380" s="21">
        <v>2.5</v>
      </c>
      <c r="AL380" s="22" t="s">
        <v>1281</v>
      </c>
      <c r="AM380" s="22">
        <v>0.11</v>
      </c>
      <c r="AO380" s="22" t="s">
        <v>830</v>
      </c>
      <c r="AP380" s="22" t="s">
        <v>963</v>
      </c>
      <c r="AQ380" s="22" t="str">
        <f t="shared" si="59"/>
        <v>Nanophytoplankton</v>
      </c>
      <c r="AR380" s="22">
        <v>1</v>
      </c>
      <c r="AS380" s="22">
        <v>1</v>
      </c>
      <c r="AT380" s="22">
        <v>0</v>
      </c>
      <c r="AU380" s="22">
        <v>1</v>
      </c>
      <c r="AV380" s="22">
        <v>0</v>
      </c>
      <c r="AW380" s="22">
        <v>0</v>
      </c>
      <c r="AX380" s="22">
        <v>1</v>
      </c>
      <c r="AY380" s="22">
        <v>0</v>
      </c>
    </row>
    <row r="381" spans="1:65">
      <c r="A381" s="22" t="s">
        <v>1282</v>
      </c>
      <c r="B381" s="22" t="s">
        <v>663</v>
      </c>
      <c r="C381" s="23" t="s">
        <v>664</v>
      </c>
      <c r="D381" s="22" t="s">
        <v>954</v>
      </c>
      <c r="E381" s="22" t="s">
        <v>955</v>
      </c>
      <c r="F381" s="23" t="s">
        <v>956</v>
      </c>
      <c r="G381" s="22" t="s">
        <v>957</v>
      </c>
      <c r="H381" s="22" t="s">
        <v>958</v>
      </c>
      <c r="I381" s="22" t="s">
        <v>1283</v>
      </c>
      <c r="J381" s="22" t="s">
        <v>1284</v>
      </c>
      <c r="N381" s="22" t="s">
        <v>167</v>
      </c>
      <c r="O381" s="22" t="s">
        <v>962</v>
      </c>
      <c r="P381" s="21">
        <v>50631</v>
      </c>
      <c r="Q381" s="22">
        <v>19</v>
      </c>
      <c r="R381" s="22">
        <v>9</v>
      </c>
      <c r="S381" s="22">
        <v>5</v>
      </c>
      <c r="T381" s="22" t="s">
        <v>281</v>
      </c>
      <c r="U381" s="21">
        <v>1</v>
      </c>
      <c r="V381" s="22">
        <v>1</v>
      </c>
      <c r="W381" s="24">
        <f t="shared" si="63"/>
        <v>1335.6338561413334</v>
      </c>
      <c r="X381" s="24">
        <f t="shared" si="65"/>
        <v>447.45</v>
      </c>
      <c r="Y381" s="21">
        <v>1</v>
      </c>
      <c r="Z381" s="24">
        <f t="shared" si="57"/>
        <v>1335.6338561413334</v>
      </c>
      <c r="AA381" s="24">
        <f t="shared" si="58"/>
        <v>447.45</v>
      </c>
      <c r="AE381" s="21"/>
      <c r="AF381" s="21" t="s">
        <v>247</v>
      </c>
      <c r="AG381" s="21"/>
      <c r="AH381" s="24"/>
      <c r="AI381" s="24"/>
      <c r="AJ381" s="21">
        <v>805.41</v>
      </c>
      <c r="AK381" s="21">
        <v>19</v>
      </c>
      <c r="AL381" s="22" t="s">
        <v>161</v>
      </c>
      <c r="AM381" s="22">
        <v>0.11</v>
      </c>
      <c r="AO381" s="22" t="s">
        <v>1057</v>
      </c>
      <c r="AP381" s="22" t="s">
        <v>963</v>
      </c>
      <c r="AQ381" s="22" t="str">
        <f t="shared" si="59"/>
        <v>Nanophytoplankton</v>
      </c>
      <c r="AR381" s="22">
        <v>1</v>
      </c>
      <c r="AS381" s="22">
        <v>1</v>
      </c>
      <c r="AT381" s="22">
        <v>0</v>
      </c>
      <c r="AU381" s="22">
        <v>0</v>
      </c>
      <c r="AV381" s="22">
        <v>0</v>
      </c>
      <c r="AW381" s="22">
        <v>1</v>
      </c>
      <c r="AX381" s="22">
        <v>0</v>
      </c>
      <c r="AY381" s="22">
        <v>0</v>
      </c>
    </row>
    <row r="382" spans="1:65">
      <c r="A382" s="21" t="s">
        <v>1285</v>
      </c>
      <c r="B382" s="22" t="s">
        <v>663</v>
      </c>
      <c r="C382" s="23" t="s">
        <v>664</v>
      </c>
      <c r="D382" s="22" t="s">
        <v>954</v>
      </c>
      <c r="E382" s="22" t="s">
        <v>955</v>
      </c>
      <c r="F382" s="23" t="s">
        <v>956</v>
      </c>
      <c r="G382" s="22" t="s">
        <v>957</v>
      </c>
      <c r="H382" s="22" t="s">
        <v>958</v>
      </c>
      <c r="I382" s="22" t="s">
        <v>1283</v>
      </c>
      <c r="J382" s="22" t="s">
        <v>1286</v>
      </c>
      <c r="N382" s="22" t="s">
        <v>1287</v>
      </c>
      <c r="O382" s="22" t="s">
        <v>962</v>
      </c>
      <c r="P382" s="21">
        <v>50630</v>
      </c>
      <c r="Q382" s="21">
        <v>9</v>
      </c>
      <c r="R382" s="21">
        <v>5</v>
      </c>
      <c r="S382" s="21">
        <v>5</v>
      </c>
      <c r="T382" s="22" t="s">
        <v>281</v>
      </c>
      <c r="U382" s="21">
        <v>1</v>
      </c>
      <c r="V382" s="22">
        <v>1</v>
      </c>
      <c r="W382" s="24">
        <f t="shared" si="63"/>
        <v>446.78391348897986</v>
      </c>
      <c r="X382" s="24">
        <f t="shared" si="65"/>
        <v>117.75</v>
      </c>
      <c r="Y382" s="21">
        <v>1</v>
      </c>
      <c r="Z382" s="24">
        <f t="shared" si="57"/>
        <v>446.78391348897986</v>
      </c>
      <c r="AA382" s="24">
        <f t="shared" si="58"/>
        <v>117.75</v>
      </c>
      <c r="AB382" s="21"/>
      <c r="AC382" s="21"/>
      <c r="AD382" s="21"/>
      <c r="AE382" s="21"/>
      <c r="AF382" s="21" t="s">
        <v>247</v>
      </c>
      <c r="AG382" s="21"/>
      <c r="AH382" s="24"/>
      <c r="AI382" s="24"/>
      <c r="AJ382" s="21">
        <v>117.8</v>
      </c>
      <c r="AK382" s="21">
        <v>9</v>
      </c>
      <c r="AL382" s="22" t="s">
        <v>161</v>
      </c>
      <c r="AM382" s="22">
        <v>0.11</v>
      </c>
      <c r="AO382" s="22" t="s">
        <v>1057</v>
      </c>
      <c r="AP382" s="22" t="s">
        <v>963</v>
      </c>
      <c r="AQ382" s="22" t="str">
        <f t="shared" si="59"/>
        <v>Nanophytoplankton</v>
      </c>
      <c r="AR382" s="22">
        <v>1</v>
      </c>
      <c r="AS382" s="22">
        <v>1</v>
      </c>
      <c r="AT382" s="22">
        <v>0</v>
      </c>
      <c r="AU382" s="22">
        <v>0</v>
      </c>
      <c r="AV382" s="22">
        <v>0</v>
      </c>
      <c r="AW382" s="22">
        <v>1</v>
      </c>
      <c r="AX382" s="22">
        <v>0</v>
      </c>
      <c r="AY382" s="22">
        <v>0</v>
      </c>
    </row>
    <row r="383" spans="1:65">
      <c r="A383" s="21" t="s">
        <v>1288</v>
      </c>
      <c r="B383" s="22" t="s">
        <v>663</v>
      </c>
      <c r="C383" s="23" t="s">
        <v>664</v>
      </c>
      <c r="D383" s="22" t="s">
        <v>954</v>
      </c>
      <c r="E383" s="22" t="s">
        <v>955</v>
      </c>
      <c r="F383" s="23" t="s">
        <v>956</v>
      </c>
      <c r="G383" s="22" t="s">
        <v>957</v>
      </c>
      <c r="H383" s="22" t="s">
        <v>958</v>
      </c>
      <c r="I383" s="22" t="s">
        <v>1283</v>
      </c>
      <c r="J383" s="22" t="s">
        <v>1289</v>
      </c>
      <c r="N383" s="22" t="s">
        <v>1290</v>
      </c>
      <c r="O383" s="22" t="s">
        <v>962</v>
      </c>
      <c r="P383" s="22">
        <v>50650</v>
      </c>
      <c r="Q383" s="21">
        <v>5</v>
      </c>
      <c r="R383" s="21">
        <v>5</v>
      </c>
      <c r="S383" s="21">
        <v>5</v>
      </c>
      <c r="T383" s="22" t="s">
        <v>281</v>
      </c>
      <c r="U383" s="21">
        <v>1</v>
      </c>
      <c r="V383" s="22">
        <v>1</v>
      </c>
      <c r="W383" s="24">
        <f t="shared" si="63"/>
        <v>255.14798814971115</v>
      </c>
      <c r="X383" s="24">
        <f t="shared" si="65"/>
        <v>65.416666666666671</v>
      </c>
      <c r="Y383" s="21">
        <v>1</v>
      </c>
      <c r="Z383" s="24">
        <f t="shared" si="57"/>
        <v>255.14798814971115</v>
      </c>
      <c r="AA383" s="24">
        <f t="shared" si="58"/>
        <v>65.416666666666671</v>
      </c>
      <c r="AB383" s="21"/>
      <c r="AC383" s="21"/>
      <c r="AD383" s="21"/>
      <c r="AE383" s="21"/>
      <c r="AF383" s="21" t="s">
        <v>247</v>
      </c>
      <c r="AG383" s="21"/>
      <c r="AH383" s="24"/>
      <c r="AI383" s="24"/>
      <c r="AJ383" s="21">
        <v>65.400000000000006</v>
      </c>
      <c r="AK383" s="21">
        <v>5</v>
      </c>
      <c r="AL383" s="22" t="s">
        <v>161</v>
      </c>
      <c r="AM383" s="22">
        <v>0.11</v>
      </c>
      <c r="AO383" s="22" t="s">
        <v>1057</v>
      </c>
      <c r="AP383" s="22" t="s">
        <v>963</v>
      </c>
      <c r="AQ383" s="22" t="str">
        <f t="shared" si="59"/>
        <v>Nanophytoplankton</v>
      </c>
      <c r="AR383" s="22">
        <v>1</v>
      </c>
      <c r="AS383" s="22">
        <v>1</v>
      </c>
      <c r="AT383" s="22">
        <v>0</v>
      </c>
      <c r="AU383" s="22">
        <v>0</v>
      </c>
      <c r="AV383" s="22">
        <v>0</v>
      </c>
      <c r="AW383" s="22">
        <v>1</v>
      </c>
      <c r="AX383" s="22">
        <v>0</v>
      </c>
      <c r="AY383" s="22">
        <v>0</v>
      </c>
    </row>
    <row r="384" spans="1:65">
      <c r="A384" s="21" t="s">
        <v>1291</v>
      </c>
      <c r="B384" s="22" t="s">
        <v>663</v>
      </c>
      <c r="C384" s="23" t="s">
        <v>664</v>
      </c>
      <c r="D384" s="22" t="s">
        <v>954</v>
      </c>
      <c r="E384" s="22" t="s">
        <v>955</v>
      </c>
      <c r="F384" s="23" t="s">
        <v>956</v>
      </c>
      <c r="G384" s="22" t="s">
        <v>957</v>
      </c>
      <c r="H384" s="22" t="s">
        <v>958</v>
      </c>
      <c r="I384" s="22" t="s">
        <v>1283</v>
      </c>
      <c r="J384" s="22" t="s">
        <v>609</v>
      </c>
      <c r="N384" s="22" t="s">
        <v>1292</v>
      </c>
      <c r="O384" s="22" t="s">
        <v>962</v>
      </c>
      <c r="P384" s="21">
        <v>50620</v>
      </c>
      <c r="Q384" s="21">
        <v>30</v>
      </c>
      <c r="R384" s="21">
        <v>10</v>
      </c>
      <c r="S384" s="21">
        <v>10</v>
      </c>
      <c r="T384" s="22" t="s">
        <v>281</v>
      </c>
      <c r="U384" s="21">
        <v>0.5</v>
      </c>
      <c r="V384" s="21">
        <v>0.5</v>
      </c>
      <c r="W384" s="24">
        <f t="shared" si="63"/>
        <v>5864.8504634979217</v>
      </c>
      <c r="X384" s="24">
        <f t="shared" si="65"/>
        <v>785</v>
      </c>
      <c r="Y384" s="21">
        <v>1</v>
      </c>
      <c r="Z384" s="24">
        <f t="shared" si="57"/>
        <v>5864.8504634979217</v>
      </c>
      <c r="AA384" s="24">
        <f t="shared" si="58"/>
        <v>785</v>
      </c>
      <c r="AB384" s="21"/>
      <c r="AC384" s="21"/>
      <c r="AD384" s="21"/>
      <c r="AE384" s="21"/>
      <c r="AF384" s="21" t="s">
        <v>247</v>
      </c>
      <c r="AG384" s="21"/>
      <c r="AH384" s="24"/>
      <c r="AI384" s="24"/>
      <c r="AJ384" s="21">
        <v>785.4</v>
      </c>
      <c r="AK384" s="21">
        <v>30</v>
      </c>
      <c r="AL384" s="22" t="s">
        <v>161</v>
      </c>
      <c r="AM384" s="22">
        <v>0.11</v>
      </c>
      <c r="AO384" s="22" t="s">
        <v>1057</v>
      </c>
      <c r="AP384" s="22" t="s">
        <v>963</v>
      </c>
      <c r="AQ384" s="22" t="str">
        <f t="shared" si="59"/>
        <v>Microphytoplankton</v>
      </c>
      <c r="AR384" s="22">
        <v>1</v>
      </c>
      <c r="AS384" s="22">
        <v>1</v>
      </c>
      <c r="AT384" s="22">
        <v>0</v>
      </c>
      <c r="AU384" s="22">
        <v>0</v>
      </c>
      <c r="AV384" s="22">
        <v>0</v>
      </c>
      <c r="AW384" s="22">
        <v>1</v>
      </c>
      <c r="AX384" s="22">
        <v>0</v>
      </c>
      <c r="AY384" s="22">
        <v>0</v>
      </c>
    </row>
    <row r="385" spans="1:51">
      <c r="A385" s="21" t="s">
        <v>1293</v>
      </c>
      <c r="B385" s="22" t="s">
        <v>663</v>
      </c>
      <c r="C385" s="23" t="s">
        <v>664</v>
      </c>
      <c r="D385" s="22" t="s">
        <v>954</v>
      </c>
      <c r="E385" s="22" t="s">
        <v>955</v>
      </c>
      <c r="F385" s="23" t="s">
        <v>956</v>
      </c>
      <c r="G385" s="22" t="s">
        <v>957</v>
      </c>
      <c r="H385" s="22" t="s">
        <v>958</v>
      </c>
      <c r="I385" s="22" t="s">
        <v>1283</v>
      </c>
      <c r="J385" s="22" t="s">
        <v>1294</v>
      </c>
      <c r="N385" s="22" t="s">
        <v>1295</v>
      </c>
      <c r="O385" s="22" t="s">
        <v>962</v>
      </c>
      <c r="P385" s="21">
        <v>50640</v>
      </c>
      <c r="Q385" s="21">
        <v>10</v>
      </c>
      <c r="R385" s="21">
        <v>10</v>
      </c>
      <c r="S385" s="21">
        <v>10</v>
      </c>
      <c r="T385" s="22" t="s">
        <v>281</v>
      </c>
      <c r="U385" s="21">
        <v>1</v>
      </c>
      <c r="V385" s="22">
        <v>1</v>
      </c>
      <c r="W385" s="24">
        <f t="shared" si="63"/>
        <v>990.0713501282612</v>
      </c>
      <c r="X385" s="24">
        <f t="shared" si="65"/>
        <v>523.33333333333337</v>
      </c>
      <c r="Y385" s="21">
        <v>1</v>
      </c>
      <c r="Z385" s="24">
        <f t="shared" si="57"/>
        <v>990.0713501282612</v>
      </c>
      <c r="AA385" s="24">
        <f t="shared" si="58"/>
        <v>523.33333333333337</v>
      </c>
      <c r="AB385" s="21"/>
      <c r="AC385" s="21"/>
      <c r="AD385" s="21"/>
      <c r="AE385" s="21"/>
      <c r="AF385" s="21" t="s">
        <v>247</v>
      </c>
      <c r="AG385" s="21"/>
      <c r="AH385" s="24"/>
      <c r="AI385" s="24"/>
      <c r="AJ385" s="21">
        <v>523.6</v>
      </c>
      <c r="AK385" s="21">
        <v>10</v>
      </c>
      <c r="AL385" s="22" t="s">
        <v>161</v>
      </c>
      <c r="AM385" s="22">
        <v>0.11</v>
      </c>
      <c r="AO385" s="22" t="s">
        <v>1057</v>
      </c>
      <c r="AP385" s="22" t="s">
        <v>963</v>
      </c>
      <c r="AQ385" s="22" t="str">
        <f t="shared" si="59"/>
        <v>Nanophytoplankton</v>
      </c>
      <c r="AR385" s="22">
        <v>1</v>
      </c>
      <c r="AS385" s="22">
        <v>1</v>
      </c>
      <c r="AT385" s="22">
        <v>0</v>
      </c>
      <c r="AU385" s="22">
        <v>0</v>
      </c>
      <c r="AV385" s="22">
        <v>0</v>
      </c>
      <c r="AW385" s="22">
        <v>1</v>
      </c>
      <c r="AX385" s="22">
        <v>0</v>
      </c>
      <c r="AY385" s="22">
        <v>0</v>
      </c>
    </row>
    <row r="386" spans="1:51">
      <c r="A386" s="21" t="s">
        <v>1296</v>
      </c>
      <c r="B386" s="22" t="s">
        <v>663</v>
      </c>
      <c r="C386" s="23" t="s">
        <v>664</v>
      </c>
      <c r="D386" s="22" t="s">
        <v>954</v>
      </c>
      <c r="E386" s="22" t="s">
        <v>955</v>
      </c>
      <c r="F386" s="23" t="s">
        <v>956</v>
      </c>
      <c r="G386" s="22" t="s">
        <v>957</v>
      </c>
      <c r="H386" s="22" t="s">
        <v>958</v>
      </c>
      <c r="I386" s="22" t="s">
        <v>1283</v>
      </c>
      <c r="J386" s="22" t="s">
        <v>211</v>
      </c>
      <c r="M386" s="22" t="s">
        <v>1</v>
      </c>
      <c r="N386" s="22" t="s">
        <v>986</v>
      </c>
      <c r="O386" s="22" t="s">
        <v>962</v>
      </c>
      <c r="P386" s="21">
        <v>50600</v>
      </c>
      <c r="Q386" s="21">
        <v>10</v>
      </c>
      <c r="R386" s="21">
        <v>10</v>
      </c>
      <c r="S386" s="21">
        <v>10</v>
      </c>
      <c r="T386" s="22" t="s">
        <v>281</v>
      </c>
      <c r="U386" s="21">
        <v>1</v>
      </c>
      <c r="V386" s="22">
        <v>1</v>
      </c>
      <c r="W386" s="24">
        <f t="shared" si="63"/>
        <v>990.0713501282612</v>
      </c>
      <c r="X386" s="24">
        <f t="shared" si="65"/>
        <v>523.33333333333337</v>
      </c>
      <c r="Y386" s="21">
        <v>1</v>
      </c>
      <c r="Z386" s="24">
        <f t="shared" ref="Z386:Z449" si="66">Y386*W386</f>
        <v>990.0713501282612</v>
      </c>
      <c r="AA386" s="24">
        <f t="shared" ref="AA386:AA449" si="67">Y386*X386</f>
        <v>523.33333333333337</v>
      </c>
      <c r="AB386" s="21"/>
      <c r="AC386" s="21"/>
      <c r="AD386" s="21"/>
      <c r="AE386" s="21"/>
      <c r="AF386" s="21" t="s">
        <v>247</v>
      </c>
      <c r="AG386" s="21"/>
      <c r="AH386" s="24"/>
      <c r="AI386" s="24"/>
      <c r="AJ386" s="21">
        <v>523.6</v>
      </c>
      <c r="AK386" s="21">
        <v>10</v>
      </c>
      <c r="AL386" s="22" t="s">
        <v>161</v>
      </c>
      <c r="AM386" s="22">
        <v>0.11</v>
      </c>
      <c r="AO386" s="22" t="s">
        <v>1057</v>
      </c>
      <c r="AP386" s="22" t="s">
        <v>963</v>
      </c>
      <c r="AQ386" s="22" t="str">
        <f t="shared" ref="AQ386:AQ449" si="68">IF(AND($AK386&lt;20,AJ386&lt;10000),"Nanophytoplankton","Microphytoplankton")</f>
        <v>Nanophytoplankton</v>
      </c>
      <c r="AR386" s="22">
        <v>1</v>
      </c>
      <c r="AS386" s="22">
        <v>1</v>
      </c>
      <c r="AT386" s="22">
        <v>0</v>
      </c>
      <c r="AU386" s="22">
        <v>0</v>
      </c>
      <c r="AV386" s="22">
        <v>0</v>
      </c>
      <c r="AW386" s="22">
        <v>1</v>
      </c>
      <c r="AX386" s="22">
        <v>0</v>
      </c>
      <c r="AY386" s="22">
        <v>0</v>
      </c>
    </row>
    <row r="387" spans="1:51">
      <c r="A387" s="21" t="s">
        <v>1297</v>
      </c>
      <c r="B387" s="22" t="s">
        <v>663</v>
      </c>
      <c r="C387" s="23" t="s">
        <v>822</v>
      </c>
      <c r="D387" s="23" t="s">
        <v>965</v>
      </c>
      <c r="E387" s="22" t="s">
        <v>991</v>
      </c>
      <c r="F387" s="23" t="s">
        <v>992</v>
      </c>
      <c r="I387" s="22" t="s">
        <v>1298</v>
      </c>
      <c r="J387" s="22" t="s">
        <v>1299</v>
      </c>
      <c r="N387" s="22" t="s">
        <v>574</v>
      </c>
      <c r="O387" s="22" t="s">
        <v>962</v>
      </c>
      <c r="P387" s="21">
        <v>53100</v>
      </c>
      <c r="Q387" s="21">
        <v>10</v>
      </c>
      <c r="R387" s="21">
        <v>10</v>
      </c>
      <c r="S387" s="21">
        <v>10</v>
      </c>
      <c r="T387" s="21" t="s">
        <v>281</v>
      </c>
      <c r="U387" s="21">
        <v>1</v>
      </c>
      <c r="V387" s="21">
        <v>1</v>
      </c>
      <c r="W387" s="24">
        <f t="shared" si="63"/>
        <v>990.0713501282612</v>
      </c>
      <c r="X387" s="24">
        <f t="shared" si="65"/>
        <v>523.33333333333337</v>
      </c>
      <c r="Y387" s="21">
        <v>300</v>
      </c>
      <c r="Z387" s="24">
        <f t="shared" si="66"/>
        <v>297021.40503847838</v>
      </c>
      <c r="AA387" s="24">
        <f t="shared" si="67"/>
        <v>157000</v>
      </c>
      <c r="AB387" s="21">
        <v>100</v>
      </c>
      <c r="AC387" s="21">
        <v>100</v>
      </c>
      <c r="AD387" s="21">
        <v>100</v>
      </c>
      <c r="AE387" s="21" t="s">
        <v>246</v>
      </c>
      <c r="AF387" s="21">
        <v>0.2</v>
      </c>
      <c r="AG387" s="21">
        <v>1</v>
      </c>
      <c r="AH387" s="25">
        <f>4*3.14*(AC387/2)*(AB387/2)/AG387</f>
        <v>31400</v>
      </c>
      <c r="AI387" s="25">
        <f>(3.14/6*(AD387*AB387*AC387))*AF387</f>
        <v>104666.66666666667</v>
      </c>
      <c r="AJ387" s="21">
        <v>157080</v>
      </c>
      <c r="AK387" s="21">
        <v>100</v>
      </c>
      <c r="AL387" s="22" t="s">
        <v>161</v>
      </c>
      <c r="AM387" s="22">
        <v>0.11</v>
      </c>
      <c r="AP387" s="22" t="s">
        <v>963</v>
      </c>
      <c r="AQ387" s="22" t="str">
        <f t="shared" si="68"/>
        <v>Microphytoplankton</v>
      </c>
      <c r="AR387" s="22">
        <v>1</v>
      </c>
      <c r="AS387" s="22">
        <v>1</v>
      </c>
      <c r="AT387" s="22">
        <v>0</v>
      </c>
      <c r="AU387" s="22">
        <v>0</v>
      </c>
      <c r="AV387" s="22">
        <v>0</v>
      </c>
      <c r="AW387" s="22">
        <v>0</v>
      </c>
      <c r="AX387" s="22">
        <v>1</v>
      </c>
      <c r="AY387" s="22">
        <v>0</v>
      </c>
    </row>
    <row r="388" spans="1:51">
      <c r="A388" s="21" t="s">
        <v>1300</v>
      </c>
      <c r="B388" s="22" t="s">
        <v>663</v>
      </c>
      <c r="C388" s="23" t="s">
        <v>664</v>
      </c>
      <c r="D388" s="22" t="s">
        <v>954</v>
      </c>
      <c r="E388" s="22" t="s">
        <v>955</v>
      </c>
      <c r="F388" s="23" t="s">
        <v>956</v>
      </c>
      <c r="G388" s="22" t="s">
        <v>957</v>
      </c>
      <c r="H388" s="22" t="s">
        <v>958</v>
      </c>
      <c r="I388" s="22" t="s">
        <v>1301</v>
      </c>
      <c r="J388" s="22" t="s">
        <v>1302</v>
      </c>
      <c r="N388" s="22" t="s">
        <v>961</v>
      </c>
      <c r="O388" s="22" t="s">
        <v>962</v>
      </c>
      <c r="P388" s="21">
        <v>55001</v>
      </c>
      <c r="Q388" s="21">
        <v>20</v>
      </c>
      <c r="R388" s="21">
        <v>3</v>
      </c>
      <c r="S388" s="21">
        <v>3</v>
      </c>
      <c r="T388" s="22" t="s">
        <v>281</v>
      </c>
      <c r="U388" s="21">
        <v>1</v>
      </c>
      <c r="V388" s="22">
        <v>1</v>
      </c>
      <c r="W388" s="24">
        <f t="shared" si="63"/>
        <v>587.92743277266425</v>
      </c>
      <c r="X388" s="24">
        <f t="shared" si="65"/>
        <v>94.199999999999989</v>
      </c>
      <c r="Y388" s="21">
        <v>1</v>
      </c>
      <c r="Z388" s="24">
        <f t="shared" si="66"/>
        <v>587.92743277266425</v>
      </c>
      <c r="AA388" s="24">
        <f t="shared" si="67"/>
        <v>94.199999999999989</v>
      </c>
      <c r="AB388" s="21"/>
      <c r="AC388" s="21"/>
      <c r="AD388" s="21"/>
      <c r="AE388" s="21"/>
      <c r="AF388" s="21" t="s">
        <v>247</v>
      </c>
      <c r="AG388" s="21"/>
      <c r="AH388" s="24"/>
      <c r="AI388" s="24"/>
      <c r="AJ388" s="21">
        <v>56</v>
      </c>
      <c r="AK388" s="21">
        <v>20</v>
      </c>
      <c r="AL388" s="22" t="s">
        <v>161</v>
      </c>
      <c r="AM388" s="22">
        <v>0.11</v>
      </c>
      <c r="AP388" s="22" t="s">
        <v>963</v>
      </c>
      <c r="AQ388" s="22" t="str">
        <f t="shared" si="68"/>
        <v>Microphytoplankton</v>
      </c>
      <c r="AR388" s="22">
        <v>1</v>
      </c>
      <c r="AS388" s="22">
        <v>1</v>
      </c>
      <c r="AT388" s="22">
        <v>0</v>
      </c>
      <c r="AU388" s="22">
        <v>0</v>
      </c>
      <c r="AV388" s="22">
        <v>0</v>
      </c>
      <c r="AW388" s="22">
        <v>1</v>
      </c>
      <c r="AX388" s="22">
        <v>0</v>
      </c>
      <c r="AY388" s="22">
        <v>0</v>
      </c>
    </row>
    <row r="389" spans="1:51">
      <c r="A389" s="21" t="s">
        <v>1303</v>
      </c>
      <c r="B389" s="22" t="s">
        <v>663</v>
      </c>
      <c r="C389" s="23" t="s">
        <v>822</v>
      </c>
      <c r="D389" s="23" t="s">
        <v>965</v>
      </c>
      <c r="E389" s="22" t="s">
        <v>991</v>
      </c>
      <c r="F389" s="23" t="s">
        <v>1304</v>
      </c>
      <c r="G389" s="23" t="s">
        <v>1305</v>
      </c>
      <c r="H389" s="23" t="s">
        <v>1306</v>
      </c>
      <c r="I389" s="22" t="s">
        <v>1307</v>
      </c>
      <c r="J389" s="22" t="s">
        <v>1308</v>
      </c>
      <c r="K389" s="22" t="s">
        <v>175</v>
      </c>
      <c r="L389" s="22" t="s">
        <v>1309</v>
      </c>
      <c r="N389" s="22" t="s">
        <v>409</v>
      </c>
      <c r="O389" s="22" t="s">
        <v>962</v>
      </c>
      <c r="P389" s="21">
        <v>56100</v>
      </c>
      <c r="Q389" s="21">
        <v>6</v>
      </c>
      <c r="R389" s="21">
        <v>6</v>
      </c>
      <c r="S389" s="21">
        <v>6</v>
      </c>
      <c r="T389" s="21" t="s">
        <v>281</v>
      </c>
      <c r="U389" s="21">
        <v>1</v>
      </c>
      <c r="V389" s="21">
        <v>1</v>
      </c>
      <c r="W389" s="24">
        <f t="shared" si="63"/>
        <v>363.28803924381305</v>
      </c>
      <c r="X389" s="24">
        <f t="shared" si="65"/>
        <v>113.03999999999998</v>
      </c>
      <c r="Y389" s="21">
        <v>12</v>
      </c>
      <c r="Z389" s="24">
        <f t="shared" si="66"/>
        <v>4359.4564709257565</v>
      </c>
      <c r="AA389" s="24">
        <f t="shared" si="67"/>
        <v>1356.4799999999998</v>
      </c>
      <c r="AB389" s="21">
        <v>24</v>
      </c>
      <c r="AC389" s="21">
        <v>24</v>
      </c>
      <c r="AD389" s="21">
        <v>6</v>
      </c>
      <c r="AE389" s="21" t="s">
        <v>159</v>
      </c>
      <c r="AF389" s="21">
        <v>0.7</v>
      </c>
      <c r="AG389" s="21">
        <v>1</v>
      </c>
      <c r="AH389" s="24">
        <f>(4*3.14*(((AB389^1.6*AC389^1.6+AB389^1.6*AD389^1.6+AC389^1.6+AD389^1.6)/3)^(1/1.6)))*(1/AG389)</f>
        <v>3898.7383901294888</v>
      </c>
      <c r="AI389" s="24">
        <f>3.14/6*AB389*AC389*AD389*AF389</f>
        <v>1266.0479999999998</v>
      </c>
      <c r="AJ389" s="21">
        <v>1050</v>
      </c>
      <c r="AK389" s="21">
        <v>50</v>
      </c>
      <c r="AL389" s="22" t="s">
        <v>161</v>
      </c>
      <c r="AM389" s="22">
        <v>0.11</v>
      </c>
      <c r="AP389" s="22" t="s">
        <v>963</v>
      </c>
      <c r="AQ389" s="22" t="str">
        <f t="shared" si="68"/>
        <v>Microphytoplankton</v>
      </c>
      <c r="AR389" s="22">
        <v>0</v>
      </c>
      <c r="AS389" s="22">
        <v>0</v>
      </c>
      <c r="AT389" s="22">
        <v>0</v>
      </c>
      <c r="AU389" s="22">
        <v>1</v>
      </c>
      <c r="AV389" s="22">
        <v>0</v>
      </c>
      <c r="AW389" s="22">
        <v>0</v>
      </c>
      <c r="AX389" s="22">
        <v>1</v>
      </c>
      <c r="AY389" s="22">
        <v>0</v>
      </c>
    </row>
    <row r="390" spans="1:51">
      <c r="A390" s="21" t="s">
        <v>1310</v>
      </c>
      <c r="B390" s="22" t="s">
        <v>663</v>
      </c>
      <c r="C390" s="23" t="s">
        <v>822</v>
      </c>
      <c r="D390" s="23" t="s">
        <v>965</v>
      </c>
      <c r="E390" s="22" t="s">
        <v>991</v>
      </c>
      <c r="F390" s="23" t="s">
        <v>1304</v>
      </c>
      <c r="G390" s="23" t="s">
        <v>1305</v>
      </c>
      <c r="H390" s="23" t="s">
        <v>1306</v>
      </c>
      <c r="I390" s="22" t="s">
        <v>1307</v>
      </c>
      <c r="J390" s="22" t="s">
        <v>1308</v>
      </c>
      <c r="K390" s="22" t="s">
        <v>175</v>
      </c>
      <c r="L390" s="22" t="s">
        <v>1311</v>
      </c>
      <c r="N390" s="22" t="s">
        <v>409</v>
      </c>
      <c r="O390" s="22" t="s">
        <v>962</v>
      </c>
      <c r="P390" s="21">
        <v>56102</v>
      </c>
      <c r="Q390" s="21">
        <v>6</v>
      </c>
      <c r="R390" s="21">
        <v>6</v>
      </c>
      <c r="S390" s="21">
        <v>6</v>
      </c>
      <c r="T390" s="21" t="s">
        <v>281</v>
      </c>
      <c r="U390" s="21">
        <v>1</v>
      </c>
      <c r="V390" s="21">
        <v>1</v>
      </c>
      <c r="W390" s="24">
        <f t="shared" si="63"/>
        <v>363.28803924381305</v>
      </c>
      <c r="X390" s="24">
        <f t="shared" si="65"/>
        <v>113.03999999999998</v>
      </c>
      <c r="Y390" s="21">
        <v>1</v>
      </c>
      <c r="Z390" s="24">
        <f t="shared" si="66"/>
        <v>363.28803924381305</v>
      </c>
      <c r="AA390" s="24">
        <f t="shared" si="67"/>
        <v>113.03999999999998</v>
      </c>
      <c r="AB390" s="21"/>
      <c r="AC390" s="21"/>
      <c r="AD390" s="21"/>
      <c r="AE390" s="21"/>
      <c r="AF390" s="21"/>
      <c r="AG390" s="21"/>
      <c r="AH390" s="24"/>
      <c r="AI390" s="24"/>
      <c r="AJ390" s="21">
        <v>113.04</v>
      </c>
      <c r="AK390" s="21">
        <v>6</v>
      </c>
      <c r="AL390" s="22" t="s">
        <v>161</v>
      </c>
      <c r="AM390" s="22">
        <v>0.11</v>
      </c>
      <c r="AQ390" s="22" t="str">
        <f t="shared" si="68"/>
        <v>Nanophytoplankton</v>
      </c>
      <c r="AR390" s="22">
        <v>0</v>
      </c>
      <c r="AS390" s="22">
        <v>0</v>
      </c>
      <c r="AT390" s="22">
        <v>0</v>
      </c>
      <c r="AU390" s="22">
        <v>1</v>
      </c>
      <c r="AV390" s="22">
        <v>0</v>
      </c>
      <c r="AW390" s="22">
        <v>0</v>
      </c>
      <c r="AX390" s="22">
        <v>1</v>
      </c>
      <c r="AY390" s="22">
        <v>0</v>
      </c>
    </row>
    <row r="391" spans="1:51">
      <c r="A391" s="21" t="s">
        <v>1312</v>
      </c>
      <c r="B391" s="22" t="s">
        <v>663</v>
      </c>
      <c r="C391" s="23" t="s">
        <v>822</v>
      </c>
      <c r="D391" s="23" t="s">
        <v>965</v>
      </c>
      <c r="E391" s="22" t="s">
        <v>991</v>
      </c>
      <c r="F391" s="23" t="s">
        <v>992</v>
      </c>
      <c r="G391" s="23" t="s">
        <v>1005</v>
      </c>
      <c r="H391" s="23" t="s">
        <v>1022</v>
      </c>
      <c r="I391" s="22" t="s">
        <v>1313</v>
      </c>
      <c r="J391" s="22" t="s">
        <v>1314</v>
      </c>
      <c r="N391" s="22" t="s">
        <v>1173</v>
      </c>
      <c r="O391" s="22" t="s">
        <v>962</v>
      </c>
      <c r="P391" s="21">
        <v>56101</v>
      </c>
      <c r="Q391" s="21">
        <v>16</v>
      </c>
      <c r="R391" s="21">
        <v>6.8</v>
      </c>
      <c r="S391" s="21">
        <v>6.8</v>
      </c>
      <c r="T391" s="22" t="s">
        <v>159</v>
      </c>
      <c r="U391" s="21">
        <v>0.9</v>
      </c>
      <c r="V391" s="21">
        <v>0.9</v>
      </c>
      <c r="W391" s="24">
        <f t="shared" si="63"/>
        <v>1187.1737981369256</v>
      </c>
      <c r="X391" s="24">
        <f t="shared" si="65"/>
        <v>348.46463999999997</v>
      </c>
      <c r="Y391" s="21">
        <v>1</v>
      </c>
      <c r="Z391" s="24">
        <f t="shared" si="66"/>
        <v>1187.1737981369256</v>
      </c>
      <c r="AA391" s="24">
        <f t="shared" si="67"/>
        <v>348.46463999999997</v>
      </c>
      <c r="AB391" s="21"/>
      <c r="AC391" s="21"/>
      <c r="AD391" s="21"/>
      <c r="AE391" s="21"/>
      <c r="AF391" s="21" t="s">
        <v>247</v>
      </c>
      <c r="AG391" s="21"/>
      <c r="AH391" s="24"/>
      <c r="AI391" s="24"/>
      <c r="AJ391" s="21">
        <v>389.64906666666667</v>
      </c>
      <c r="AK391" s="21">
        <v>16</v>
      </c>
      <c r="AL391" s="22" t="s">
        <v>161</v>
      </c>
      <c r="AM391" s="22">
        <v>0.11</v>
      </c>
      <c r="AQ391" s="22" t="str">
        <f t="shared" si="68"/>
        <v>Nanophytoplankton</v>
      </c>
      <c r="AR391" s="22">
        <v>1</v>
      </c>
      <c r="AS391" s="22">
        <v>1</v>
      </c>
      <c r="AT391" s="22">
        <v>0</v>
      </c>
      <c r="AU391" s="22">
        <v>0</v>
      </c>
      <c r="AV391" s="22">
        <v>0</v>
      </c>
      <c r="AW391" s="22">
        <v>0</v>
      </c>
      <c r="AX391" s="22">
        <v>1</v>
      </c>
      <c r="AY391" s="22">
        <v>0</v>
      </c>
    </row>
    <row r="392" spans="1:51">
      <c r="A392" s="21" t="s">
        <v>1315</v>
      </c>
      <c r="B392" s="22" t="s">
        <v>663</v>
      </c>
      <c r="C392" s="23" t="s">
        <v>822</v>
      </c>
      <c r="D392" s="23" t="s">
        <v>965</v>
      </c>
      <c r="E392" s="22" t="s">
        <v>991</v>
      </c>
      <c r="F392" s="23" t="s">
        <v>992</v>
      </c>
      <c r="I392" s="22" t="s">
        <v>1316</v>
      </c>
      <c r="J392" s="21">
        <v>114</v>
      </c>
      <c r="K392" s="21"/>
      <c r="L392" s="21"/>
      <c r="O392" s="22" t="s">
        <v>962</v>
      </c>
      <c r="P392" s="21">
        <v>51816</v>
      </c>
      <c r="Q392" s="21">
        <v>5.7</v>
      </c>
      <c r="R392" s="21">
        <v>5.7</v>
      </c>
      <c r="S392" s="21">
        <v>5.7</v>
      </c>
      <c r="T392" s="22" t="s">
        <v>281</v>
      </c>
      <c r="U392" s="21">
        <v>1</v>
      </c>
      <c r="V392" s="22">
        <v>1</v>
      </c>
      <c r="W392" s="24">
        <f t="shared" si="63"/>
        <v>328.80990925974595</v>
      </c>
      <c r="X392" s="24">
        <f t="shared" si="65"/>
        <v>96.917670000000001</v>
      </c>
      <c r="Y392" s="21">
        <v>1</v>
      </c>
      <c r="Z392" s="24">
        <f t="shared" si="66"/>
        <v>328.80990925974595</v>
      </c>
      <c r="AA392" s="24">
        <f t="shared" si="67"/>
        <v>96.917670000000001</v>
      </c>
      <c r="AB392" s="21"/>
      <c r="AC392" s="21"/>
      <c r="AD392" s="21"/>
      <c r="AE392" s="21"/>
      <c r="AF392" s="21" t="s">
        <v>247</v>
      </c>
      <c r="AG392" s="21"/>
      <c r="AH392" s="24"/>
      <c r="AI392" s="24"/>
      <c r="AJ392" s="21">
        <v>96.9</v>
      </c>
      <c r="AK392" s="21">
        <v>6</v>
      </c>
      <c r="AL392" s="22" t="s">
        <v>161</v>
      </c>
      <c r="AM392" s="22">
        <v>0.11</v>
      </c>
      <c r="AP392" s="22" t="s">
        <v>963</v>
      </c>
      <c r="AQ392" s="22" t="str">
        <f t="shared" si="68"/>
        <v>Nanophytoplankton</v>
      </c>
      <c r="AR392" s="22">
        <v>0</v>
      </c>
      <c r="AS392" s="22">
        <v>0</v>
      </c>
      <c r="AT392" s="22">
        <v>0</v>
      </c>
      <c r="AU392" s="22">
        <v>0</v>
      </c>
      <c r="AV392" s="22">
        <v>0</v>
      </c>
      <c r="AW392" s="22">
        <v>0</v>
      </c>
      <c r="AX392" s="22">
        <v>1</v>
      </c>
      <c r="AY392" s="22">
        <v>0</v>
      </c>
    </row>
    <row r="393" spans="1:51">
      <c r="A393" s="21" t="s">
        <v>1317</v>
      </c>
      <c r="B393" s="22" t="s">
        <v>663</v>
      </c>
      <c r="C393" s="23" t="s">
        <v>822</v>
      </c>
      <c r="D393" s="23" t="s">
        <v>965</v>
      </c>
      <c r="E393" s="22" t="s">
        <v>991</v>
      </c>
      <c r="F393" s="23" t="s">
        <v>992</v>
      </c>
      <c r="I393" s="22" t="s">
        <v>1316</v>
      </c>
      <c r="J393" s="21">
        <v>130</v>
      </c>
      <c r="K393" s="21"/>
      <c r="L393" s="21"/>
      <c r="O393" s="22" t="s">
        <v>962</v>
      </c>
      <c r="P393" s="21">
        <v>51827</v>
      </c>
      <c r="Q393" s="21">
        <v>5</v>
      </c>
      <c r="R393" s="21">
        <v>5</v>
      </c>
      <c r="S393" s="21">
        <v>5</v>
      </c>
      <c r="T393" s="22" t="s">
        <v>281</v>
      </c>
      <c r="U393" s="21">
        <v>0.99</v>
      </c>
      <c r="V393" s="22">
        <v>1</v>
      </c>
      <c r="W393" s="24">
        <f t="shared" si="63"/>
        <v>255.14798814971115</v>
      </c>
      <c r="X393" s="24">
        <f t="shared" si="65"/>
        <v>64.762500000000003</v>
      </c>
      <c r="Y393" s="21">
        <v>1</v>
      </c>
      <c r="Z393" s="24">
        <f t="shared" si="66"/>
        <v>255.14798814971115</v>
      </c>
      <c r="AA393" s="24">
        <f t="shared" si="67"/>
        <v>64.762500000000003</v>
      </c>
      <c r="AB393" s="21"/>
      <c r="AC393" s="21"/>
      <c r="AD393" s="21"/>
      <c r="AE393" s="21"/>
      <c r="AF393" s="21" t="s">
        <v>247</v>
      </c>
      <c r="AG393" s="21"/>
      <c r="AH393" s="24"/>
      <c r="AI393" s="24"/>
      <c r="AJ393" s="21">
        <v>65.175000000000011</v>
      </c>
      <c r="AK393" s="21">
        <v>5</v>
      </c>
      <c r="AL393" s="22" t="s">
        <v>161</v>
      </c>
      <c r="AM393" s="22">
        <v>0.11</v>
      </c>
      <c r="AP393" s="22" t="s">
        <v>963</v>
      </c>
      <c r="AQ393" s="22" t="str">
        <f t="shared" si="68"/>
        <v>Nanophytoplankton</v>
      </c>
      <c r="AR393" s="22">
        <v>0</v>
      </c>
      <c r="AS393" s="22">
        <v>0</v>
      </c>
      <c r="AT393" s="22">
        <v>0</v>
      </c>
      <c r="AU393" s="22">
        <v>0</v>
      </c>
      <c r="AV393" s="22">
        <v>0</v>
      </c>
      <c r="AW393" s="22">
        <v>0</v>
      </c>
      <c r="AX393" s="22">
        <v>1</v>
      </c>
      <c r="AY393" s="22">
        <v>0</v>
      </c>
    </row>
    <row r="394" spans="1:51">
      <c r="A394" s="21" t="s">
        <v>1318</v>
      </c>
      <c r="B394" s="22" t="s">
        <v>663</v>
      </c>
      <c r="C394" s="23" t="s">
        <v>822</v>
      </c>
      <c r="D394" s="23" t="s">
        <v>965</v>
      </c>
      <c r="E394" s="22" t="s">
        <v>991</v>
      </c>
      <c r="F394" s="23" t="s">
        <v>992</v>
      </c>
      <c r="I394" s="22" t="s">
        <v>1316</v>
      </c>
      <c r="J394" s="21">
        <v>153</v>
      </c>
      <c r="K394" s="21"/>
      <c r="L394" s="21"/>
      <c r="O394" s="22" t="s">
        <v>962</v>
      </c>
      <c r="P394" s="21">
        <v>51817</v>
      </c>
      <c r="Q394" s="21">
        <v>12.5</v>
      </c>
      <c r="R394" s="21">
        <v>12.5</v>
      </c>
      <c r="S394" s="21">
        <v>12.5</v>
      </c>
      <c r="T394" s="22" t="s">
        <v>281</v>
      </c>
      <c r="U394" s="21">
        <v>1</v>
      </c>
      <c r="V394" s="22">
        <v>1</v>
      </c>
      <c r="W394" s="24">
        <f t="shared" si="63"/>
        <v>1539.8633109221721</v>
      </c>
      <c r="X394" s="24">
        <f t="shared" si="65"/>
        <v>1022.1354166666666</v>
      </c>
      <c r="Y394" s="21">
        <v>1</v>
      </c>
      <c r="Z394" s="24">
        <f t="shared" si="66"/>
        <v>1539.8633109221721</v>
      </c>
      <c r="AA394" s="24">
        <f t="shared" si="67"/>
        <v>1022.1354166666666</v>
      </c>
      <c r="AB394" s="21"/>
      <c r="AC394" s="21"/>
      <c r="AD394" s="21"/>
      <c r="AE394" s="21"/>
      <c r="AF394" s="21" t="s">
        <v>247</v>
      </c>
      <c r="AG394" s="21"/>
      <c r="AH394" s="24"/>
      <c r="AI394" s="24"/>
      <c r="AJ394" s="21">
        <v>1950</v>
      </c>
      <c r="AK394" s="21">
        <v>12.5</v>
      </c>
      <c r="AL394" s="22" t="s">
        <v>161</v>
      </c>
      <c r="AM394" s="22">
        <v>0.11</v>
      </c>
      <c r="AP394" s="22" t="s">
        <v>963</v>
      </c>
      <c r="AQ394" s="22" t="str">
        <f t="shared" si="68"/>
        <v>Nanophytoplankton</v>
      </c>
      <c r="AR394" s="22">
        <v>0</v>
      </c>
      <c r="AS394" s="22">
        <v>0</v>
      </c>
      <c r="AT394" s="22">
        <v>0</v>
      </c>
      <c r="AU394" s="22">
        <v>0</v>
      </c>
      <c r="AV394" s="22">
        <v>0</v>
      </c>
      <c r="AW394" s="22">
        <v>0</v>
      </c>
      <c r="AX394" s="22">
        <v>1</v>
      </c>
      <c r="AY394" s="22">
        <v>0</v>
      </c>
    </row>
    <row r="395" spans="1:51">
      <c r="A395" s="21" t="s">
        <v>1319</v>
      </c>
      <c r="B395" s="22" t="s">
        <v>663</v>
      </c>
      <c r="C395" s="23" t="s">
        <v>822</v>
      </c>
      <c r="D395" s="23" t="s">
        <v>965</v>
      </c>
      <c r="E395" s="22" t="s">
        <v>991</v>
      </c>
      <c r="F395" s="23" t="s">
        <v>992</v>
      </c>
      <c r="I395" s="22" t="s">
        <v>1316</v>
      </c>
      <c r="J395" s="21" t="s">
        <v>1320</v>
      </c>
      <c r="K395" s="21"/>
      <c r="L395" s="21"/>
      <c r="O395" s="22" t="s">
        <v>962</v>
      </c>
      <c r="P395" s="21">
        <v>51823</v>
      </c>
      <c r="Q395" s="21">
        <v>13.43</v>
      </c>
      <c r="R395" s="21">
        <v>13.4</v>
      </c>
      <c r="S395" s="21">
        <v>13.4</v>
      </c>
      <c r="T395" s="22" t="s">
        <v>281</v>
      </c>
      <c r="U395" s="21">
        <v>1</v>
      </c>
      <c r="V395" s="22">
        <v>1</v>
      </c>
      <c r="W395" s="24">
        <f t="shared" si="63"/>
        <v>1771.4703777155578</v>
      </c>
      <c r="X395" s="24">
        <f t="shared" si="65"/>
        <v>1262.0135186666666</v>
      </c>
      <c r="Y395" s="21">
        <v>1</v>
      </c>
      <c r="Z395" s="24">
        <f t="shared" si="66"/>
        <v>1771.4703777155578</v>
      </c>
      <c r="AA395" s="24">
        <f t="shared" si="67"/>
        <v>1262.0135186666666</v>
      </c>
      <c r="AB395" s="21"/>
      <c r="AC395" s="21"/>
      <c r="AD395" s="21"/>
      <c r="AE395" s="21"/>
      <c r="AF395" s="21" t="s">
        <v>247</v>
      </c>
      <c r="AG395" s="21"/>
      <c r="AH395" s="24"/>
      <c r="AI395" s="24"/>
      <c r="AJ395" s="21">
        <v>1266</v>
      </c>
      <c r="AK395" s="21">
        <v>14</v>
      </c>
      <c r="AL395" s="22" t="s">
        <v>161</v>
      </c>
      <c r="AM395" s="22">
        <v>0.11</v>
      </c>
      <c r="AP395" s="22" t="s">
        <v>963</v>
      </c>
      <c r="AQ395" s="22" t="str">
        <f t="shared" si="68"/>
        <v>Nanophytoplankton</v>
      </c>
      <c r="AR395" s="22">
        <v>0</v>
      </c>
      <c r="AS395" s="22">
        <v>0</v>
      </c>
      <c r="AT395" s="22">
        <v>0</v>
      </c>
      <c r="AU395" s="22">
        <v>0</v>
      </c>
      <c r="AV395" s="22">
        <v>0</v>
      </c>
      <c r="AW395" s="22">
        <v>0</v>
      </c>
      <c r="AX395" s="22">
        <v>1</v>
      </c>
      <c r="AY395" s="22">
        <v>0</v>
      </c>
    </row>
    <row r="396" spans="1:51">
      <c r="A396" s="21" t="s">
        <v>1321</v>
      </c>
      <c r="B396" s="22" t="s">
        <v>663</v>
      </c>
      <c r="C396" s="23" t="s">
        <v>822</v>
      </c>
      <c r="D396" s="23" t="s">
        <v>965</v>
      </c>
      <c r="E396" s="22" t="s">
        <v>991</v>
      </c>
      <c r="F396" s="23" t="s">
        <v>992</v>
      </c>
      <c r="I396" s="22" t="s">
        <v>1316</v>
      </c>
      <c r="J396" s="21">
        <v>219</v>
      </c>
      <c r="K396" s="21"/>
      <c r="L396" s="21"/>
      <c r="O396" s="22" t="s">
        <v>962</v>
      </c>
      <c r="P396" s="21">
        <v>51818</v>
      </c>
      <c r="Q396" s="21">
        <v>14</v>
      </c>
      <c r="R396" s="21">
        <v>14</v>
      </c>
      <c r="S396" s="21">
        <v>14</v>
      </c>
      <c r="T396" s="22" t="s">
        <v>281</v>
      </c>
      <c r="U396" s="21">
        <v>1</v>
      </c>
      <c r="V396" s="22">
        <v>1</v>
      </c>
      <c r="W396" s="24">
        <f t="shared" si="63"/>
        <v>1928.1444370745123</v>
      </c>
      <c r="X396" s="24">
        <f t="shared" si="65"/>
        <v>1436.0266666666666</v>
      </c>
      <c r="Y396" s="21">
        <v>1</v>
      </c>
      <c r="Z396" s="24">
        <f t="shared" si="66"/>
        <v>1928.1444370745123</v>
      </c>
      <c r="AA396" s="24">
        <f t="shared" si="67"/>
        <v>1436.0266666666666</v>
      </c>
      <c r="AB396" s="21"/>
      <c r="AC396" s="21"/>
      <c r="AD396" s="21"/>
      <c r="AE396" s="21"/>
      <c r="AF396" s="21" t="s">
        <v>247</v>
      </c>
      <c r="AG396" s="21"/>
      <c r="AH396" s="24"/>
      <c r="AI396" s="24"/>
      <c r="AJ396" s="21">
        <v>2740</v>
      </c>
      <c r="AK396" s="21">
        <v>14</v>
      </c>
      <c r="AL396" s="22" t="s">
        <v>161</v>
      </c>
      <c r="AM396" s="22">
        <v>0.11</v>
      </c>
      <c r="AP396" s="22" t="s">
        <v>963</v>
      </c>
      <c r="AQ396" s="22" t="str">
        <f t="shared" si="68"/>
        <v>Nanophytoplankton</v>
      </c>
      <c r="AR396" s="22">
        <v>0</v>
      </c>
      <c r="AS396" s="22">
        <v>0</v>
      </c>
      <c r="AT396" s="22">
        <v>0</v>
      </c>
      <c r="AU396" s="22">
        <v>0</v>
      </c>
      <c r="AV396" s="22">
        <v>0</v>
      </c>
      <c r="AW396" s="22">
        <v>0</v>
      </c>
      <c r="AX396" s="22">
        <v>1</v>
      </c>
      <c r="AY396" s="22">
        <v>0</v>
      </c>
    </row>
    <row r="397" spans="1:51">
      <c r="A397" s="21" t="s">
        <v>1322</v>
      </c>
      <c r="B397" s="22" t="s">
        <v>663</v>
      </c>
      <c r="C397" s="23" t="s">
        <v>822</v>
      </c>
      <c r="D397" s="23" t="s">
        <v>965</v>
      </c>
      <c r="E397" s="22" t="s">
        <v>991</v>
      </c>
      <c r="F397" s="23" t="s">
        <v>992</v>
      </c>
      <c r="I397" s="22" t="s">
        <v>1316</v>
      </c>
      <c r="J397" s="21" t="s">
        <v>1323</v>
      </c>
      <c r="K397" s="21"/>
      <c r="L397" s="21"/>
      <c r="O397" s="22" t="s">
        <v>962</v>
      </c>
      <c r="P397" s="21">
        <v>51824</v>
      </c>
      <c r="Q397" s="21">
        <v>14.7</v>
      </c>
      <c r="R397" s="21">
        <v>14.7</v>
      </c>
      <c r="S397" s="21">
        <v>14.7</v>
      </c>
      <c r="T397" s="22" t="s">
        <v>281</v>
      </c>
      <c r="U397" s="21">
        <v>1</v>
      </c>
      <c r="V397" s="22">
        <v>1</v>
      </c>
      <c r="W397" s="24">
        <f t="shared" si="63"/>
        <v>2124.3372215266609</v>
      </c>
      <c r="X397" s="24">
        <f t="shared" si="65"/>
        <v>1662.3803699999999</v>
      </c>
      <c r="Y397" s="21">
        <v>1</v>
      </c>
      <c r="Z397" s="24">
        <f t="shared" si="66"/>
        <v>2124.3372215266609</v>
      </c>
      <c r="AA397" s="24">
        <f t="shared" si="67"/>
        <v>1662.3803699999999</v>
      </c>
      <c r="AB397" s="21"/>
      <c r="AC397" s="21"/>
      <c r="AD397" s="21"/>
      <c r="AE397" s="21"/>
      <c r="AF397" s="21" t="s">
        <v>247</v>
      </c>
      <c r="AG397" s="21"/>
      <c r="AH397" s="24"/>
      <c r="AI397" s="24"/>
      <c r="AJ397" s="21">
        <v>1670</v>
      </c>
      <c r="AK397" s="21">
        <v>15</v>
      </c>
      <c r="AL397" s="22" t="s">
        <v>161</v>
      </c>
      <c r="AM397" s="22">
        <v>0.11</v>
      </c>
      <c r="AP397" s="22" t="s">
        <v>963</v>
      </c>
      <c r="AQ397" s="22" t="str">
        <f t="shared" si="68"/>
        <v>Nanophytoplankton</v>
      </c>
      <c r="AR397" s="22">
        <v>0</v>
      </c>
      <c r="AS397" s="22">
        <v>0</v>
      </c>
      <c r="AT397" s="22">
        <v>0</v>
      </c>
      <c r="AU397" s="22">
        <v>0</v>
      </c>
      <c r="AV397" s="22">
        <v>0</v>
      </c>
      <c r="AW397" s="22">
        <v>0</v>
      </c>
      <c r="AX397" s="22">
        <v>1</v>
      </c>
      <c r="AY397" s="22">
        <v>0</v>
      </c>
    </row>
    <row r="398" spans="1:51">
      <c r="A398" s="21" t="s">
        <v>1324</v>
      </c>
      <c r="B398" s="22" t="s">
        <v>663</v>
      </c>
      <c r="C398" s="23" t="s">
        <v>822</v>
      </c>
      <c r="D398" s="23" t="s">
        <v>965</v>
      </c>
      <c r="E398" s="22" t="s">
        <v>991</v>
      </c>
      <c r="F398" s="23" t="s">
        <v>992</v>
      </c>
      <c r="I398" s="22" t="s">
        <v>1316</v>
      </c>
      <c r="J398" s="21" t="s">
        <v>1325</v>
      </c>
      <c r="K398" s="21"/>
      <c r="L398" s="21"/>
      <c r="O398" s="22" t="s">
        <v>962</v>
      </c>
      <c r="P398" s="21">
        <v>51821</v>
      </c>
      <c r="Q398" s="21">
        <v>15.7</v>
      </c>
      <c r="R398" s="21">
        <v>15.7</v>
      </c>
      <c r="S398" s="21">
        <v>15.7</v>
      </c>
      <c r="T398" s="22" t="s">
        <v>281</v>
      </c>
      <c r="U398" s="21">
        <v>1</v>
      </c>
      <c r="V398" s="22">
        <v>1</v>
      </c>
      <c r="W398" s="24">
        <f t="shared" si="63"/>
        <v>2421.1677353881478</v>
      </c>
      <c r="X398" s="24">
        <f t="shared" si="65"/>
        <v>2025.2440033333332</v>
      </c>
      <c r="Y398" s="21">
        <v>1</v>
      </c>
      <c r="Z398" s="24">
        <f t="shared" si="66"/>
        <v>2421.1677353881478</v>
      </c>
      <c r="AA398" s="24">
        <f t="shared" si="67"/>
        <v>2025.2440033333332</v>
      </c>
      <c r="AB398" s="21"/>
      <c r="AC398" s="21"/>
      <c r="AD398" s="21"/>
      <c r="AE398" s="21"/>
      <c r="AF398" s="21" t="s">
        <v>247</v>
      </c>
      <c r="AG398" s="21"/>
      <c r="AH398" s="24"/>
      <c r="AI398" s="24"/>
      <c r="AJ398" s="21">
        <v>2028</v>
      </c>
      <c r="AK398" s="21">
        <v>16</v>
      </c>
      <c r="AL398" s="22" t="s">
        <v>161</v>
      </c>
      <c r="AM398" s="22">
        <v>0.11</v>
      </c>
      <c r="AP398" s="22" t="s">
        <v>963</v>
      </c>
      <c r="AQ398" s="22" t="str">
        <f t="shared" si="68"/>
        <v>Nanophytoplankton</v>
      </c>
      <c r="AR398" s="22">
        <v>0</v>
      </c>
      <c r="AS398" s="22">
        <v>0</v>
      </c>
      <c r="AT398" s="22">
        <v>0</v>
      </c>
      <c r="AU398" s="22">
        <v>0</v>
      </c>
      <c r="AV398" s="22">
        <v>0</v>
      </c>
      <c r="AW398" s="22">
        <v>0</v>
      </c>
      <c r="AX398" s="22">
        <v>1</v>
      </c>
      <c r="AY398" s="22">
        <v>0</v>
      </c>
    </row>
    <row r="399" spans="1:51">
      <c r="A399" s="21" t="s">
        <v>1326</v>
      </c>
      <c r="B399" s="22" t="s">
        <v>663</v>
      </c>
      <c r="C399" s="23" t="s">
        <v>822</v>
      </c>
      <c r="D399" s="23" t="s">
        <v>965</v>
      </c>
      <c r="E399" s="22" t="s">
        <v>991</v>
      </c>
      <c r="F399" s="23" t="s">
        <v>992</v>
      </c>
      <c r="I399" s="22" t="s">
        <v>1316</v>
      </c>
      <c r="J399" s="21" t="s">
        <v>1327</v>
      </c>
      <c r="K399" s="21"/>
      <c r="L399" s="21"/>
      <c r="O399" s="22" t="s">
        <v>962</v>
      </c>
      <c r="P399" s="21">
        <v>51820</v>
      </c>
      <c r="Q399" s="21">
        <v>14.29</v>
      </c>
      <c r="R399" s="21">
        <v>14.29</v>
      </c>
      <c r="S399" s="21">
        <v>14.29</v>
      </c>
      <c r="T399" s="22" t="s">
        <v>281</v>
      </c>
      <c r="U399" s="21">
        <v>1</v>
      </c>
      <c r="V399" s="22">
        <v>1</v>
      </c>
      <c r="W399" s="24">
        <f t="shared" si="63"/>
        <v>2008.2664852209268</v>
      </c>
      <c r="X399" s="24">
        <f t="shared" si="65"/>
        <v>1527.1267482433329</v>
      </c>
      <c r="Y399" s="21">
        <v>1</v>
      </c>
      <c r="Z399" s="24">
        <f t="shared" si="66"/>
        <v>2008.2664852209268</v>
      </c>
      <c r="AA399" s="24">
        <f t="shared" si="67"/>
        <v>1527.1267482433329</v>
      </c>
      <c r="AB399" s="21"/>
      <c r="AC399" s="21"/>
      <c r="AD399" s="21"/>
      <c r="AE399" s="21"/>
      <c r="AF399" s="21" t="s">
        <v>247</v>
      </c>
      <c r="AG399" s="21"/>
      <c r="AH399" s="24"/>
      <c r="AI399" s="24"/>
      <c r="AJ399" s="21">
        <v>1531</v>
      </c>
      <c r="AK399" s="21">
        <v>14</v>
      </c>
      <c r="AL399" s="22" t="s">
        <v>161</v>
      </c>
      <c r="AM399" s="22">
        <v>0.11</v>
      </c>
      <c r="AP399" s="22" t="s">
        <v>963</v>
      </c>
      <c r="AQ399" s="22" t="str">
        <f t="shared" si="68"/>
        <v>Nanophytoplankton</v>
      </c>
      <c r="AR399" s="22">
        <v>0</v>
      </c>
      <c r="AS399" s="22">
        <v>0</v>
      </c>
      <c r="AT399" s="22">
        <v>0</v>
      </c>
      <c r="AU399" s="22">
        <v>0</v>
      </c>
      <c r="AV399" s="22">
        <v>0</v>
      </c>
      <c r="AW399" s="22">
        <v>0</v>
      </c>
      <c r="AX399" s="22">
        <v>1</v>
      </c>
      <c r="AY399" s="22">
        <v>0</v>
      </c>
    </row>
    <row r="400" spans="1:51">
      <c r="A400" s="21" t="s">
        <v>1326</v>
      </c>
      <c r="B400" s="22" t="s">
        <v>663</v>
      </c>
      <c r="C400" s="23" t="s">
        <v>822</v>
      </c>
      <c r="D400" s="23" t="s">
        <v>965</v>
      </c>
      <c r="E400" s="22" t="s">
        <v>991</v>
      </c>
      <c r="F400" s="23" t="s">
        <v>992</v>
      </c>
      <c r="I400" s="22" t="s">
        <v>1316</v>
      </c>
      <c r="J400" s="21" t="s">
        <v>1327</v>
      </c>
      <c r="K400" s="21"/>
      <c r="L400" s="21"/>
      <c r="O400" s="22" t="s">
        <v>962</v>
      </c>
      <c r="P400" s="21">
        <v>51822</v>
      </c>
      <c r="Q400" s="21">
        <v>16.13</v>
      </c>
      <c r="R400" s="21">
        <v>16.13</v>
      </c>
      <c r="S400" s="21">
        <v>16.13</v>
      </c>
      <c r="T400" s="22" t="s">
        <v>281</v>
      </c>
      <c r="U400" s="21">
        <v>1</v>
      </c>
      <c r="V400" s="22">
        <v>1</v>
      </c>
      <c r="W400" s="24">
        <f t="shared" si="63"/>
        <v>2554.7933969574929</v>
      </c>
      <c r="X400" s="24">
        <f t="shared" si="65"/>
        <v>2196.2486110966661</v>
      </c>
      <c r="Y400" s="21">
        <v>1</v>
      </c>
      <c r="Z400" s="24">
        <f t="shared" si="66"/>
        <v>2554.7933969574929</v>
      </c>
      <c r="AA400" s="24">
        <f t="shared" si="67"/>
        <v>2196.2486110966661</v>
      </c>
      <c r="AB400" s="21"/>
      <c r="AC400" s="21"/>
      <c r="AD400" s="21"/>
      <c r="AE400" s="21"/>
      <c r="AF400" s="21" t="s">
        <v>247</v>
      </c>
      <c r="AG400" s="21"/>
      <c r="AH400" s="24"/>
      <c r="AI400" s="24"/>
      <c r="AJ400" s="21">
        <v>2195</v>
      </c>
      <c r="AK400" s="21">
        <v>16</v>
      </c>
      <c r="AL400" s="22" t="s">
        <v>161</v>
      </c>
      <c r="AM400" s="22">
        <v>0.11</v>
      </c>
      <c r="AP400" s="22" t="s">
        <v>963</v>
      </c>
      <c r="AQ400" s="22" t="str">
        <f t="shared" si="68"/>
        <v>Nanophytoplankton</v>
      </c>
      <c r="AR400" s="22">
        <v>0</v>
      </c>
      <c r="AS400" s="22">
        <v>0</v>
      </c>
      <c r="AT400" s="22">
        <v>0</v>
      </c>
      <c r="AU400" s="22">
        <v>0</v>
      </c>
      <c r="AV400" s="22">
        <v>0</v>
      </c>
      <c r="AW400" s="22">
        <v>0</v>
      </c>
      <c r="AX400" s="22">
        <v>1</v>
      </c>
      <c r="AY400" s="22">
        <v>0</v>
      </c>
    </row>
    <row r="401" spans="1:57">
      <c r="A401" s="21" t="s">
        <v>1328</v>
      </c>
      <c r="B401" s="22" t="s">
        <v>663</v>
      </c>
      <c r="C401" s="23" t="s">
        <v>822</v>
      </c>
      <c r="D401" s="23" t="s">
        <v>965</v>
      </c>
      <c r="E401" s="22" t="s">
        <v>991</v>
      </c>
      <c r="F401" s="23" t="s">
        <v>992</v>
      </c>
      <c r="I401" s="22" t="s">
        <v>1316</v>
      </c>
      <c r="J401" s="21" t="s">
        <v>1329</v>
      </c>
      <c r="K401" s="21"/>
      <c r="L401" s="21"/>
      <c r="O401" s="22" t="s">
        <v>962</v>
      </c>
      <c r="P401" s="21">
        <v>51819</v>
      </c>
      <c r="Q401" s="21">
        <v>17.75</v>
      </c>
      <c r="R401" s="21">
        <v>17.75</v>
      </c>
      <c r="S401" s="21">
        <v>17.8</v>
      </c>
      <c r="T401" s="22" t="s">
        <v>281</v>
      </c>
      <c r="U401" s="21">
        <v>1</v>
      </c>
      <c r="V401" s="22">
        <v>1</v>
      </c>
      <c r="W401" s="24">
        <f t="shared" si="63"/>
        <v>3094.9214736856984</v>
      </c>
      <c r="X401" s="24">
        <f t="shared" si="65"/>
        <v>2934.9122083333336</v>
      </c>
      <c r="Y401" s="21">
        <v>1</v>
      </c>
      <c r="Z401" s="24">
        <f t="shared" si="66"/>
        <v>3094.9214736856984</v>
      </c>
      <c r="AA401" s="24">
        <f t="shared" si="67"/>
        <v>2934.9122083333336</v>
      </c>
      <c r="AB401" s="21"/>
      <c r="AC401" s="21"/>
      <c r="AD401" s="21"/>
      <c r="AE401" s="21"/>
      <c r="AF401" s="21" t="s">
        <v>247</v>
      </c>
      <c r="AG401" s="21"/>
      <c r="AH401" s="24"/>
      <c r="AI401" s="24"/>
      <c r="AJ401" s="21">
        <v>2953</v>
      </c>
      <c r="AK401" s="21">
        <v>18</v>
      </c>
      <c r="AL401" s="22" t="s">
        <v>161</v>
      </c>
      <c r="AM401" s="22">
        <v>0.11</v>
      </c>
      <c r="AP401" s="22" t="s">
        <v>963</v>
      </c>
      <c r="AQ401" s="22" t="str">
        <f t="shared" si="68"/>
        <v>Nanophytoplankton</v>
      </c>
      <c r="AR401" s="22">
        <v>0</v>
      </c>
      <c r="AS401" s="22">
        <v>0</v>
      </c>
      <c r="AT401" s="22">
        <v>0</v>
      </c>
      <c r="AU401" s="22">
        <v>0</v>
      </c>
      <c r="AV401" s="22">
        <v>0</v>
      </c>
      <c r="AW401" s="22">
        <v>0</v>
      </c>
      <c r="AX401" s="22">
        <v>1</v>
      </c>
      <c r="AY401" s="22">
        <v>0</v>
      </c>
    </row>
    <row r="402" spans="1:57">
      <c r="A402" s="21" t="s">
        <v>1330</v>
      </c>
      <c r="B402" s="22" t="s">
        <v>663</v>
      </c>
      <c r="C402" s="23" t="s">
        <v>822</v>
      </c>
      <c r="D402" s="23" t="s">
        <v>965</v>
      </c>
      <c r="E402" s="22" t="s">
        <v>991</v>
      </c>
      <c r="F402" s="23" t="s">
        <v>992</v>
      </c>
      <c r="I402" s="22" t="s">
        <v>1316</v>
      </c>
      <c r="J402" s="21">
        <v>62</v>
      </c>
      <c r="K402" s="21"/>
      <c r="L402" s="21"/>
      <c r="O402" s="22" t="s">
        <v>962</v>
      </c>
      <c r="P402" s="21">
        <v>51814</v>
      </c>
      <c r="Q402" s="21">
        <v>14.72</v>
      </c>
      <c r="R402" s="21">
        <v>14.72</v>
      </c>
      <c r="S402" s="21">
        <v>14.72</v>
      </c>
      <c r="T402" s="22" t="s">
        <v>281</v>
      </c>
      <c r="U402" s="21">
        <v>1</v>
      </c>
      <c r="V402" s="22">
        <v>1</v>
      </c>
      <c r="W402" s="24">
        <f t="shared" si="63"/>
        <v>2130.0829558712003</v>
      </c>
      <c r="X402" s="24">
        <f t="shared" si="65"/>
        <v>1669.1748317866668</v>
      </c>
      <c r="Y402" s="21">
        <v>1</v>
      </c>
      <c r="Z402" s="24">
        <f t="shared" si="66"/>
        <v>2130.0829558712003</v>
      </c>
      <c r="AA402" s="24">
        <f t="shared" si="67"/>
        <v>1669.1748317866668</v>
      </c>
      <c r="AB402" s="21"/>
      <c r="AC402" s="21"/>
      <c r="AD402" s="21"/>
      <c r="AE402" s="21"/>
      <c r="AF402" s="21" t="s">
        <v>247</v>
      </c>
      <c r="AG402" s="21"/>
      <c r="AH402" s="24"/>
      <c r="AI402" s="24"/>
      <c r="AJ402" s="21">
        <v>1670</v>
      </c>
      <c r="AK402" s="21">
        <v>15</v>
      </c>
      <c r="AL402" s="22" t="s">
        <v>161</v>
      </c>
      <c r="AM402" s="22">
        <v>0.11</v>
      </c>
      <c r="AP402" s="22" t="s">
        <v>963</v>
      </c>
      <c r="AQ402" s="22" t="str">
        <f t="shared" si="68"/>
        <v>Nanophytoplankton</v>
      </c>
      <c r="AR402" s="22">
        <v>0</v>
      </c>
      <c r="AS402" s="22">
        <v>0</v>
      </c>
      <c r="AT402" s="22">
        <v>0</v>
      </c>
      <c r="AU402" s="22">
        <v>0</v>
      </c>
      <c r="AV402" s="22">
        <v>0</v>
      </c>
      <c r="AW402" s="22">
        <v>0</v>
      </c>
      <c r="AX402" s="22">
        <v>1</v>
      </c>
      <c r="AY402" s="22">
        <v>0</v>
      </c>
    </row>
    <row r="403" spans="1:57">
      <c r="A403" s="21" t="s">
        <v>1331</v>
      </c>
      <c r="B403" s="22" t="s">
        <v>663</v>
      </c>
      <c r="C403" s="23" t="s">
        <v>822</v>
      </c>
      <c r="D403" s="23" t="s">
        <v>965</v>
      </c>
      <c r="E403" s="22" t="s">
        <v>991</v>
      </c>
      <c r="F403" s="23" t="s">
        <v>992</v>
      </c>
      <c r="I403" s="22" t="s">
        <v>1316</v>
      </c>
      <c r="J403" s="21" t="s">
        <v>1332</v>
      </c>
      <c r="K403" s="21"/>
      <c r="L403" s="21"/>
      <c r="O403" s="22" t="s">
        <v>962</v>
      </c>
      <c r="P403" s="21">
        <v>51816</v>
      </c>
      <c r="Q403" s="21">
        <v>8</v>
      </c>
      <c r="R403" s="21">
        <v>6</v>
      </c>
      <c r="S403" s="21">
        <v>5.5</v>
      </c>
      <c r="T403" s="22" t="s">
        <v>159</v>
      </c>
      <c r="U403" s="21">
        <v>1</v>
      </c>
      <c r="V403" s="22">
        <v>1</v>
      </c>
      <c r="W403" s="24">
        <f t="shared" si="63"/>
        <v>458.67962560821252</v>
      </c>
      <c r="X403" s="24">
        <f t="shared" si="65"/>
        <v>138.16</v>
      </c>
      <c r="Y403" s="21">
        <v>1</v>
      </c>
      <c r="Z403" s="24">
        <f t="shared" si="66"/>
        <v>458.67962560821252</v>
      </c>
      <c r="AA403" s="24">
        <f t="shared" si="67"/>
        <v>138.16</v>
      </c>
      <c r="AB403" s="21"/>
      <c r="AC403" s="21"/>
      <c r="AD403" s="21"/>
      <c r="AE403" s="21"/>
      <c r="AF403" s="21" t="s">
        <v>247</v>
      </c>
      <c r="AG403" s="21"/>
      <c r="AH403" s="24"/>
      <c r="AI403" s="24"/>
      <c r="AJ403" s="21">
        <v>96.9</v>
      </c>
      <c r="AK403" s="21">
        <v>6</v>
      </c>
      <c r="AL403" s="22" t="s">
        <v>1333</v>
      </c>
      <c r="AM403" s="22">
        <v>0.11</v>
      </c>
      <c r="AP403" s="22" t="s">
        <v>963</v>
      </c>
      <c r="AQ403" s="22" t="str">
        <f t="shared" si="68"/>
        <v>Nanophytoplankton</v>
      </c>
      <c r="AR403" s="22">
        <v>0</v>
      </c>
      <c r="AS403" s="22">
        <v>0</v>
      </c>
      <c r="AT403" s="22">
        <v>0</v>
      </c>
      <c r="AU403" s="22">
        <v>0</v>
      </c>
      <c r="AV403" s="22">
        <v>0</v>
      </c>
      <c r="AW403" s="22">
        <v>0</v>
      </c>
      <c r="AX403" s="22">
        <v>1</v>
      </c>
      <c r="AY403" s="22">
        <v>0</v>
      </c>
    </row>
    <row r="404" spans="1:57">
      <c r="A404" s="21" t="s">
        <v>1334</v>
      </c>
      <c r="B404" s="22" t="s">
        <v>663</v>
      </c>
      <c r="C404" s="23" t="s">
        <v>822</v>
      </c>
      <c r="D404" s="23" t="s">
        <v>965</v>
      </c>
      <c r="E404" s="22" t="s">
        <v>991</v>
      </c>
      <c r="F404" s="23" t="s">
        <v>992</v>
      </c>
      <c r="I404" s="22" t="s">
        <v>1316</v>
      </c>
      <c r="J404" s="21" t="s">
        <v>211</v>
      </c>
      <c r="K404" s="21"/>
      <c r="L404" s="21"/>
      <c r="M404" s="22" t="s">
        <v>1</v>
      </c>
      <c r="O404" s="22" t="s">
        <v>962</v>
      </c>
      <c r="P404" s="21">
        <v>51815</v>
      </c>
      <c r="Q404" s="21">
        <v>7</v>
      </c>
      <c r="R404" s="21">
        <v>7</v>
      </c>
      <c r="S404" s="21">
        <v>7</v>
      </c>
      <c r="T404" s="22" t="s">
        <v>281</v>
      </c>
      <c r="U404" s="21">
        <v>1</v>
      </c>
      <c r="V404" s="22">
        <v>1</v>
      </c>
      <c r="W404" s="24">
        <f t="shared" si="63"/>
        <v>490.83181458055361</v>
      </c>
      <c r="X404" s="24">
        <f t="shared" si="65"/>
        <v>179.50333333333333</v>
      </c>
      <c r="Y404" s="21">
        <v>1</v>
      </c>
      <c r="Z404" s="24">
        <f t="shared" si="66"/>
        <v>490.83181458055361</v>
      </c>
      <c r="AA404" s="24">
        <f t="shared" si="67"/>
        <v>179.50333333333333</v>
      </c>
      <c r="AB404" s="21"/>
      <c r="AC404" s="21"/>
      <c r="AD404" s="21"/>
      <c r="AE404" s="21"/>
      <c r="AF404" s="21" t="s">
        <v>247</v>
      </c>
      <c r="AG404" s="21"/>
      <c r="AH404" s="24"/>
      <c r="AI404" s="24"/>
      <c r="AJ404" s="21">
        <v>179.5</v>
      </c>
      <c r="AK404" s="21">
        <v>7</v>
      </c>
      <c r="AL404" s="22" t="s">
        <v>161</v>
      </c>
      <c r="AM404" s="22">
        <v>0.11</v>
      </c>
      <c r="AP404" s="22" t="s">
        <v>963</v>
      </c>
      <c r="AQ404" s="22" t="str">
        <f t="shared" si="68"/>
        <v>Nanophytoplankton</v>
      </c>
      <c r="AR404" s="22">
        <v>0</v>
      </c>
      <c r="AS404" s="22">
        <v>0</v>
      </c>
      <c r="AT404" s="22">
        <v>0</v>
      </c>
      <c r="AU404" s="22">
        <v>0</v>
      </c>
      <c r="AV404" s="22">
        <v>0</v>
      </c>
      <c r="AW404" s="22">
        <v>0</v>
      </c>
      <c r="AX404" s="22">
        <v>1</v>
      </c>
      <c r="AY404" s="22">
        <v>0</v>
      </c>
    </row>
    <row r="405" spans="1:57">
      <c r="A405" s="21" t="s">
        <v>1335</v>
      </c>
      <c r="B405" s="22" t="s">
        <v>663</v>
      </c>
      <c r="C405" s="23" t="s">
        <v>822</v>
      </c>
      <c r="D405" s="23" t="s">
        <v>965</v>
      </c>
      <c r="E405" s="22" t="s">
        <v>991</v>
      </c>
      <c r="F405" s="23" t="s">
        <v>1200</v>
      </c>
      <c r="G405" s="23" t="s">
        <v>1201</v>
      </c>
      <c r="H405" s="22" t="s">
        <v>1202</v>
      </c>
      <c r="I405" s="22" t="s">
        <v>1336</v>
      </c>
      <c r="J405" s="22" t="s">
        <v>211</v>
      </c>
      <c r="M405" s="22" t="s">
        <v>1</v>
      </c>
      <c r="N405" s="22" t="s">
        <v>694</v>
      </c>
      <c r="O405" s="22" t="s">
        <v>962</v>
      </c>
      <c r="P405" s="21">
        <v>55000</v>
      </c>
      <c r="Q405" s="22">
        <v>9</v>
      </c>
      <c r="R405" s="22">
        <v>9</v>
      </c>
      <c r="S405" s="22">
        <v>9</v>
      </c>
      <c r="T405" s="22" t="s">
        <v>246</v>
      </c>
      <c r="U405" s="21">
        <v>1</v>
      </c>
      <c r="V405" s="22">
        <v>1</v>
      </c>
      <c r="W405" s="25">
        <f>4*3.14*(R405/2)*(Q405/2)/V405</f>
        <v>254.34</v>
      </c>
      <c r="X405" s="25">
        <f>(3.14/6*(Q405*S405*R405))*U405</f>
        <v>381.51</v>
      </c>
      <c r="Y405" s="22">
        <v>12</v>
      </c>
      <c r="Z405" s="24">
        <f t="shared" si="66"/>
        <v>3052.08</v>
      </c>
      <c r="AA405" s="24">
        <f t="shared" si="67"/>
        <v>4578.12</v>
      </c>
      <c r="AB405" s="22">
        <v>35</v>
      </c>
      <c r="AC405" s="22">
        <v>35</v>
      </c>
      <c r="AD405" s="22">
        <v>35</v>
      </c>
      <c r="AE405" s="22" t="s">
        <v>159</v>
      </c>
      <c r="AF405" s="21">
        <v>0.8</v>
      </c>
      <c r="AG405" s="22">
        <v>1.2</v>
      </c>
      <c r="AH405" s="24">
        <f>(4*3.14*(((AB405^1.6*AC405^1.6+AB405^1.6*AD405^1.6+AC405^1.6+AD405^1.6)/3)^(1/1.6)))*(1/AG405)</f>
        <v>9972.5117211215875</v>
      </c>
      <c r="AI405" s="24">
        <f>3.14/6*AB405*AC405*AD405*AF405</f>
        <v>17950.333333333336</v>
      </c>
      <c r="AJ405" s="21">
        <v>17959.400000000001</v>
      </c>
      <c r="AK405" s="21">
        <v>35</v>
      </c>
      <c r="AL405" s="22" t="s">
        <v>161</v>
      </c>
      <c r="AM405" s="22">
        <v>0.11</v>
      </c>
      <c r="AN405" s="22" t="s">
        <v>876</v>
      </c>
      <c r="AO405" s="22" t="s">
        <v>1337</v>
      </c>
      <c r="AP405" s="22" t="s">
        <v>963</v>
      </c>
      <c r="AQ405" s="22" t="str">
        <f t="shared" si="68"/>
        <v>Microphytoplankton</v>
      </c>
      <c r="AR405" s="22">
        <v>1</v>
      </c>
      <c r="AS405" s="22">
        <v>1</v>
      </c>
      <c r="AT405" s="22">
        <v>0</v>
      </c>
      <c r="AU405" s="22">
        <v>1</v>
      </c>
      <c r="AV405" s="22">
        <v>0</v>
      </c>
      <c r="AW405" s="22">
        <v>0</v>
      </c>
      <c r="AX405" s="22">
        <v>1</v>
      </c>
      <c r="AY405" s="22">
        <v>0</v>
      </c>
    </row>
    <row r="406" spans="1:57">
      <c r="A406" s="21" t="s">
        <v>1338</v>
      </c>
      <c r="B406" s="22" t="s">
        <v>663</v>
      </c>
      <c r="C406" s="23" t="s">
        <v>822</v>
      </c>
      <c r="D406" s="23" t="s">
        <v>965</v>
      </c>
      <c r="E406" s="22" t="s">
        <v>991</v>
      </c>
      <c r="F406" s="23" t="s">
        <v>992</v>
      </c>
      <c r="G406" s="23" t="s">
        <v>1005</v>
      </c>
      <c r="H406" s="23" t="s">
        <v>1011</v>
      </c>
      <c r="I406" s="22" t="s">
        <v>1339</v>
      </c>
      <c r="J406" s="22" t="s">
        <v>1340</v>
      </c>
      <c r="N406" s="22" t="s">
        <v>1341</v>
      </c>
      <c r="O406" s="22" t="s">
        <v>962</v>
      </c>
      <c r="P406" s="21">
        <v>50210</v>
      </c>
      <c r="Q406" s="21">
        <v>8</v>
      </c>
      <c r="R406" s="21">
        <v>5</v>
      </c>
      <c r="S406" s="21">
        <v>5</v>
      </c>
      <c r="T406" s="21" t="s">
        <v>159</v>
      </c>
      <c r="U406" s="21">
        <v>1</v>
      </c>
      <c r="V406" s="21">
        <v>1</v>
      </c>
      <c r="W406" s="24">
        <f>(4*3.14*(((Q406^1.6*R406^1.6+Q406^1.6*S406^1.6+R406^1.6+S406^1.6)/3)^(1/1.6)))*(1/V406)</f>
        <v>398.62580307118628</v>
      </c>
      <c r="X406" s="24">
        <f>3.14/6*Q406*R406*S406*U406</f>
        <v>104.66666666666667</v>
      </c>
      <c r="Y406" s="21">
        <v>1000</v>
      </c>
      <c r="Z406" s="24">
        <f t="shared" si="66"/>
        <v>398625.8030711863</v>
      </c>
      <c r="AA406" s="24">
        <f t="shared" si="67"/>
        <v>104666.66666666667</v>
      </c>
      <c r="AB406" s="21">
        <v>100</v>
      </c>
      <c r="AC406" s="21">
        <v>100</v>
      </c>
      <c r="AD406" s="21">
        <v>100</v>
      </c>
      <c r="AE406" s="21" t="s">
        <v>159</v>
      </c>
      <c r="AF406" s="21">
        <v>0.2</v>
      </c>
      <c r="AG406" s="21">
        <v>1.5</v>
      </c>
      <c r="AH406" s="24">
        <f>(4*3.14*(((AB406^1.6*AC406^1.6+AB406^1.6*AD406^1.6+AC406^1.6+AD406^1.6)/3)^(1/1.6)))*(1/AG406)</f>
        <v>65014.848179695546</v>
      </c>
      <c r="AI406" s="24">
        <f>3.14/6*AB406*AC406*AD406*AF406</f>
        <v>104666.66666666667</v>
      </c>
      <c r="AJ406" s="21">
        <v>104719.8</v>
      </c>
      <c r="AK406" s="21">
        <v>100</v>
      </c>
      <c r="AL406" s="22" t="s">
        <v>161</v>
      </c>
      <c r="AM406" s="22">
        <v>0.11</v>
      </c>
      <c r="AN406" s="22" t="s">
        <v>1342</v>
      </c>
      <c r="AO406" s="22" t="s">
        <v>1342</v>
      </c>
      <c r="AP406" s="22" t="s">
        <v>963</v>
      </c>
      <c r="AQ406" s="22" t="str">
        <f t="shared" si="68"/>
        <v>Microphytoplankton</v>
      </c>
      <c r="AR406" s="22">
        <v>1</v>
      </c>
      <c r="AS406" s="22">
        <v>1</v>
      </c>
      <c r="AT406" s="22">
        <v>0</v>
      </c>
      <c r="AU406" s="22">
        <v>1</v>
      </c>
      <c r="AV406" s="22">
        <v>0</v>
      </c>
      <c r="AW406" s="22">
        <v>0</v>
      </c>
      <c r="AX406" s="22">
        <v>1</v>
      </c>
      <c r="AY406" s="22">
        <v>0</v>
      </c>
    </row>
    <row r="407" spans="1:57">
      <c r="A407" s="21" t="s">
        <v>1343</v>
      </c>
      <c r="B407" s="22" t="s">
        <v>663</v>
      </c>
      <c r="C407" s="23" t="s">
        <v>822</v>
      </c>
      <c r="D407" s="23" t="s">
        <v>965</v>
      </c>
      <c r="E407" s="22" t="s">
        <v>991</v>
      </c>
      <c r="F407" s="23" t="s">
        <v>992</v>
      </c>
      <c r="G407" s="23" t="s">
        <v>1005</v>
      </c>
      <c r="H407" s="23" t="s">
        <v>1011</v>
      </c>
      <c r="I407" s="22" t="s">
        <v>1339</v>
      </c>
      <c r="J407" s="22" t="s">
        <v>1344</v>
      </c>
      <c r="N407" s="22" t="s">
        <v>940</v>
      </c>
      <c r="O407" s="22" t="s">
        <v>962</v>
      </c>
      <c r="P407" s="21">
        <v>50211</v>
      </c>
      <c r="Q407" s="21">
        <v>9</v>
      </c>
      <c r="R407" s="21">
        <v>3</v>
      </c>
      <c r="S407" s="21">
        <v>3</v>
      </c>
      <c r="T407" s="21" t="s">
        <v>159</v>
      </c>
      <c r="U407" s="21">
        <v>1</v>
      </c>
      <c r="V407" s="21">
        <v>1</v>
      </c>
      <c r="W407" s="24">
        <f>(4*3.14*(((Q407^1.6*R407^1.6+Q407^1.6*S407^1.6+R407^1.6+S407^1.6)/3)^(1/1.6)))*(1/V407)</f>
        <v>268.07034809338808</v>
      </c>
      <c r="X407" s="24">
        <f>3.14/6*Q407*R407*S407*U407</f>
        <v>42.39</v>
      </c>
      <c r="Y407" s="21">
        <v>81</v>
      </c>
      <c r="Z407" s="24">
        <f t="shared" si="66"/>
        <v>21713.698195564433</v>
      </c>
      <c r="AA407" s="24">
        <f t="shared" si="67"/>
        <v>3433.59</v>
      </c>
      <c r="AB407" s="21">
        <v>50</v>
      </c>
      <c r="AC407" s="21">
        <v>50</v>
      </c>
      <c r="AD407" s="21">
        <v>50</v>
      </c>
      <c r="AE407" s="21" t="s">
        <v>159</v>
      </c>
      <c r="AF407" s="21">
        <v>0.2</v>
      </c>
      <c r="AG407" s="21">
        <v>1.5</v>
      </c>
      <c r="AH407" s="24">
        <f>(4*3.14*(((AB407^1.6*AC407^1.6+AB407^1.6*AD407^1.6+AC407^1.6+AD407^1.6)/3)^(1/1.6)))*(1/AG407)</f>
        <v>16266.721434434163</v>
      </c>
      <c r="AI407" s="24">
        <f>3.14/6*AB407*AC407*AD407*AF407</f>
        <v>13083.333333333334</v>
      </c>
      <c r="AJ407" s="21">
        <v>70</v>
      </c>
      <c r="AK407" s="21">
        <v>9</v>
      </c>
      <c r="AL407" s="22" t="s">
        <v>161</v>
      </c>
      <c r="AM407" s="22">
        <v>0.11</v>
      </c>
      <c r="AN407" s="22" t="s">
        <v>1342</v>
      </c>
      <c r="AO407" s="22" t="s">
        <v>1342</v>
      </c>
      <c r="AP407" s="22" t="s">
        <v>963</v>
      </c>
      <c r="AQ407" s="22" t="str">
        <f t="shared" si="68"/>
        <v>Nanophytoplankton</v>
      </c>
      <c r="AR407" s="22">
        <v>1</v>
      </c>
      <c r="AS407" s="22">
        <v>1</v>
      </c>
      <c r="AT407" s="22">
        <v>0</v>
      </c>
      <c r="AU407" s="22">
        <v>1</v>
      </c>
      <c r="AV407" s="22">
        <v>0</v>
      </c>
      <c r="AW407" s="22">
        <v>0</v>
      </c>
      <c r="AX407" s="22">
        <v>1</v>
      </c>
      <c r="AY407" s="22">
        <v>0</v>
      </c>
      <c r="AZ407" s="22">
        <v>0</v>
      </c>
      <c r="BA407" s="22">
        <v>3</v>
      </c>
      <c r="BB407" s="22">
        <v>3</v>
      </c>
      <c r="BC407" s="22">
        <v>3</v>
      </c>
      <c r="BD407" s="22">
        <v>1</v>
      </c>
      <c r="BE407" s="22">
        <v>0</v>
      </c>
    </row>
    <row r="408" spans="1:57">
      <c r="A408" s="21" t="s">
        <v>1345</v>
      </c>
      <c r="B408" s="22" t="s">
        <v>663</v>
      </c>
      <c r="C408" s="23" t="s">
        <v>822</v>
      </c>
      <c r="D408" s="23" t="s">
        <v>965</v>
      </c>
      <c r="E408" s="22" t="s">
        <v>991</v>
      </c>
      <c r="F408" s="23" t="s">
        <v>992</v>
      </c>
      <c r="G408" s="23" t="s">
        <v>1005</v>
      </c>
      <c r="H408" s="23" t="s">
        <v>1011</v>
      </c>
      <c r="I408" s="22" t="s">
        <v>1339</v>
      </c>
      <c r="J408" s="22" t="s">
        <v>211</v>
      </c>
      <c r="M408" s="22" t="s">
        <v>1</v>
      </c>
      <c r="N408" s="22" t="s">
        <v>694</v>
      </c>
      <c r="O408" s="22" t="s">
        <v>962</v>
      </c>
      <c r="P408" s="21">
        <v>50200</v>
      </c>
      <c r="Q408" s="21">
        <v>8</v>
      </c>
      <c r="R408" s="21">
        <v>5</v>
      </c>
      <c r="S408" s="21">
        <v>5</v>
      </c>
      <c r="T408" s="21" t="s">
        <v>159</v>
      </c>
      <c r="U408" s="21">
        <v>1</v>
      </c>
      <c r="V408" s="21">
        <v>1</v>
      </c>
      <c r="W408" s="24">
        <f>(4*3.14*(((Q408^1.6*R408^1.6+Q408^1.6*S408^1.6+R408^1.6+S408^1.6)/3)^(1/1.6)))*(1/V408)</f>
        <v>398.62580307118628</v>
      </c>
      <c r="X408" s="24">
        <f>3.14/6*Q408*R408*S408*U408</f>
        <v>104.66666666666667</v>
      </c>
      <c r="Y408" s="21">
        <v>1000</v>
      </c>
      <c r="Z408" s="24">
        <f t="shared" si="66"/>
        <v>398625.8030711863</v>
      </c>
      <c r="AA408" s="24">
        <f t="shared" si="67"/>
        <v>104666.66666666667</v>
      </c>
      <c r="AB408" s="21">
        <v>100</v>
      </c>
      <c r="AC408" s="21">
        <v>100</v>
      </c>
      <c r="AD408" s="21">
        <v>100</v>
      </c>
      <c r="AE408" s="21" t="s">
        <v>159</v>
      </c>
      <c r="AF408" s="21">
        <v>0.2</v>
      </c>
      <c r="AG408" s="21">
        <v>1.5</v>
      </c>
      <c r="AH408" s="24">
        <f>(4*3.14*(((AB408^1.6*AC408^1.6+AB408^1.6*AD408^1.6+AC408^1.6+AD408^1.6)/3)^(1/1.6)))*(1/AG408)</f>
        <v>65014.848179695546</v>
      </c>
      <c r="AI408" s="24">
        <f>3.14/6*AB408*AC408*AD408*AF408</f>
        <v>104666.66666666667</v>
      </c>
      <c r="AJ408" s="21">
        <v>104719.8</v>
      </c>
      <c r="AK408" s="21">
        <v>100</v>
      </c>
      <c r="AL408" s="22" t="s">
        <v>161</v>
      </c>
      <c r="AM408" s="22">
        <v>0.11</v>
      </c>
      <c r="AN408" s="22" t="s">
        <v>1342</v>
      </c>
      <c r="AO408" s="22" t="s">
        <v>1342</v>
      </c>
      <c r="AP408" s="22" t="s">
        <v>963</v>
      </c>
      <c r="AQ408" s="22" t="str">
        <f t="shared" si="68"/>
        <v>Microphytoplankton</v>
      </c>
      <c r="AR408" s="22">
        <v>1</v>
      </c>
      <c r="AS408" s="22">
        <v>1</v>
      </c>
      <c r="AT408" s="22">
        <v>0</v>
      </c>
      <c r="AU408" s="22">
        <v>1</v>
      </c>
      <c r="AV408" s="22">
        <v>0</v>
      </c>
      <c r="AW408" s="22">
        <v>0</v>
      </c>
      <c r="AX408" s="22">
        <v>1</v>
      </c>
      <c r="AY408" s="22">
        <v>0</v>
      </c>
      <c r="AZ408" s="22">
        <v>0</v>
      </c>
      <c r="BA408" s="22">
        <v>3</v>
      </c>
      <c r="BB408" s="22">
        <v>3</v>
      </c>
      <c r="BC408" s="22">
        <v>3</v>
      </c>
      <c r="BD408" s="22">
        <v>1</v>
      </c>
      <c r="BE408" s="22">
        <v>0</v>
      </c>
    </row>
    <row r="409" spans="1:57">
      <c r="A409" s="22" t="s">
        <v>1346</v>
      </c>
      <c r="B409" s="22" t="s">
        <v>663</v>
      </c>
      <c r="C409" s="23" t="s">
        <v>822</v>
      </c>
      <c r="D409" s="23" t="s">
        <v>965</v>
      </c>
      <c r="E409" s="22" t="s">
        <v>991</v>
      </c>
      <c r="F409" s="22" t="s">
        <v>1347</v>
      </c>
      <c r="G409" s="22" t="s">
        <v>1348</v>
      </c>
      <c r="H409" s="23" t="s">
        <v>1349</v>
      </c>
      <c r="I409" s="23" t="s">
        <v>1350</v>
      </c>
      <c r="J409" s="22" t="s">
        <v>1351</v>
      </c>
      <c r="N409" s="22" t="s">
        <v>167</v>
      </c>
      <c r="O409" s="22" t="s">
        <v>1352</v>
      </c>
      <c r="P409" s="22">
        <v>62001</v>
      </c>
      <c r="Q409" s="22">
        <v>28</v>
      </c>
      <c r="R409" s="22">
        <v>11.5</v>
      </c>
      <c r="S409" s="22">
        <v>5</v>
      </c>
      <c r="T409" s="21" t="s">
        <v>160</v>
      </c>
      <c r="U409" s="21">
        <v>1</v>
      </c>
      <c r="V409" s="22">
        <v>1</v>
      </c>
      <c r="W409" s="24">
        <f>3.14*R409*Q409+2*3.14*(S409/2)^2/V409</f>
        <v>1050.33</v>
      </c>
      <c r="X409" s="25">
        <f>(3.14/4*R409^2*Q409)*U409</f>
        <v>2906.8550000000005</v>
      </c>
      <c r="Y409" s="22">
        <v>1</v>
      </c>
      <c r="Z409" s="24">
        <f t="shared" si="66"/>
        <v>1050.33</v>
      </c>
      <c r="AA409" s="24">
        <f t="shared" si="67"/>
        <v>2906.8550000000005</v>
      </c>
      <c r="AF409" s="21" t="s">
        <v>247</v>
      </c>
      <c r="AJ409" s="21">
        <v>2906.8550000000005</v>
      </c>
      <c r="AK409" s="21">
        <v>28</v>
      </c>
      <c r="AL409" s="22" t="s">
        <v>161</v>
      </c>
      <c r="AM409" s="22">
        <v>0.11</v>
      </c>
      <c r="AP409" s="22" t="s">
        <v>162</v>
      </c>
      <c r="AQ409" s="22" t="str">
        <f t="shared" si="68"/>
        <v>Microphytoplankton</v>
      </c>
      <c r="AR409" s="22">
        <v>1</v>
      </c>
      <c r="AS409" s="22">
        <v>1</v>
      </c>
      <c r="AT409" s="22">
        <v>0</v>
      </c>
      <c r="AU409" s="22">
        <v>1</v>
      </c>
      <c r="AV409" s="22">
        <v>0</v>
      </c>
      <c r="AW409" s="22">
        <v>0</v>
      </c>
      <c r="AX409" s="22">
        <v>0</v>
      </c>
      <c r="AY409" s="22">
        <v>1</v>
      </c>
    </row>
    <row r="410" spans="1:57">
      <c r="A410" s="21" t="s">
        <v>1353</v>
      </c>
      <c r="B410" s="22" t="s">
        <v>663</v>
      </c>
      <c r="C410" s="23" t="s">
        <v>822</v>
      </c>
      <c r="D410" s="23" t="s">
        <v>965</v>
      </c>
      <c r="E410" s="22" t="s">
        <v>991</v>
      </c>
      <c r="F410" s="22" t="s">
        <v>1347</v>
      </c>
      <c r="G410" s="22" t="s">
        <v>1354</v>
      </c>
      <c r="H410" s="22" t="s">
        <v>1355</v>
      </c>
      <c r="I410" s="22" t="s">
        <v>1356</v>
      </c>
      <c r="J410" s="22" t="s">
        <v>211</v>
      </c>
      <c r="M410" s="22" t="s">
        <v>1</v>
      </c>
      <c r="N410" s="22" t="s">
        <v>1173</v>
      </c>
      <c r="O410" s="22" t="s">
        <v>1352</v>
      </c>
      <c r="P410" s="21">
        <v>65100</v>
      </c>
      <c r="Q410" s="21">
        <v>6</v>
      </c>
      <c r="R410" s="21">
        <v>4.5</v>
      </c>
      <c r="S410" s="21">
        <v>4.5</v>
      </c>
      <c r="T410" s="21" t="s">
        <v>159</v>
      </c>
      <c r="U410" s="21">
        <v>1</v>
      </c>
      <c r="V410" s="21">
        <v>1</v>
      </c>
      <c r="W410" s="24">
        <f>(4*3.14*(((Q410^1.6*R410^1.6+Q410^1.6*S410^1.6+R410^1.6+S410^1.6)/3)^(1/1.6)))*(1/V410)</f>
        <v>272.46602943285995</v>
      </c>
      <c r="X410" s="24">
        <f>3.14/6*Q410*R410*S410*U410</f>
        <v>63.584999999999994</v>
      </c>
      <c r="Y410" s="21">
        <v>16.7</v>
      </c>
      <c r="Z410" s="24">
        <f t="shared" si="66"/>
        <v>4550.1826915287611</v>
      </c>
      <c r="AA410" s="24">
        <f t="shared" si="67"/>
        <v>1061.8694999999998</v>
      </c>
      <c r="AB410" s="21">
        <v>100</v>
      </c>
      <c r="AC410" s="21">
        <v>4.5</v>
      </c>
      <c r="AD410" s="21">
        <v>4.5</v>
      </c>
      <c r="AE410" s="21" t="s">
        <v>160</v>
      </c>
      <c r="AF410" s="21">
        <v>1</v>
      </c>
      <c r="AG410" s="21">
        <v>1</v>
      </c>
      <c r="AH410" s="24">
        <f>3.14*AC410*AB410+2*3.14*(AD410/2)^2/AG410</f>
        <v>1444.7925</v>
      </c>
      <c r="AI410" s="25">
        <f>(3.14/4*AC410^2*AB410)*AF410</f>
        <v>1589.625</v>
      </c>
      <c r="AJ410" s="21">
        <v>1060.3</v>
      </c>
      <c r="AK410" s="21">
        <v>100</v>
      </c>
      <c r="AL410" s="22" t="s">
        <v>161</v>
      </c>
      <c r="AM410" s="22">
        <v>0.11</v>
      </c>
      <c r="AO410" s="22" t="s">
        <v>1357</v>
      </c>
      <c r="AP410" s="22" t="s">
        <v>162</v>
      </c>
      <c r="AQ410" s="22" t="str">
        <f t="shared" si="68"/>
        <v>Microphytoplankton</v>
      </c>
      <c r="AR410" s="22">
        <v>0</v>
      </c>
      <c r="AS410" s="22">
        <v>0</v>
      </c>
      <c r="AT410" s="22">
        <v>0</v>
      </c>
      <c r="AU410" s="22">
        <v>1</v>
      </c>
      <c r="AV410" s="22">
        <v>1</v>
      </c>
      <c r="AW410" s="22">
        <v>0</v>
      </c>
      <c r="AX410" s="22">
        <v>0</v>
      </c>
      <c r="AY410" s="22">
        <v>1</v>
      </c>
    </row>
    <row r="411" spans="1:57">
      <c r="A411" s="22" t="s">
        <v>1358</v>
      </c>
      <c r="B411" s="22" t="s">
        <v>663</v>
      </c>
      <c r="C411" s="23" t="s">
        <v>822</v>
      </c>
      <c r="D411" s="23" t="s">
        <v>965</v>
      </c>
      <c r="E411" s="22" t="s">
        <v>991</v>
      </c>
      <c r="F411" s="22" t="s">
        <v>1347</v>
      </c>
      <c r="G411" s="22" t="s">
        <v>1348</v>
      </c>
      <c r="H411" s="22" t="s">
        <v>1359</v>
      </c>
      <c r="I411" s="22" t="s">
        <v>1360</v>
      </c>
      <c r="J411" s="22" t="s">
        <v>1361</v>
      </c>
      <c r="N411" s="22" t="s">
        <v>1362</v>
      </c>
      <c r="O411" s="22" t="s">
        <v>1352</v>
      </c>
      <c r="P411" s="22">
        <v>63101</v>
      </c>
      <c r="Q411" s="22">
        <v>27.5</v>
      </c>
      <c r="R411" s="22">
        <v>27.5</v>
      </c>
      <c r="S411" s="22">
        <v>4</v>
      </c>
      <c r="T411" s="22" t="s">
        <v>1363</v>
      </c>
      <c r="U411" s="21">
        <v>0.7</v>
      </c>
      <c r="V411" s="21">
        <v>0.7</v>
      </c>
      <c r="W411" s="25">
        <f>Q411*R411/2+S411*(Q411*2+R411)*1/V411</f>
        <v>849.55357142857144</v>
      </c>
      <c r="X411" s="25">
        <f>((Q411*R411*S411)/2)*U411</f>
        <v>1058.75</v>
      </c>
      <c r="Y411" s="22">
        <v>1</v>
      </c>
      <c r="Z411" s="24">
        <f t="shared" si="66"/>
        <v>849.55357142857144</v>
      </c>
      <c r="AA411" s="24">
        <f t="shared" si="67"/>
        <v>1058.75</v>
      </c>
      <c r="AF411" s="21" t="s">
        <v>247</v>
      </c>
      <c r="AJ411" s="21">
        <v>1058.75</v>
      </c>
      <c r="AK411" s="21">
        <v>27.5</v>
      </c>
      <c r="AL411" s="22" t="s">
        <v>161</v>
      </c>
      <c r="AM411" s="22">
        <v>0.11</v>
      </c>
      <c r="AO411" s="22" t="s">
        <v>1364</v>
      </c>
      <c r="AP411" s="22" t="s">
        <v>162</v>
      </c>
      <c r="AQ411" s="22" t="str">
        <f t="shared" si="68"/>
        <v>Microphytoplankton</v>
      </c>
      <c r="AR411" s="22">
        <v>0</v>
      </c>
      <c r="AS411" s="22">
        <v>0</v>
      </c>
      <c r="AT411" s="22">
        <v>0</v>
      </c>
      <c r="AU411" s="22">
        <v>0</v>
      </c>
      <c r="AV411" s="22">
        <v>0</v>
      </c>
      <c r="AW411" s="22">
        <v>0</v>
      </c>
      <c r="AX411" s="22">
        <v>0</v>
      </c>
      <c r="AY411" s="22">
        <v>1</v>
      </c>
    </row>
    <row r="412" spans="1:57">
      <c r="A412" s="22" t="s">
        <v>1365</v>
      </c>
      <c r="B412" s="22" t="s">
        <v>663</v>
      </c>
      <c r="C412" s="23" t="s">
        <v>822</v>
      </c>
      <c r="D412" s="23" t="s">
        <v>965</v>
      </c>
      <c r="E412" s="22" t="s">
        <v>991</v>
      </c>
      <c r="F412" s="22" t="s">
        <v>1347</v>
      </c>
      <c r="G412" s="22" t="s">
        <v>1348</v>
      </c>
      <c r="H412" s="22" t="s">
        <v>1359</v>
      </c>
      <c r="I412" s="22" t="s">
        <v>1360</v>
      </c>
      <c r="J412" s="22" t="s">
        <v>1366</v>
      </c>
      <c r="N412" s="22" t="s">
        <v>1367</v>
      </c>
      <c r="O412" s="22" t="s">
        <v>1352</v>
      </c>
      <c r="P412" s="22">
        <v>63102</v>
      </c>
      <c r="Q412" s="22">
        <v>24</v>
      </c>
      <c r="R412" s="22">
        <v>24</v>
      </c>
      <c r="S412" s="22">
        <v>4</v>
      </c>
      <c r="T412" s="22" t="s">
        <v>1363</v>
      </c>
      <c r="U412" s="21">
        <v>0.7</v>
      </c>
      <c r="V412" s="21">
        <v>0.7</v>
      </c>
      <c r="W412" s="25">
        <f>Q412*R412/2+S412*(Q412*2+R412)*1/V412</f>
        <v>699.42857142857144</v>
      </c>
      <c r="X412" s="25">
        <f>((Q412*R412*S412)/2)*U412</f>
        <v>806.4</v>
      </c>
      <c r="Y412" s="22">
        <v>1</v>
      </c>
      <c r="Z412" s="24">
        <f t="shared" si="66"/>
        <v>699.42857142857144</v>
      </c>
      <c r="AA412" s="24">
        <f t="shared" si="67"/>
        <v>806.4</v>
      </c>
      <c r="AF412" s="21" t="s">
        <v>247</v>
      </c>
      <c r="AJ412" s="21">
        <v>806.4</v>
      </c>
      <c r="AK412" s="21">
        <v>24</v>
      </c>
      <c r="AL412" s="22" t="s">
        <v>161</v>
      </c>
      <c r="AM412" s="22">
        <v>0.11</v>
      </c>
      <c r="AO412" s="22" t="s">
        <v>1364</v>
      </c>
      <c r="AP412" s="22" t="s">
        <v>162</v>
      </c>
      <c r="AQ412" s="22" t="str">
        <f t="shared" si="68"/>
        <v>Microphytoplankton</v>
      </c>
      <c r="AR412" s="22">
        <v>0</v>
      </c>
      <c r="AS412" s="22">
        <v>0</v>
      </c>
      <c r="AT412" s="22">
        <v>0</v>
      </c>
      <c r="AU412" s="22">
        <v>0</v>
      </c>
      <c r="AV412" s="22">
        <v>0</v>
      </c>
      <c r="AW412" s="22">
        <v>0</v>
      </c>
      <c r="AX412" s="22">
        <v>0</v>
      </c>
      <c r="AY412" s="22">
        <v>1</v>
      </c>
    </row>
    <row r="413" spans="1:57">
      <c r="A413" s="21" t="s">
        <v>1368</v>
      </c>
      <c r="B413" s="22" t="s">
        <v>663</v>
      </c>
      <c r="C413" s="23" t="s">
        <v>822</v>
      </c>
      <c r="D413" s="23" t="s">
        <v>965</v>
      </c>
      <c r="E413" s="22" t="s">
        <v>991</v>
      </c>
      <c r="F413" s="22" t="s">
        <v>1347</v>
      </c>
      <c r="G413" s="22" t="s">
        <v>1348</v>
      </c>
      <c r="H413" s="22" t="s">
        <v>1359</v>
      </c>
      <c r="I413" s="22" t="s">
        <v>1360</v>
      </c>
      <c r="J413" s="22" t="s">
        <v>1369</v>
      </c>
      <c r="N413" s="22" t="s">
        <v>1370</v>
      </c>
      <c r="O413" s="22" t="s">
        <v>1352</v>
      </c>
      <c r="P413" s="21">
        <v>63100</v>
      </c>
      <c r="Q413" s="21">
        <v>12</v>
      </c>
      <c r="R413" s="21">
        <v>12</v>
      </c>
      <c r="S413" s="21">
        <v>4</v>
      </c>
      <c r="T413" s="22" t="s">
        <v>281</v>
      </c>
      <c r="U413" s="21">
        <v>0.6</v>
      </c>
      <c r="V413" s="21">
        <v>0.6</v>
      </c>
      <c r="W413" s="24">
        <f>(4*3.14*(((Q413^1.6*R413^1.6+Q413^1.6*S413^1.6+R413^1.6+S413^1.6)/3)^(1/1.6)))*(1/V413)</f>
        <v>1695.2143164123599</v>
      </c>
      <c r="X413" s="24">
        <f>3.14/6*Q413*R413*S413*U413</f>
        <v>180.86399999999995</v>
      </c>
      <c r="Y413" s="21">
        <v>1</v>
      </c>
      <c r="Z413" s="24">
        <f t="shared" si="66"/>
        <v>1695.2143164123599</v>
      </c>
      <c r="AA413" s="24">
        <f t="shared" si="67"/>
        <v>180.86399999999995</v>
      </c>
      <c r="AB413" s="21"/>
      <c r="AC413" s="21"/>
      <c r="AD413" s="21"/>
      <c r="AE413" s="21"/>
      <c r="AF413" s="21" t="s">
        <v>247</v>
      </c>
      <c r="AG413" s="21"/>
      <c r="AH413" s="24"/>
      <c r="AI413" s="24"/>
      <c r="AJ413" s="21">
        <v>180.9</v>
      </c>
      <c r="AK413" s="21">
        <v>12</v>
      </c>
      <c r="AL413" s="22" t="s">
        <v>161</v>
      </c>
      <c r="AM413" s="22">
        <v>0.11</v>
      </c>
      <c r="AO413" s="22" t="s">
        <v>1364</v>
      </c>
      <c r="AP413" s="22" t="s">
        <v>162</v>
      </c>
      <c r="AQ413" s="22" t="str">
        <f t="shared" si="68"/>
        <v>Nanophytoplankton</v>
      </c>
      <c r="AR413" s="22">
        <v>0</v>
      </c>
      <c r="AS413" s="22">
        <v>0</v>
      </c>
      <c r="AT413" s="22">
        <v>0</v>
      </c>
      <c r="AU413" s="22">
        <v>0</v>
      </c>
      <c r="AV413" s="22">
        <v>0</v>
      </c>
      <c r="AW413" s="22">
        <v>0</v>
      </c>
      <c r="AX413" s="22">
        <v>0</v>
      </c>
      <c r="AY413" s="22">
        <v>1</v>
      </c>
    </row>
    <row r="414" spans="1:57">
      <c r="A414" s="22" t="s">
        <v>1371</v>
      </c>
      <c r="B414" s="22" t="s">
        <v>663</v>
      </c>
      <c r="C414" s="23" t="s">
        <v>822</v>
      </c>
      <c r="D414" s="23" t="s">
        <v>965</v>
      </c>
      <c r="E414" s="22" t="s">
        <v>991</v>
      </c>
      <c r="F414" s="22" t="s">
        <v>1347</v>
      </c>
      <c r="G414" s="22" t="s">
        <v>1348</v>
      </c>
      <c r="H414" s="22" t="s">
        <v>1359</v>
      </c>
      <c r="I414" s="22" t="s">
        <v>1360</v>
      </c>
      <c r="J414" s="22" t="s">
        <v>1372</v>
      </c>
      <c r="N414" s="22" t="s">
        <v>1173</v>
      </c>
      <c r="O414" s="22" t="s">
        <v>1352</v>
      </c>
      <c r="P414" s="22">
        <v>63103</v>
      </c>
      <c r="Q414" s="22">
        <v>13</v>
      </c>
      <c r="R414" s="22">
        <v>13</v>
      </c>
      <c r="S414" s="22">
        <v>5</v>
      </c>
      <c r="T414" s="22" t="s">
        <v>1363</v>
      </c>
      <c r="U414" s="21">
        <v>0.7</v>
      </c>
      <c r="V414" s="21">
        <v>0.7</v>
      </c>
      <c r="W414" s="25">
        <f>Q414*R414/2+S414*(Q414*2+R414)*1/V414</f>
        <v>363.07142857142861</v>
      </c>
      <c r="X414" s="25">
        <f>((Q414*R414*S414)/2)*U414</f>
        <v>295.75</v>
      </c>
      <c r="Y414" s="22">
        <v>1</v>
      </c>
      <c r="Z414" s="24">
        <f t="shared" si="66"/>
        <v>363.07142857142861</v>
      </c>
      <c r="AA414" s="24">
        <f t="shared" si="67"/>
        <v>295.75</v>
      </c>
      <c r="AF414" s="21" t="s">
        <v>247</v>
      </c>
      <c r="AJ414" s="21">
        <v>295.75</v>
      </c>
      <c r="AK414" s="21">
        <v>13</v>
      </c>
      <c r="AL414" s="22" t="s">
        <v>161</v>
      </c>
      <c r="AM414" s="22">
        <v>0.11</v>
      </c>
      <c r="AO414" s="22" t="s">
        <v>1364</v>
      </c>
      <c r="AP414" s="22" t="s">
        <v>162</v>
      </c>
      <c r="AQ414" s="22" t="str">
        <f t="shared" si="68"/>
        <v>Nanophytoplankton</v>
      </c>
      <c r="AR414" s="22">
        <v>0</v>
      </c>
      <c r="AS414" s="22">
        <v>0</v>
      </c>
      <c r="AT414" s="22">
        <v>0</v>
      </c>
      <c r="AU414" s="22">
        <v>0</v>
      </c>
      <c r="AV414" s="22">
        <v>0</v>
      </c>
      <c r="AW414" s="22">
        <v>0</v>
      </c>
      <c r="AX414" s="22">
        <v>0</v>
      </c>
      <c r="AY414" s="22">
        <v>1</v>
      </c>
    </row>
    <row r="415" spans="1:57">
      <c r="A415" s="22" t="s">
        <v>1373</v>
      </c>
      <c r="B415" s="22" t="s">
        <v>663</v>
      </c>
      <c r="C415" s="23" t="s">
        <v>822</v>
      </c>
      <c r="D415" s="23" t="s">
        <v>965</v>
      </c>
      <c r="E415" s="22" t="s">
        <v>991</v>
      </c>
      <c r="F415" s="22" t="s">
        <v>1347</v>
      </c>
      <c r="G415" s="22" t="s">
        <v>1348</v>
      </c>
      <c r="H415" s="22" t="s">
        <v>1359</v>
      </c>
      <c r="I415" s="22" t="s">
        <v>1360</v>
      </c>
      <c r="J415" s="22" t="s">
        <v>211</v>
      </c>
      <c r="M415" s="22" t="s">
        <v>1</v>
      </c>
      <c r="N415" s="22" t="s">
        <v>444</v>
      </c>
      <c r="O415" s="22" t="s">
        <v>1352</v>
      </c>
      <c r="P415" s="22">
        <v>63104</v>
      </c>
      <c r="Q415" s="22">
        <v>20</v>
      </c>
      <c r="R415" s="22">
        <v>20</v>
      </c>
      <c r="S415" s="22">
        <v>4</v>
      </c>
      <c r="T415" s="22" t="s">
        <v>1363</v>
      </c>
      <c r="U415" s="21">
        <v>0.7</v>
      </c>
      <c r="V415" s="21">
        <v>0.7</v>
      </c>
      <c r="W415" s="25">
        <f>Q415*R415/2+S415*(Q415*2+R415)*1/V415</f>
        <v>542.85714285714289</v>
      </c>
      <c r="X415" s="25">
        <f>((Q415*R415*S415)/2)*U415</f>
        <v>560</v>
      </c>
      <c r="Y415" s="22">
        <v>1</v>
      </c>
      <c r="Z415" s="24">
        <f t="shared" si="66"/>
        <v>542.85714285714289</v>
      </c>
      <c r="AA415" s="24">
        <f t="shared" si="67"/>
        <v>560</v>
      </c>
      <c r="AF415" s="21" t="s">
        <v>247</v>
      </c>
      <c r="AJ415" s="21">
        <v>560</v>
      </c>
      <c r="AK415" s="21">
        <v>20</v>
      </c>
      <c r="AL415" s="22" t="s">
        <v>161</v>
      </c>
      <c r="AM415" s="22">
        <v>0.11</v>
      </c>
      <c r="AO415" s="22" t="s">
        <v>1364</v>
      </c>
      <c r="AP415" s="22" t="s">
        <v>162</v>
      </c>
      <c r="AQ415" s="22" t="str">
        <f t="shared" si="68"/>
        <v>Microphytoplankton</v>
      </c>
      <c r="AR415" s="22">
        <v>0</v>
      </c>
      <c r="AS415" s="22">
        <v>0</v>
      </c>
      <c r="AT415" s="22">
        <v>0</v>
      </c>
      <c r="AU415" s="22">
        <v>0</v>
      </c>
      <c r="AV415" s="22">
        <v>0</v>
      </c>
      <c r="AW415" s="22">
        <v>0</v>
      </c>
      <c r="AX415" s="22">
        <v>0</v>
      </c>
      <c r="AY415" s="22">
        <v>1</v>
      </c>
    </row>
    <row r="416" spans="1:57">
      <c r="A416" s="22" t="s">
        <v>1374</v>
      </c>
      <c r="B416" s="22" t="s">
        <v>663</v>
      </c>
      <c r="C416" s="23" t="s">
        <v>822</v>
      </c>
      <c r="D416" s="23" t="s">
        <v>965</v>
      </c>
      <c r="E416" s="22" t="s">
        <v>991</v>
      </c>
      <c r="F416" s="22" t="s">
        <v>1347</v>
      </c>
      <c r="G416" s="22" t="s">
        <v>1354</v>
      </c>
      <c r="H416" s="22" t="s">
        <v>1355</v>
      </c>
      <c r="I416" s="22" t="s">
        <v>1356</v>
      </c>
      <c r="J416" s="22" t="s">
        <v>1375</v>
      </c>
      <c r="N416" s="22" t="s">
        <v>1171</v>
      </c>
      <c r="O416" s="22" t="s">
        <v>1352</v>
      </c>
      <c r="P416" s="22">
        <v>63110</v>
      </c>
      <c r="Q416" s="22">
        <f>(12+18)/2</f>
        <v>15</v>
      </c>
      <c r="R416" s="22">
        <f>(3.5+4)/2</f>
        <v>3.75</v>
      </c>
      <c r="S416" s="22">
        <f>(3.5+4)/2</f>
        <v>3.75</v>
      </c>
      <c r="T416" s="22" t="s">
        <v>159</v>
      </c>
      <c r="U416" s="21">
        <v>1</v>
      </c>
      <c r="V416" s="22">
        <v>1</v>
      </c>
      <c r="W416" s="24">
        <f>(4*3.14*(((Q416^1.6*R416^1.6+Q416^1.6*S416^1.6+R416^1.6+S416^1.6)/3)^(1/1.6)))*(1/V416)</f>
        <v>552.8353138465751</v>
      </c>
      <c r="X416" s="24">
        <f>3.14/6*Q416*R416*S416*U416</f>
        <v>110.390625</v>
      </c>
      <c r="Y416" s="22">
        <v>1</v>
      </c>
      <c r="Z416" s="24">
        <f t="shared" si="66"/>
        <v>552.8353138465751</v>
      </c>
      <c r="AA416" s="24">
        <f t="shared" si="67"/>
        <v>110.390625</v>
      </c>
      <c r="AB416" s="22">
        <v>100</v>
      </c>
      <c r="AC416" s="22">
        <f>(3.5+4)/2</f>
        <v>3.75</v>
      </c>
      <c r="AD416" s="22">
        <f>(3.5+4)/2</f>
        <v>3.75</v>
      </c>
      <c r="AE416" s="21" t="s">
        <v>160</v>
      </c>
      <c r="AF416" s="21">
        <v>1</v>
      </c>
      <c r="AG416" s="22">
        <v>1</v>
      </c>
      <c r="AH416" s="24">
        <f>3.14*AC416*AB416+2*3.14*(AD416/2)^2/AG416</f>
        <v>1199.578125</v>
      </c>
      <c r="AI416" s="25">
        <f>(3.14/4*AC416^2*AB416)*AF416</f>
        <v>1103.90625</v>
      </c>
      <c r="AJ416" s="21">
        <v>110.390625</v>
      </c>
      <c r="AK416" s="21">
        <v>100</v>
      </c>
      <c r="AL416" s="22" t="s">
        <v>1376</v>
      </c>
      <c r="AM416" s="22">
        <v>0.11</v>
      </c>
      <c r="AO416" s="22" t="s">
        <v>1357</v>
      </c>
      <c r="AP416" s="22" t="s">
        <v>162</v>
      </c>
      <c r="AQ416" s="22" t="str">
        <f t="shared" si="68"/>
        <v>Microphytoplankton</v>
      </c>
      <c r="AR416" s="22">
        <v>0</v>
      </c>
      <c r="AS416" s="22">
        <v>0</v>
      </c>
      <c r="AT416" s="22">
        <v>0</v>
      </c>
      <c r="AU416" s="22">
        <v>0</v>
      </c>
      <c r="AV416" s="22">
        <v>1</v>
      </c>
      <c r="AW416" s="22">
        <v>0</v>
      </c>
      <c r="AX416" s="22">
        <v>0</v>
      </c>
      <c r="AY416" s="22">
        <v>1</v>
      </c>
    </row>
    <row r="417" spans="1:51">
      <c r="A417" s="22" t="s">
        <v>1377</v>
      </c>
      <c r="B417" s="22" t="s">
        <v>663</v>
      </c>
      <c r="C417" s="23" t="s">
        <v>822</v>
      </c>
      <c r="D417" s="23" t="s">
        <v>965</v>
      </c>
      <c r="E417" s="22" t="s">
        <v>991</v>
      </c>
      <c r="F417" s="22" t="s">
        <v>1347</v>
      </c>
      <c r="G417" s="22" t="s">
        <v>1348</v>
      </c>
      <c r="H417" s="22" t="s">
        <v>1359</v>
      </c>
      <c r="I417" s="22" t="s">
        <v>1378</v>
      </c>
      <c r="J417" s="22" t="s">
        <v>1379</v>
      </c>
      <c r="N417" s="22" t="s">
        <v>1380</v>
      </c>
      <c r="O417" s="22" t="s">
        <v>1352</v>
      </c>
      <c r="P417" s="22">
        <v>63105</v>
      </c>
      <c r="Q417" s="22">
        <v>11</v>
      </c>
      <c r="R417" s="22">
        <v>11</v>
      </c>
      <c r="S417" s="22">
        <v>7</v>
      </c>
      <c r="T417" s="22" t="s">
        <v>330</v>
      </c>
      <c r="U417" s="21">
        <v>0.8</v>
      </c>
      <c r="V417" s="21">
        <v>0.8</v>
      </c>
      <c r="W417" s="25">
        <f>(Q417*R417*2+Q417*S417*2+R417*S417*2)/V417</f>
        <v>687.5</v>
      </c>
      <c r="X417" s="25">
        <f>Q417*R417*S417*U417</f>
        <v>677.6</v>
      </c>
      <c r="Y417" s="22">
        <v>1</v>
      </c>
      <c r="Z417" s="24">
        <f t="shared" si="66"/>
        <v>687.5</v>
      </c>
      <c r="AA417" s="24">
        <f t="shared" si="67"/>
        <v>677.6</v>
      </c>
      <c r="AF417" s="21" t="s">
        <v>247</v>
      </c>
      <c r="AJ417" s="21">
        <v>677.60000000000014</v>
      </c>
      <c r="AK417" s="21">
        <v>11</v>
      </c>
      <c r="AL417" s="22" t="s">
        <v>161</v>
      </c>
      <c r="AM417" s="22">
        <v>0.11</v>
      </c>
      <c r="AP417" s="22" t="s">
        <v>162</v>
      </c>
      <c r="AQ417" s="22" t="str">
        <f t="shared" si="68"/>
        <v>Nanophytoplankton</v>
      </c>
      <c r="AR417" s="22">
        <v>0</v>
      </c>
      <c r="AS417" s="22">
        <v>0</v>
      </c>
      <c r="AT417" s="22">
        <v>0</v>
      </c>
      <c r="AU417" s="22">
        <v>0</v>
      </c>
      <c r="AV417" s="22">
        <v>0</v>
      </c>
      <c r="AW417" s="22">
        <v>0</v>
      </c>
      <c r="AX417" s="22">
        <v>0</v>
      </c>
      <c r="AY417" s="22">
        <v>1</v>
      </c>
    </row>
    <row r="418" spans="1:51">
      <c r="A418" s="22" t="s">
        <v>1381</v>
      </c>
      <c r="B418" s="22" t="s">
        <v>663</v>
      </c>
      <c r="C418" s="23" t="s">
        <v>822</v>
      </c>
      <c r="D418" s="23" t="s">
        <v>965</v>
      </c>
      <c r="E418" s="22" t="s">
        <v>991</v>
      </c>
      <c r="F418" s="22" t="s">
        <v>1347</v>
      </c>
      <c r="G418" s="22" t="s">
        <v>1348</v>
      </c>
      <c r="H418" s="23" t="s">
        <v>1382</v>
      </c>
      <c r="I418" s="22" t="s">
        <v>1383</v>
      </c>
      <c r="J418" s="22" t="s">
        <v>211</v>
      </c>
      <c r="M418" s="22" t="s">
        <v>1</v>
      </c>
      <c r="N418" s="22" t="s">
        <v>1173</v>
      </c>
      <c r="O418" s="22" t="s">
        <v>1352</v>
      </c>
      <c r="P418" s="22">
        <v>64200</v>
      </c>
      <c r="Q418" s="22">
        <v>10</v>
      </c>
      <c r="R418" s="22">
        <v>5</v>
      </c>
      <c r="S418" s="22">
        <v>5</v>
      </c>
      <c r="T418" s="22" t="s">
        <v>159</v>
      </c>
      <c r="U418" s="21">
        <v>1</v>
      </c>
      <c r="V418" s="22">
        <v>1</v>
      </c>
      <c r="W418" s="24">
        <f>(4*3.14*(((Q418^1.6*R418^1.6+Q418^1.6*S418^1.6+R418^1.6+S418^1.6)/3)^(1/1.6)))*(1/V418)</f>
        <v>495.03567506413054</v>
      </c>
      <c r="X418" s="24">
        <f>3.14/6*Q418*R418*S418*U418</f>
        <v>130.83333333333334</v>
      </c>
      <c r="Y418" s="22">
        <v>1</v>
      </c>
      <c r="Z418" s="24">
        <f t="shared" si="66"/>
        <v>495.03567506413054</v>
      </c>
      <c r="AA418" s="24">
        <f t="shared" si="67"/>
        <v>130.83333333333334</v>
      </c>
      <c r="AF418" s="21" t="s">
        <v>247</v>
      </c>
      <c r="AJ418" s="21">
        <v>130.83333333333334</v>
      </c>
      <c r="AK418" s="21">
        <v>10</v>
      </c>
      <c r="AL418" s="22" t="s">
        <v>161</v>
      </c>
      <c r="AM418" s="22">
        <v>0.11</v>
      </c>
      <c r="AP418" s="22" t="s">
        <v>162</v>
      </c>
      <c r="AQ418" s="22" t="str">
        <f t="shared" si="68"/>
        <v>Nanophytoplankton</v>
      </c>
      <c r="AR418" s="22">
        <v>0</v>
      </c>
      <c r="AS418" s="22">
        <v>0</v>
      </c>
      <c r="AT418" s="22">
        <v>0</v>
      </c>
      <c r="AU418" s="22">
        <v>0</v>
      </c>
      <c r="AV418" s="22">
        <v>0</v>
      </c>
      <c r="AW418" s="22">
        <v>0</v>
      </c>
      <c r="AX418" s="22">
        <v>0</v>
      </c>
      <c r="AY418" s="22">
        <v>1</v>
      </c>
    </row>
    <row r="419" spans="1:51">
      <c r="A419" s="22" t="s">
        <v>1384</v>
      </c>
      <c r="B419" s="22" t="s">
        <v>663</v>
      </c>
      <c r="C419" s="23" t="s">
        <v>822</v>
      </c>
      <c r="D419" s="23" t="s">
        <v>965</v>
      </c>
      <c r="E419" s="22" t="s">
        <v>991</v>
      </c>
      <c r="F419" s="22" t="s">
        <v>1347</v>
      </c>
      <c r="G419" s="22" t="s">
        <v>1348</v>
      </c>
      <c r="H419" s="23" t="s">
        <v>1382</v>
      </c>
      <c r="I419" s="22" t="s">
        <v>1385</v>
      </c>
      <c r="J419" s="22" t="s">
        <v>211</v>
      </c>
      <c r="N419" s="22" t="s">
        <v>1173</v>
      </c>
      <c r="O419" s="22" t="s">
        <v>1352</v>
      </c>
      <c r="P419" s="22">
        <v>64210</v>
      </c>
      <c r="Q419" s="22">
        <v>12</v>
      </c>
      <c r="R419" s="22">
        <v>4</v>
      </c>
      <c r="S419" s="22">
        <v>4</v>
      </c>
      <c r="T419" s="22" t="s">
        <v>159</v>
      </c>
      <c r="U419" s="21">
        <v>1</v>
      </c>
      <c r="V419" s="22">
        <v>1</v>
      </c>
      <c r="W419" s="24">
        <f>(4*3.14*(((Q419^1.6*R419^1.6+Q419^1.6*S419^1.6+R419^1.6+S419^1.6)/3)^(1/1.6)))*(1/V419)</f>
        <v>473.39062843786877</v>
      </c>
      <c r="X419" s="24">
        <f>3.14/6*Q419*R419*S419*U419</f>
        <v>100.47999999999999</v>
      </c>
      <c r="Y419" s="22">
        <v>1</v>
      </c>
      <c r="Z419" s="24">
        <f t="shared" si="66"/>
        <v>473.39062843786877</v>
      </c>
      <c r="AA419" s="24">
        <f t="shared" si="67"/>
        <v>100.47999999999999</v>
      </c>
      <c r="AF419" s="21"/>
      <c r="AJ419" s="21">
        <v>0</v>
      </c>
      <c r="AK419" s="21">
        <v>12</v>
      </c>
      <c r="AL419" s="22" t="s">
        <v>161</v>
      </c>
      <c r="AM419" s="22">
        <v>0.11</v>
      </c>
      <c r="AP419" s="22" t="s">
        <v>162</v>
      </c>
      <c r="AQ419" s="22" t="str">
        <f t="shared" si="68"/>
        <v>Nanophytoplankton</v>
      </c>
      <c r="AR419" s="22">
        <v>0</v>
      </c>
      <c r="AS419" s="22">
        <v>0</v>
      </c>
      <c r="AT419" s="22">
        <v>0</v>
      </c>
      <c r="AU419" s="22">
        <v>0</v>
      </c>
      <c r="AV419" s="22">
        <v>0</v>
      </c>
      <c r="AW419" s="22">
        <v>0</v>
      </c>
      <c r="AX419" s="22">
        <v>0</v>
      </c>
      <c r="AY419" s="22">
        <v>1</v>
      </c>
    </row>
    <row r="420" spans="1:51">
      <c r="A420" s="21" t="s">
        <v>1386</v>
      </c>
      <c r="B420" s="22" t="s">
        <v>663</v>
      </c>
      <c r="C420" s="23" t="s">
        <v>822</v>
      </c>
      <c r="D420" s="23" t="s">
        <v>965</v>
      </c>
      <c r="E420" s="22" t="s">
        <v>991</v>
      </c>
      <c r="F420" s="22" t="s">
        <v>1347</v>
      </c>
      <c r="G420" s="22" t="s">
        <v>1348</v>
      </c>
      <c r="H420" s="22" t="s">
        <v>1387</v>
      </c>
      <c r="I420" s="22" t="s">
        <v>1388</v>
      </c>
      <c r="J420" s="22" t="s">
        <v>448</v>
      </c>
      <c r="N420" s="22" t="s">
        <v>167</v>
      </c>
      <c r="O420" s="22" t="s">
        <v>1352</v>
      </c>
      <c r="P420" s="21">
        <v>64100</v>
      </c>
      <c r="Q420" s="21">
        <v>40</v>
      </c>
      <c r="R420" s="21">
        <v>4</v>
      </c>
      <c r="S420" s="21">
        <v>4</v>
      </c>
      <c r="T420" s="22" t="s">
        <v>281</v>
      </c>
      <c r="U420" s="21">
        <v>1</v>
      </c>
      <c r="V420" s="22">
        <v>1</v>
      </c>
      <c r="W420" s="24">
        <f>(4*3.14*(((Q420^1.6*R420^1.6+Q420^1.6*S420^1.6+R420^1.6+S420^1.6)/3)^(1/1.6)))*(1/V420)</f>
        <v>1562.4046118762972</v>
      </c>
      <c r="X420" s="24">
        <f>3.14/6*Q420*R420*S420*U420</f>
        <v>334.93333333333334</v>
      </c>
      <c r="Y420" s="21">
        <v>1</v>
      </c>
      <c r="Z420" s="24">
        <f t="shared" si="66"/>
        <v>1562.4046118762972</v>
      </c>
      <c r="AA420" s="24">
        <f t="shared" si="67"/>
        <v>334.93333333333334</v>
      </c>
      <c r="AB420" s="21"/>
      <c r="AC420" s="21"/>
      <c r="AD420" s="21"/>
      <c r="AE420" s="21"/>
      <c r="AF420" s="21" t="s">
        <v>247</v>
      </c>
      <c r="AG420" s="21"/>
      <c r="AH420" s="24"/>
      <c r="AI420" s="24"/>
      <c r="AJ420" s="21">
        <v>519.20000000000005</v>
      </c>
      <c r="AK420" s="21">
        <v>40</v>
      </c>
      <c r="AL420" s="22" t="s">
        <v>161</v>
      </c>
      <c r="AM420" s="22">
        <v>0.11</v>
      </c>
      <c r="AP420" s="22" t="s">
        <v>162</v>
      </c>
      <c r="AQ420" s="22" t="str">
        <f t="shared" si="68"/>
        <v>Microphytoplankton</v>
      </c>
      <c r="AR420" s="22">
        <v>0</v>
      </c>
      <c r="AS420" s="22">
        <v>0</v>
      </c>
      <c r="AT420" s="22">
        <v>0</v>
      </c>
      <c r="AU420" s="22">
        <v>0</v>
      </c>
      <c r="AV420" s="22">
        <v>0</v>
      </c>
      <c r="AW420" s="22">
        <v>0</v>
      </c>
      <c r="AX420" s="22">
        <v>0</v>
      </c>
      <c r="AY420" s="22">
        <v>1</v>
      </c>
    </row>
    <row r="421" spans="1:51">
      <c r="A421" s="22" t="s">
        <v>1389</v>
      </c>
      <c r="B421" s="22" t="s">
        <v>663</v>
      </c>
      <c r="C421" s="23" t="s">
        <v>822</v>
      </c>
      <c r="D421" s="23" t="s">
        <v>965</v>
      </c>
      <c r="E421" s="22" t="s">
        <v>991</v>
      </c>
      <c r="F421" s="22" t="s">
        <v>1347</v>
      </c>
      <c r="G421" s="22" t="s">
        <v>1348</v>
      </c>
      <c r="H421" s="22" t="s">
        <v>1359</v>
      </c>
      <c r="I421" s="22" t="s">
        <v>1390</v>
      </c>
      <c r="J421" s="22" t="s">
        <v>1391</v>
      </c>
      <c r="N421" s="22" t="s">
        <v>1392</v>
      </c>
      <c r="O421" s="22" t="s">
        <v>1352</v>
      </c>
      <c r="P421" s="22">
        <v>65001</v>
      </c>
      <c r="Q421" s="22">
        <v>28.5</v>
      </c>
      <c r="R421" s="22">
        <v>28.5</v>
      </c>
      <c r="S421" s="22">
        <v>4</v>
      </c>
      <c r="T421" s="22" t="s">
        <v>1363</v>
      </c>
      <c r="U421" s="21">
        <v>1</v>
      </c>
      <c r="V421" s="22">
        <v>1</v>
      </c>
      <c r="W421" s="25">
        <f>Q421*R421/2+S421*(Q421*2+R421)*1/V421</f>
        <v>748.125</v>
      </c>
      <c r="X421" s="25">
        <f>((Q421*R421*S421)/2)*U421</f>
        <v>1624.5</v>
      </c>
      <c r="Y421" s="21">
        <v>1</v>
      </c>
      <c r="Z421" s="24">
        <f t="shared" si="66"/>
        <v>748.125</v>
      </c>
      <c r="AA421" s="24">
        <f t="shared" si="67"/>
        <v>1624.5</v>
      </c>
      <c r="AE421" s="21"/>
      <c r="AF421" s="21" t="s">
        <v>247</v>
      </c>
      <c r="AG421" s="21"/>
      <c r="AH421" s="24"/>
      <c r="AI421" s="24"/>
      <c r="AJ421" s="21">
        <v>812.25</v>
      </c>
      <c r="AK421" s="21">
        <v>28.5</v>
      </c>
      <c r="AL421" s="22" t="s">
        <v>161</v>
      </c>
      <c r="AM421" s="22">
        <v>0.11</v>
      </c>
      <c r="AP421" s="22" t="s">
        <v>162</v>
      </c>
      <c r="AQ421" s="22" t="str">
        <f t="shared" si="68"/>
        <v>Microphytoplankton</v>
      </c>
      <c r="AR421" s="22">
        <v>0</v>
      </c>
      <c r="AS421" s="22">
        <v>0</v>
      </c>
      <c r="AT421" s="22">
        <v>0</v>
      </c>
      <c r="AU421" s="22">
        <v>0</v>
      </c>
      <c r="AV421" s="22">
        <v>0</v>
      </c>
      <c r="AW421" s="22">
        <v>0</v>
      </c>
      <c r="AX421" s="22">
        <v>0</v>
      </c>
      <c r="AY421" s="22">
        <v>1</v>
      </c>
    </row>
    <row r="422" spans="1:51">
      <c r="A422" s="22" t="s">
        <v>1393</v>
      </c>
      <c r="B422" s="22" t="s">
        <v>663</v>
      </c>
      <c r="C422" s="23" t="s">
        <v>822</v>
      </c>
      <c r="D422" s="23" t="s">
        <v>965</v>
      </c>
      <c r="E422" s="22" t="s">
        <v>991</v>
      </c>
      <c r="F422" s="23" t="s">
        <v>1394</v>
      </c>
      <c r="G422" s="23" t="s">
        <v>1395</v>
      </c>
      <c r="H422" s="23" t="s">
        <v>1396</v>
      </c>
      <c r="I422" s="22" t="s">
        <v>1397</v>
      </c>
      <c r="J422" s="22" t="s">
        <v>1398</v>
      </c>
      <c r="N422" s="22" t="s">
        <v>1399</v>
      </c>
      <c r="O422" s="22" t="s">
        <v>1352</v>
      </c>
      <c r="P422" s="22">
        <v>65006</v>
      </c>
      <c r="Q422" s="22">
        <v>5</v>
      </c>
      <c r="R422" s="22">
        <v>5</v>
      </c>
      <c r="S422" s="22">
        <v>2</v>
      </c>
      <c r="T422" s="22" t="s">
        <v>330</v>
      </c>
      <c r="U422" s="21">
        <v>1</v>
      </c>
      <c r="V422" s="22">
        <v>1</v>
      </c>
      <c r="W422" s="25">
        <f>(Q422*R422*2+Q422*S422*2+R422*S422*2)/V422</f>
        <v>90</v>
      </c>
      <c r="X422" s="25">
        <f>Q422*R422*S422*U422</f>
        <v>50</v>
      </c>
      <c r="Y422" s="21">
        <v>1</v>
      </c>
      <c r="Z422" s="24">
        <f t="shared" si="66"/>
        <v>90</v>
      </c>
      <c r="AA422" s="24">
        <f t="shared" si="67"/>
        <v>50</v>
      </c>
      <c r="AE422" s="21"/>
      <c r="AF422" s="21" t="s">
        <v>247</v>
      </c>
      <c r="AG422" s="21"/>
      <c r="AH422" s="24"/>
      <c r="AI422" s="24"/>
      <c r="AJ422" s="21">
        <v>40</v>
      </c>
      <c r="AK422" s="21">
        <v>5</v>
      </c>
      <c r="AL422" s="22" t="s">
        <v>161</v>
      </c>
      <c r="AM422" s="22">
        <v>0.11</v>
      </c>
      <c r="AP422" s="22" t="s">
        <v>162</v>
      </c>
      <c r="AQ422" s="22" t="str">
        <f t="shared" si="68"/>
        <v>Nanophytoplankton</v>
      </c>
      <c r="AR422" s="22">
        <v>0</v>
      </c>
      <c r="AS422" s="22">
        <v>0</v>
      </c>
      <c r="AT422" s="22">
        <v>0</v>
      </c>
      <c r="AU422" s="22">
        <v>0</v>
      </c>
      <c r="AV422" s="22">
        <v>0</v>
      </c>
      <c r="AW422" s="22">
        <v>0</v>
      </c>
      <c r="AX422" s="22">
        <v>0</v>
      </c>
      <c r="AY422" s="22">
        <v>1</v>
      </c>
    </row>
    <row r="423" spans="1:51">
      <c r="A423" s="22" t="s">
        <v>1400</v>
      </c>
      <c r="B423" s="22" t="s">
        <v>663</v>
      </c>
      <c r="C423" s="23" t="s">
        <v>822</v>
      </c>
      <c r="D423" s="23" t="s">
        <v>965</v>
      </c>
      <c r="E423" s="22" t="s">
        <v>991</v>
      </c>
      <c r="F423" s="23" t="s">
        <v>1394</v>
      </c>
      <c r="G423" s="23" t="s">
        <v>1395</v>
      </c>
      <c r="H423" s="23" t="s">
        <v>1396</v>
      </c>
      <c r="I423" s="23" t="s">
        <v>1401</v>
      </c>
      <c r="J423" s="22" t="s">
        <v>1402</v>
      </c>
      <c r="N423" s="22" t="s">
        <v>1403</v>
      </c>
      <c r="O423" s="22" t="s">
        <v>1352</v>
      </c>
      <c r="P423" s="22">
        <v>65002</v>
      </c>
      <c r="Q423" s="22">
        <v>15</v>
      </c>
      <c r="R423" s="22">
        <v>15</v>
      </c>
      <c r="S423" s="22">
        <v>7</v>
      </c>
      <c r="T423" s="22" t="s">
        <v>330</v>
      </c>
      <c r="U423" s="21">
        <v>1</v>
      </c>
      <c r="V423" s="22">
        <v>1</v>
      </c>
      <c r="W423" s="25">
        <f>(Q423*R423*2+Q423*S423*2+R423*S423*2)/V423</f>
        <v>870</v>
      </c>
      <c r="X423" s="25">
        <f>Q423*R423*S423*U423</f>
        <v>1575</v>
      </c>
      <c r="Y423" s="21">
        <v>1</v>
      </c>
      <c r="Z423" s="24">
        <f t="shared" si="66"/>
        <v>870</v>
      </c>
      <c r="AA423" s="24">
        <f t="shared" si="67"/>
        <v>1575</v>
      </c>
      <c r="AE423" s="21"/>
      <c r="AF423" s="21" t="s">
        <v>247</v>
      </c>
      <c r="AG423" s="21"/>
      <c r="AH423" s="24"/>
      <c r="AI423" s="24"/>
      <c r="AJ423" s="21">
        <v>787.5</v>
      </c>
      <c r="AK423" s="21">
        <v>20</v>
      </c>
      <c r="AL423" s="22" t="s">
        <v>748</v>
      </c>
      <c r="AM423" s="22">
        <v>0.11</v>
      </c>
      <c r="AP423" s="22" t="s">
        <v>162</v>
      </c>
      <c r="AQ423" s="22" t="str">
        <f t="shared" si="68"/>
        <v>Microphytoplankton</v>
      </c>
      <c r="AR423" s="22">
        <v>0</v>
      </c>
      <c r="AS423" s="22">
        <v>0</v>
      </c>
      <c r="AT423" s="22">
        <v>0</v>
      </c>
      <c r="AU423" s="22">
        <v>0</v>
      </c>
      <c r="AV423" s="22">
        <v>0</v>
      </c>
      <c r="AW423" s="22">
        <v>0</v>
      </c>
      <c r="AX423" s="22">
        <v>0</v>
      </c>
      <c r="AY423" s="22">
        <v>1</v>
      </c>
    </row>
    <row r="424" spans="1:51">
      <c r="A424" s="22" t="s">
        <v>1404</v>
      </c>
      <c r="B424" s="22" t="s">
        <v>663</v>
      </c>
      <c r="C424" s="23" t="s">
        <v>822</v>
      </c>
      <c r="D424" s="23" t="s">
        <v>965</v>
      </c>
      <c r="E424" s="22" t="s">
        <v>991</v>
      </c>
      <c r="F424" s="23" t="s">
        <v>1394</v>
      </c>
      <c r="G424" s="23" t="s">
        <v>1395</v>
      </c>
      <c r="H424" s="23" t="s">
        <v>1396</v>
      </c>
      <c r="I424" s="23" t="s">
        <v>1401</v>
      </c>
      <c r="J424" s="22" t="s">
        <v>1405</v>
      </c>
      <c r="N424" s="22" t="s">
        <v>1406</v>
      </c>
      <c r="O424" s="22" t="s">
        <v>1352</v>
      </c>
      <c r="P424" s="22">
        <v>65003</v>
      </c>
      <c r="Q424" s="22">
        <v>30.5</v>
      </c>
      <c r="R424" s="22">
        <v>30.5</v>
      </c>
      <c r="S424" s="22">
        <v>4</v>
      </c>
      <c r="T424" s="22" t="s">
        <v>330</v>
      </c>
      <c r="U424" s="21">
        <v>1</v>
      </c>
      <c r="V424" s="22">
        <v>1</v>
      </c>
      <c r="W424" s="25">
        <f>(Q424*R424*2+Q424*S424*2+R424*S424*2)/V424</f>
        <v>2348.5</v>
      </c>
      <c r="X424" s="25">
        <f>Q424*R424*S424*U424</f>
        <v>3721</v>
      </c>
      <c r="Y424" s="21">
        <v>1</v>
      </c>
      <c r="Z424" s="24">
        <f t="shared" si="66"/>
        <v>2348.5</v>
      </c>
      <c r="AA424" s="24">
        <f t="shared" si="67"/>
        <v>3721</v>
      </c>
      <c r="AE424" s="21"/>
      <c r="AF424" s="21" t="s">
        <v>247</v>
      </c>
      <c r="AG424" s="21"/>
      <c r="AH424" s="24"/>
      <c r="AI424" s="24"/>
      <c r="AJ424" s="21">
        <v>1860.5</v>
      </c>
      <c r="AK424" s="21">
        <v>30.5</v>
      </c>
      <c r="AL424" s="22" t="s">
        <v>161</v>
      </c>
      <c r="AM424" s="22">
        <v>0.11</v>
      </c>
      <c r="AP424" s="22" t="s">
        <v>162</v>
      </c>
      <c r="AQ424" s="22" t="str">
        <f t="shared" si="68"/>
        <v>Microphytoplankton</v>
      </c>
      <c r="AR424" s="22">
        <v>0</v>
      </c>
      <c r="AS424" s="22">
        <v>0</v>
      </c>
      <c r="AT424" s="22">
        <v>0</v>
      </c>
      <c r="AU424" s="22">
        <v>0</v>
      </c>
      <c r="AV424" s="22">
        <v>0</v>
      </c>
      <c r="AW424" s="22">
        <v>0</v>
      </c>
      <c r="AX424" s="22">
        <v>0</v>
      </c>
      <c r="AY424" s="22">
        <v>1</v>
      </c>
    </row>
    <row r="425" spans="1:51">
      <c r="A425" s="22" t="s">
        <v>1407</v>
      </c>
      <c r="B425" s="22" t="s">
        <v>663</v>
      </c>
      <c r="C425" s="23" t="s">
        <v>822</v>
      </c>
      <c r="D425" s="23" t="s">
        <v>965</v>
      </c>
      <c r="E425" s="22" t="s">
        <v>991</v>
      </c>
      <c r="F425" s="23" t="s">
        <v>1394</v>
      </c>
      <c r="G425" s="23" t="s">
        <v>1395</v>
      </c>
      <c r="H425" s="23" t="s">
        <v>1396</v>
      </c>
      <c r="I425" s="23" t="s">
        <v>1401</v>
      </c>
      <c r="J425" s="22" t="s">
        <v>1405</v>
      </c>
      <c r="K425" s="22" t="s">
        <v>175</v>
      </c>
      <c r="L425" s="22" t="s">
        <v>1408</v>
      </c>
      <c r="N425" s="22" t="s">
        <v>1409</v>
      </c>
      <c r="O425" s="22" t="s">
        <v>1352</v>
      </c>
      <c r="P425" s="22">
        <v>65004</v>
      </c>
      <c r="Q425" s="22">
        <v>15</v>
      </c>
      <c r="R425" s="22">
        <v>14</v>
      </c>
      <c r="S425" s="22">
        <v>8</v>
      </c>
      <c r="T425" s="22" t="s">
        <v>330</v>
      </c>
      <c r="U425" s="21">
        <v>1</v>
      </c>
      <c r="V425" s="22">
        <v>1</v>
      </c>
      <c r="W425" s="25">
        <f>(Q425*R425*2+Q425*S425*2+R425*S425*2)/V425</f>
        <v>884</v>
      </c>
      <c r="X425" s="25">
        <f>Q425*R425*S425*U425</f>
        <v>1680</v>
      </c>
      <c r="Y425" s="21">
        <v>1</v>
      </c>
      <c r="Z425" s="24">
        <f t="shared" si="66"/>
        <v>884</v>
      </c>
      <c r="AA425" s="24">
        <f t="shared" si="67"/>
        <v>1680</v>
      </c>
      <c r="AE425" s="21"/>
      <c r="AF425" s="21" t="s">
        <v>247</v>
      </c>
      <c r="AG425" s="21"/>
      <c r="AH425" s="24"/>
      <c r="AI425" s="24"/>
      <c r="AJ425" s="21">
        <v>840</v>
      </c>
      <c r="AK425" s="21">
        <v>20</v>
      </c>
      <c r="AL425" s="22" t="s">
        <v>748</v>
      </c>
      <c r="AM425" s="22">
        <v>0.11</v>
      </c>
      <c r="AP425" s="22" t="s">
        <v>162</v>
      </c>
      <c r="AQ425" s="22" t="str">
        <f t="shared" si="68"/>
        <v>Microphytoplankton</v>
      </c>
      <c r="AR425" s="22">
        <v>0</v>
      </c>
      <c r="AS425" s="22">
        <v>0</v>
      </c>
      <c r="AT425" s="22">
        <v>0</v>
      </c>
      <c r="AU425" s="22">
        <v>0</v>
      </c>
      <c r="AV425" s="22">
        <v>0</v>
      </c>
      <c r="AW425" s="22">
        <v>0</v>
      </c>
      <c r="AX425" s="22">
        <v>0</v>
      </c>
      <c r="AY425" s="22">
        <v>1</v>
      </c>
    </row>
    <row r="426" spans="1:51">
      <c r="A426" s="22" t="s">
        <v>1410</v>
      </c>
      <c r="B426" s="22" t="s">
        <v>663</v>
      </c>
      <c r="C426" s="23" t="s">
        <v>822</v>
      </c>
      <c r="D426" s="23" t="s">
        <v>965</v>
      </c>
      <c r="E426" s="22" t="s">
        <v>991</v>
      </c>
      <c r="F426" s="23" t="s">
        <v>1394</v>
      </c>
      <c r="G426" s="23" t="s">
        <v>1395</v>
      </c>
      <c r="H426" s="23" t="s">
        <v>1396</v>
      </c>
      <c r="I426" s="23" t="s">
        <v>1401</v>
      </c>
      <c r="J426" s="22" t="s">
        <v>176</v>
      </c>
      <c r="N426" s="22" t="s">
        <v>1411</v>
      </c>
      <c r="O426" s="22" t="s">
        <v>1352</v>
      </c>
      <c r="P426" s="22">
        <v>65005</v>
      </c>
      <c r="Q426" s="22">
        <v>52.5</v>
      </c>
      <c r="R426" s="22">
        <v>52.5</v>
      </c>
      <c r="S426" s="22">
        <v>4</v>
      </c>
      <c r="T426" s="22" t="s">
        <v>330</v>
      </c>
      <c r="U426" s="21">
        <v>1</v>
      </c>
      <c r="V426" s="22">
        <v>1</v>
      </c>
      <c r="W426" s="25">
        <f>(Q426*R426*2+Q426*S426*2+R426*S426*2)/V426</f>
        <v>6352.5</v>
      </c>
      <c r="X426" s="25">
        <f>Q426*R426*S426*U426</f>
        <v>11025</v>
      </c>
      <c r="Y426" s="21">
        <v>1</v>
      </c>
      <c r="Z426" s="24">
        <f t="shared" si="66"/>
        <v>6352.5</v>
      </c>
      <c r="AA426" s="24">
        <f t="shared" si="67"/>
        <v>11025</v>
      </c>
      <c r="AE426" s="21"/>
      <c r="AF426" s="21" t="s">
        <v>247</v>
      </c>
      <c r="AG426" s="21"/>
      <c r="AH426" s="24"/>
      <c r="AI426" s="24"/>
      <c r="AJ426" s="21">
        <v>5512.5</v>
      </c>
      <c r="AK426" s="21">
        <v>52.5</v>
      </c>
      <c r="AL426" s="22" t="s">
        <v>161</v>
      </c>
      <c r="AM426" s="22">
        <v>0.11</v>
      </c>
      <c r="AP426" s="22" t="s">
        <v>162</v>
      </c>
      <c r="AQ426" s="22" t="str">
        <f t="shared" si="68"/>
        <v>Microphytoplankton</v>
      </c>
      <c r="AR426" s="22">
        <v>0</v>
      </c>
      <c r="AS426" s="22">
        <v>0</v>
      </c>
      <c r="AT426" s="22">
        <v>0</v>
      </c>
      <c r="AU426" s="22">
        <v>0</v>
      </c>
      <c r="AV426" s="22">
        <v>0</v>
      </c>
      <c r="AW426" s="22">
        <v>0</v>
      </c>
      <c r="AX426" s="22">
        <v>0</v>
      </c>
      <c r="AY426" s="22">
        <v>1</v>
      </c>
    </row>
    <row r="427" spans="1:51">
      <c r="A427" s="21" t="s">
        <v>1412</v>
      </c>
      <c r="B427" s="22" t="s">
        <v>663</v>
      </c>
      <c r="C427" s="23" t="s">
        <v>822</v>
      </c>
      <c r="D427" s="23" t="s">
        <v>965</v>
      </c>
      <c r="E427" s="22" t="s">
        <v>991</v>
      </c>
      <c r="F427" s="22" t="s">
        <v>1347</v>
      </c>
      <c r="G427" s="22" t="s">
        <v>1354</v>
      </c>
      <c r="H427" s="22" t="s">
        <v>1355</v>
      </c>
      <c r="I427" s="22" t="s">
        <v>1413</v>
      </c>
      <c r="J427" s="22" t="s">
        <v>1414</v>
      </c>
      <c r="N427" s="22" t="s">
        <v>157</v>
      </c>
      <c r="O427" s="22" t="s">
        <v>1352</v>
      </c>
      <c r="P427" s="21">
        <v>61100</v>
      </c>
      <c r="Q427" s="22">
        <v>25</v>
      </c>
      <c r="R427" s="22">
        <v>4.5</v>
      </c>
      <c r="S427" s="22">
        <v>4.5</v>
      </c>
      <c r="T427" s="21" t="s">
        <v>160</v>
      </c>
      <c r="U427" s="21">
        <v>1</v>
      </c>
      <c r="V427" s="22">
        <v>1</v>
      </c>
      <c r="W427" s="24">
        <f>3.14*R427*Q427+2*3.14*(S427/2)^2/V427</f>
        <v>385.04250000000002</v>
      </c>
      <c r="X427" s="25">
        <f>(3.14/4*R427^2*Q427)*U427</f>
        <v>397.40625</v>
      </c>
      <c r="Y427" s="22">
        <v>4</v>
      </c>
      <c r="Z427" s="24">
        <f t="shared" si="66"/>
        <v>1540.17</v>
      </c>
      <c r="AA427" s="24">
        <f t="shared" si="67"/>
        <v>1589.625</v>
      </c>
      <c r="AB427" s="22">
        <v>100</v>
      </c>
      <c r="AC427" s="22">
        <v>4.5</v>
      </c>
      <c r="AD427" s="22">
        <v>4.5</v>
      </c>
      <c r="AE427" s="21" t="s">
        <v>160</v>
      </c>
      <c r="AF427" s="21">
        <v>1</v>
      </c>
      <c r="AG427" s="21">
        <v>1</v>
      </c>
      <c r="AH427" s="24">
        <f>3.14*AC427*AB427+2*3.14*(AD427/2)^2/AG427</f>
        <v>1444.7925</v>
      </c>
      <c r="AI427" s="25">
        <f>(3.14/4*AC427^2*AB427)*AF427</f>
        <v>1589.625</v>
      </c>
      <c r="AJ427" s="21">
        <v>1590.4</v>
      </c>
      <c r="AK427" s="21">
        <v>100</v>
      </c>
      <c r="AL427" s="22" t="s">
        <v>161</v>
      </c>
      <c r="AM427" s="22">
        <v>0.11</v>
      </c>
      <c r="AN427" s="22" t="s">
        <v>1357</v>
      </c>
      <c r="AO427" s="22" t="s">
        <v>1357</v>
      </c>
      <c r="AP427" s="22" t="s">
        <v>162</v>
      </c>
      <c r="AQ427" s="22" t="str">
        <f t="shared" si="68"/>
        <v>Microphytoplankton</v>
      </c>
      <c r="AR427" s="22">
        <v>0</v>
      </c>
      <c r="AS427" s="22">
        <v>0</v>
      </c>
      <c r="AT427" s="22">
        <v>0</v>
      </c>
      <c r="AU427" s="22">
        <v>1</v>
      </c>
      <c r="AV427" s="22">
        <v>1</v>
      </c>
      <c r="AW427" s="22">
        <v>0</v>
      </c>
      <c r="AX427" s="22">
        <v>0</v>
      </c>
      <c r="AY427" s="22">
        <v>1</v>
      </c>
    </row>
    <row r="428" spans="1:51">
      <c r="A428" s="21" t="s">
        <v>1415</v>
      </c>
      <c r="B428" s="22" t="s">
        <v>663</v>
      </c>
      <c r="C428" s="23" t="s">
        <v>822</v>
      </c>
      <c r="D428" s="23" t="s">
        <v>965</v>
      </c>
      <c r="E428" s="22" t="s">
        <v>991</v>
      </c>
      <c r="F428" s="22" t="s">
        <v>1347</v>
      </c>
      <c r="G428" s="22" t="s">
        <v>1354</v>
      </c>
      <c r="H428" s="22" t="s">
        <v>1355</v>
      </c>
      <c r="I428" s="22" t="s">
        <v>1413</v>
      </c>
      <c r="J428" s="22" t="s">
        <v>1414</v>
      </c>
      <c r="N428" s="22" t="s">
        <v>157</v>
      </c>
      <c r="O428" s="22" t="s">
        <v>1352</v>
      </c>
      <c r="P428" s="21">
        <v>61101</v>
      </c>
      <c r="Q428" s="22">
        <v>25</v>
      </c>
      <c r="R428" s="22">
        <v>4.5</v>
      </c>
      <c r="S428" s="22">
        <v>4.5</v>
      </c>
      <c r="T428" s="21" t="s">
        <v>160</v>
      </c>
      <c r="U428" s="21">
        <v>1</v>
      </c>
      <c r="V428" s="22">
        <v>1</v>
      </c>
      <c r="W428" s="24">
        <f>3.14*R428*Q428+2*3.14*(S428/2)^2/V428</f>
        <v>385.04250000000002</v>
      </c>
      <c r="X428" s="25">
        <f>(3.14/4*R428^2*Q428)*U428</f>
        <v>397.40625</v>
      </c>
      <c r="Y428" s="22">
        <v>4</v>
      </c>
      <c r="Z428" s="24">
        <f t="shared" si="66"/>
        <v>1540.17</v>
      </c>
      <c r="AA428" s="24">
        <f t="shared" si="67"/>
        <v>1589.625</v>
      </c>
      <c r="AB428" s="22">
        <v>100</v>
      </c>
      <c r="AC428" s="22">
        <v>4.5</v>
      </c>
      <c r="AD428" s="22">
        <v>4.5</v>
      </c>
      <c r="AE428" s="21" t="s">
        <v>160</v>
      </c>
      <c r="AF428" s="21">
        <v>1</v>
      </c>
      <c r="AG428" s="21">
        <v>1</v>
      </c>
      <c r="AH428" s="24">
        <f>3.14*AC428*AB428+2*3.14*(AD428/2)^2/AG428</f>
        <v>1444.7925</v>
      </c>
      <c r="AI428" s="25">
        <f>(3.14/4*AC428^2*AB428)*AF428</f>
        <v>1589.625</v>
      </c>
      <c r="AJ428" s="21">
        <v>1590.4</v>
      </c>
      <c r="AK428" s="21">
        <v>100</v>
      </c>
      <c r="AL428" s="22" t="s">
        <v>161</v>
      </c>
      <c r="AM428" s="22">
        <v>0.11</v>
      </c>
      <c r="AN428" s="22" t="s">
        <v>1357</v>
      </c>
      <c r="AO428" s="22" t="s">
        <v>1357</v>
      </c>
      <c r="AP428" s="22" t="s">
        <v>162</v>
      </c>
      <c r="AQ428" s="22" t="str">
        <f t="shared" si="68"/>
        <v>Microphytoplankton</v>
      </c>
      <c r="AR428" s="22">
        <v>0</v>
      </c>
      <c r="AS428" s="22">
        <v>0</v>
      </c>
      <c r="AT428" s="22">
        <v>0</v>
      </c>
      <c r="AU428" s="22">
        <v>1</v>
      </c>
      <c r="AV428" s="22">
        <v>1</v>
      </c>
      <c r="AW428" s="22">
        <v>0</v>
      </c>
      <c r="AX428" s="22">
        <v>0</v>
      </c>
      <c r="AY428" s="22">
        <v>1</v>
      </c>
    </row>
    <row r="429" spans="1:51">
      <c r="A429" s="21" t="s">
        <v>1416</v>
      </c>
      <c r="B429" s="22" t="s">
        <v>663</v>
      </c>
      <c r="C429" s="23" t="s">
        <v>822</v>
      </c>
      <c r="D429" s="23" t="s">
        <v>965</v>
      </c>
      <c r="E429" s="22" t="s">
        <v>991</v>
      </c>
      <c r="F429" s="22" t="s">
        <v>1347</v>
      </c>
      <c r="G429" s="22" t="s">
        <v>1354</v>
      </c>
      <c r="H429" s="22" t="s">
        <v>1355</v>
      </c>
      <c r="I429" s="22" t="s">
        <v>1413</v>
      </c>
      <c r="J429" s="22" t="s">
        <v>1417</v>
      </c>
      <c r="K429" s="22" t="s">
        <v>175</v>
      </c>
      <c r="L429" s="22" t="s">
        <v>1075</v>
      </c>
      <c r="N429" s="22" t="s">
        <v>1171</v>
      </c>
      <c r="O429" s="22" t="s">
        <v>1352</v>
      </c>
      <c r="P429" s="21">
        <v>61110</v>
      </c>
      <c r="Q429" s="22">
        <v>8</v>
      </c>
      <c r="R429" s="22">
        <v>3.2</v>
      </c>
      <c r="S429" s="22">
        <v>3.2</v>
      </c>
      <c r="T429" s="21" t="s">
        <v>160</v>
      </c>
      <c r="U429" s="21">
        <v>1</v>
      </c>
      <c r="V429" s="22">
        <v>1</v>
      </c>
      <c r="W429" s="24">
        <f>3.14*R429*Q429+2*3.14*(S429/2)^2/V429</f>
        <v>96.46080000000002</v>
      </c>
      <c r="X429" s="25">
        <f>(3.14/4*R429^2*Q429)*U429</f>
        <v>64.307200000000009</v>
      </c>
      <c r="Y429" s="22">
        <v>12.5</v>
      </c>
      <c r="Z429" s="24">
        <f t="shared" si="66"/>
        <v>1205.7600000000002</v>
      </c>
      <c r="AA429" s="24">
        <f t="shared" si="67"/>
        <v>803.84000000000015</v>
      </c>
      <c r="AB429" s="22">
        <v>100</v>
      </c>
      <c r="AC429" s="22">
        <v>3.2</v>
      </c>
      <c r="AD429" s="22">
        <v>3.2</v>
      </c>
      <c r="AE429" s="21" t="s">
        <v>160</v>
      </c>
      <c r="AF429" s="21">
        <v>1</v>
      </c>
      <c r="AG429" s="21">
        <v>1</v>
      </c>
      <c r="AH429" s="24">
        <f>3.14*AC429*AB429+2*3.14*(AD429/2)^2/AG429</f>
        <v>1020.8768000000002</v>
      </c>
      <c r="AI429" s="25">
        <f>(3.14/4*AC429^2*AB429)*AF429</f>
        <v>803.84000000000015</v>
      </c>
      <c r="AJ429" s="21">
        <v>804.2</v>
      </c>
      <c r="AK429" s="21">
        <v>100</v>
      </c>
      <c r="AL429" s="22" t="s">
        <v>161</v>
      </c>
      <c r="AM429" s="22">
        <v>0.11</v>
      </c>
      <c r="AN429" s="22" t="s">
        <v>1357</v>
      </c>
      <c r="AO429" s="22" t="s">
        <v>1357</v>
      </c>
      <c r="AP429" s="22" t="s">
        <v>162</v>
      </c>
      <c r="AQ429" s="22" t="str">
        <f t="shared" si="68"/>
        <v>Microphytoplankton</v>
      </c>
      <c r="AR429" s="22">
        <v>0</v>
      </c>
      <c r="AS429" s="22">
        <v>0</v>
      </c>
      <c r="AT429" s="22">
        <v>0</v>
      </c>
      <c r="AU429" s="22">
        <v>1</v>
      </c>
      <c r="AV429" s="22">
        <v>1</v>
      </c>
      <c r="AW429" s="22">
        <v>0</v>
      </c>
      <c r="AX429" s="22">
        <v>0</v>
      </c>
      <c r="AY429" s="22">
        <v>1</v>
      </c>
    </row>
    <row r="430" spans="1:51">
      <c r="A430" s="21" t="s">
        <v>1418</v>
      </c>
      <c r="B430" s="22" t="s">
        <v>663</v>
      </c>
      <c r="C430" s="23" t="s">
        <v>822</v>
      </c>
      <c r="D430" s="23" t="s">
        <v>965</v>
      </c>
      <c r="E430" s="22" t="s">
        <v>991</v>
      </c>
      <c r="F430" s="22" t="s">
        <v>1347</v>
      </c>
      <c r="G430" s="22" t="s">
        <v>1354</v>
      </c>
      <c r="H430" s="22" t="s">
        <v>1355</v>
      </c>
      <c r="I430" s="22" t="s">
        <v>1413</v>
      </c>
      <c r="J430" s="22" t="s">
        <v>1419</v>
      </c>
      <c r="N430" s="22" t="s">
        <v>1420</v>
      </c>
      <c r="O430" s="22" t="s">
        <v>1352</v>
      </c>
      <c r="P430" s="21">
        <v>61111</v>
      </c>
      <c r="Q430" s="22">
        <v>8</v>
      </c>
      <c r="R430" s="22">
        <v>5</v>
      </c>
      <c r="S430" s="22">
        <v>5</v>
      </c>
      <c r="T430" s="21" t="s">
        <v>160</v>
      </c>
      <c r="U430" s="21">
        <v>1</v>
      </c>
      <c r="V430" s="22">
        <v>1</v>
      </c>
      <c r="W430" s="24">
        <f>3.14*R430*Q430+2*3.14*(S430/2)^2/V430</f>
        <v>164.85000000000002</v>
      </c>
      <c r="X430" s="25">
        <f>(3.14/4*R430^2*Q430)*U430</f>
        <v>157</v>
      </c>
      <c r="Y430" s="22">
        <v>12.5</v>
      </c>
      <c r="Z430" s="24">
        <f t="shared" si="66"/>
        <v>2060.6250000000005</v>
      </c>
      <c r="AA430" s="24">
        <f t="shared" si="67"/>
        <v>1962.5</v>
      </c>
      <c r="AB430" s="22">
        <v>100</v>
      </c>
      <c r="AC430" s="22">
        <v>5</v>
      </c>
      <c r="AD430" s="22">
        <v>5</v>
      </c>
      <c r="AE430" s="21" t="s">
        <v>160</v>
      </c>
      <c r="AF430" s="21">
        <v>1</v>
      </c>
      <c r="AG430" s="21">
        <v>1</v>
      </c>
      <c r="AH430" s="24">
        <f>3.14*AC430*AB430+2*3.14*(AD430/2)^2/AG430</f>
        <v>1609.25</v>
      </c>
      <c r="AI430" s="25">
        <f>(3.14/4*AC430^2*AB430)*AF430</f>
        <v>1962.5</v>
      </c>
      <c r="AJ430" s="21">
        <v>1962.5</v>
      </c>
      <c r="AK430" s="21">
        <v>100</v>
      </c>
      <c r="AL430" s="22" t="s">
        <v>161</v>
      </c>
      <c r="AM430" s="22">
        <v>0.11</v>
      </c>
      <c r="AN430" s="22" t="s">
        <v>1357</v>
      </c>
      <c r="AO430" s="22" t="s">
        <v>1357</v>
      </c>
      <c r="AP430" s="22" t="s">
        <v>162</v>
      </c>
      <c r="AQ430" s="22" t="str">
        <f t="shared" si="68"/>
        <v>Microphytoplankton</v>
      </c>
      <c r="AR430" s="22">
        <v>0</v>
      </c>
      <c r="AS430" s="22">
        <v>0</v>
      </c>
      <c r="AT430" s="22">
        <v>0</v>
      </c>
      <c r="AU430" s="22">
        <v>1</v>
      </c>
      <c r="AV430" s="22">
        <v>1</v>
      </c>
      <c r="AW430" s="22">
        <v>0</v>
      </c>
      <c r="AX430" s="22">
        <v>0</v>
      </c>
      <c r="AY430" s="22">
        <v>1</v>
      </c>
    </row>
    <row r="431" spans="1:51">
      <c r="A431" s="21" t="s">
        <v>1421</v>
      </c>
      <c r="B431" s="22" t="s">
        <v>663</v>
      </c>
      <c r="C431" s="23" t="s">
        <v>822</v>
      </c>
      <c r="D431" s="23" t="s">
        <v>965</v>
      </c>
      <c r="E431" s="22" t="s">
        <v>991</v>
      </c>
      <c r="F431" s="22" t="s">
        <v>1347</v>
      </c>
      <c r="G431" s="22" t="s">
        <v>1354</v>
      </c>
      <c r="H431" s="22" t="s">
        <v>1355</v>
      </c>
      <c r="I431" s="22" t="s">
        <v>1413</v>
      </c>
      <c r="J431" s="22" t="s">
        <v>211</v>
      </c>
      <c r="M431" s="22" t="s">
        <v>1</v>
      </c>
      <c r="N431" s="22" t="s">
        <v>1422</v>
      </c>
      <c r="O431" s="22" t="s">
        <v>1352</v>
      </c>
      <c r="P431" s="21">
        <v>61120</v>
      </c>
      <c r="Q431" s="22">
        <v>8</v>
      </c>
      <c r="R431" s="22">
        <v>3.8</v>
      </c>
      <c r="S431" s="22">
        <v>3.8</v>
      </c>
      <c r="T431" s="21" t="s">
        <v>160</v>
      </c>
      <c r="U431" s="21">
        <v>1</v>
      </c>
      <c r="V431" s="22">
        <v>1</v>
      </c>
      <c r="W431" s="24">
        <f>3.14*R431*Q431+2*3.14*(S431/2)^2/V431</f>
        <v>118.1268</v>
      </c>
      <c r="X431" s="25">
        <f>(3.14/4*R431^2*Q431)*U431</f>
        <v>90.683199999999999</v>
      </c>
      <c r="Y431" s="22">
        <v>12.5</v>
      </c>
      <c r="Z431" s="24">
        <f t="shared" si="66"/>
        <v>1476.585</v>
      </c>
      <c r="AA431" s="24">
        <f t="shared" si="67"/>
        <v>1133.54</v>
      </c>
      <c r="AB431" s="22">
        <v>100</v>
      </c>
      <c r="AC431" s="22">
        <v>3.8</v>
      </c>
      <c r="AD431" s="22">
        <v>3.8</v>
      </c>
      <c r="AE431" s="21" t="s">
        <v>160</v>
      </c>
      <c r="AF431" s="21">
        <v>1</v>
      </c>
      <c r="AG431" s="21">
        <v>1</v>
      </c>
      <c r="AH431" s="24">
        <f>3.14*AC431*AB431+2*3.14*(AD431/2)^2/AG431</f>
        <v>1215.8708000000001</v>
      </c>
      <c r="AI431" s="25">
        <f>(3.14/4*AC431^2*AB431)*AF431</f>
        <v>1133.54</v>
      </c>
      <c r="AJ431" s="21">
        <v>1133.5</v>
      </c>
      <c r="AK431" s="21">
        <v>100</v>
      </c>
      <c r="AL431" s="22" t="s">
        <v>161</v>
      </c>
      <c r="AM431" s="22">
        <v>0.11</v>
      </c>
      <c r="AN431" s="22" t="s">
        <v>1357</v>
      </c>
      <c r="AO431" s="22" t="s">
        <v>1357</v>
      </c>
      <c r="AP431" s="22" t="s">
        <v>162</v>
      </c>
      <c r="AQ431" s="22" t="str">
        <f t="shared" si="68"/>
        <v>Microphytoplankton</v>
      </c>
      <c r="AR431" s="22">
        <v>0</v>
      </c>
      <c r="AS431" s="22">
        <v>0</v>
      </c>
      <c r="AT431" s="22">
        <v>0</v>
      </c>
      <c r="AU431" s="22">
        <v>1</v>
      </c>
      <c r="AV431" s="22">
        <v>1</v>
      </c>
      <c r="AW431" s="22">
        <v>0</v>
      </c>
      <c r="AX431" s="22">
        <v>0</v>
      </c>
      <c r="AY431" s="22">
        <v>1</v>
      </c>
    </row>
    <row r="432" spans="1:51">
      <c r="A432" s="21" t="s">
        <v>1423</v>
      </c>
      <c r="B432" s="22" t="s">
        <v>663</v>
      </c>
      <c r="C432" s="23" t="s">
        <v>822</v>
      </c>
      <c r="D432" s="23" t="s">
        <v>965</v>
      </c>
      <c r="E432" s="22" t="s">
        <v>62</v>
      </c>
      <c r="F432" s="22" t="s">
        <v>1424</v>
      </c>
      <c r="G432" s="23" t="s">
        <v>1425</v>
      </c>
      <c r="H432" s="22" t="s">
        <v>1426</v>
      </c>
      <c r="I432" s="22" t="s">
        <v>1427</v>
      </c>
      <c r="J432" s="22" t="s">
        <v>1428</v>
      </c>
      <c r="N432" s="22" t="s">
        <v>1429</v>
      </c>
      <c r="O432" s="22" t="s">
        <v>1430</v>
      </c>
      <c r="P432" s="21">
        <v>70001</v>
      </c>
      <c r="Q432" s="22">
        <v>50</v>
      </c>
      <c r="R432" s="22">
        <v>14</v>
      </c>
      <c r="S432" s="22">
        <v>7</v>
      </c>
      <c r="T432" s="22" t="s">
        <v>330</v>
      </c>
      <c r="U432" s="21">
        <v>1</v>
      </c>
      <c r="V432" s="22">
        <v>1</v>
      </c>
      <c r="W432" s="25">
        <f t="shared" ref="W432:W453" si="69">(Q432*R432*2+Q432*S432*2+R432*S432*2)/V432</f>
        <v>2296</v>
      </c>
      <c r="X432" s="25">
        <f t="shared" ref="X432:X453" si="70">Q432*R432*S432*U432</f>
        <v>4900</v>
      </c>
      <c r="Y432" s="22">
        <v>1</v>
      </c>
      <c r="Z432" s="24">
        <f t="shared" si="66"/>
        <v>2296</v>
      </c>
      <c r="AA432" s="24">
        <f t="shared" si="67"/>
        <v>4900</v>
      </c>
      <c r="AF432" s="21" t="s">
        <v>247</v>
      </c>
      <c r="AJ432" s="21">
        <v>4900</v>
      </c>
      <c r="AK432" s="21">
        <v>50</v>
      </c>
      <c r="AL432" s="22" t="s">
        <v>161</v>
      </c>
      <c r="AM432" s="22">
        <v>0.11</v>
      </c>
      <c r="AO432" s="22" t="s">
        <v>1431</v>
      </c>
      <c r="AP432" s="22" t="s">
        <v>1432</v>
      </c>
      <c r="AQ432" s="22" t="str">
        <f t="shared" si="68"/>
        <v>Microphytoplankton</v>
      </c>
      <c r="AR432" s="22">
        <v>0</v>
      </c>
      <c r="AS432" s="22">
        <v>0</v>
      </c>
      <c r="AT432" s="22">
        <v>0</v>
      </c>
      <c r="AU432" s="22">
        <v>0</v>
      </c>
      <c r="AV432" s="22">
        <v>0</v>
      </c>
      <c r="AW432" s="22">
        <v>0</v>
      </c>
      <c r="AX432" s="22">
        <v>1</v>
      </c>
      <c r="AY432" s="22">
        <v>0</v>
      </c>
    </row>
    <row r="433" spans="1:51">
      <c r="A433" s="22" t="s">
        <v>1433</v>
      </c>
      <c r="B433" s="22" t="s">
        <v>663</v>
      </c>
      <c r="C433" s="23" t="s">
        <v>822</v>
      </c>
      <c r="D433" s="23" t="s">
        <v>965</v>
      </c>
      <c r="E433" s="22" t="s">
        <v>62</v>
      </c>
      <c r="F433" s="23" t="s">
        <v>1434</v>
      </c>
      <c r="G433" s="23" t="s">
        <v>1435</v>
      </c>
      <c r="H433" s="23" t="s">
        <v>1436</v>
      </c>
      <c r="I433" s="22" t="s">
        <v>1437</v>
      </c>
      <c r="J433" s="22" t="s">
        <v>1438</v>
      </c>
      <c r="N433" s="22" t="s">
        <v>1439</v>
      </c>
      <c r="O433" s="22" t="s">
        <v>1430</v>
      </c>
      <c r="P433" s="22">
        <v>71170</v>
      </c>
      <c r="Q433" s="22">
        <v>13.5</v>
      </c>
      <c r="R433" s="22">
        <v>3.5</v>
      </c>
      <c r="S433" s="22">
        <v>3.5</v>
      </c>
      <c r="T433" s="22" t="s">
        <v>330</v>
      </c>
      <c r="U433" s="21">
        <v>0.8</v>
      </c>
      <c r="V433" s="21">
        <v>0.8</v>
      </c>
      <c r="W433" s="25">
        <f t="shared" si="69"/>
        <v>266.875</v>
      </c>
      <c r="X433" s="25">
        <f t="shared" si="70"/>
        <v>132.30000000000001</v>
      </c>
      <c r="Y433" s="22">
        <v>1</v>
      </c>
      <c r="Z433" s="24">
        <f t="shared" si="66"/>
        <v>266.875</v>
      </c>
      <c r="AA433" s="24">
        <f t="shared" si="67"/>
        <v>132.30000000000001</v>
      </c>
      <c r="AF433" s="21" t="s">
        <v>247</v>
      </c>
      <c r="AJ433" s="21">
        <v>132.30000000000001</v>
      </c>
      <c r="AK433" s="21">
        <v>13.5</v>
      </c>
      <c r="AL433" s="22" t="s">
        <v>161</v>
      </c>
      <c r="AM433" s="22">
        <v>0.11</v>
      </c>
      <c r="AP433" s="22" t="s">
        <v>1432</v>
      </c>
      <c r="AQ433" s="22" t="str">
        <f t="shared" si="68"/>
        <v>Nanophytoplankton</v>
      </c>
      <c r="AR433" s="22">
        <v>1</v>
      </c>
      <c r="AS433" s="22">
        <v>0</v>
      </c>
      <c r="AT433" s="22">
        <v>1</v>
      </c>
      <c r="AU433" s="22">
        <v>1</v>
      </c>
      <c r="AV433" s="22">
        <v>1</v>
      </c>
      <c r="AW433" s="22">
        <v>0</v>
      </c>
      <c r="AX433" s="22">
        <v>1</v>
      </c>
      <c r="AY433" s="22">
        <v>0</v>
      </c>
    </row>
    <row r="434" spans="1:51">
      <c r="A434" s="22" t="s">
        <v>1440</v>
      </c>
      <c r="B434" s="22" t="s">
        <v>663</v>
      </c>
      <c r="C434" s="23" t="s">
        <v>822</v>
      </c>
      <c r="D434" s="23" t="s">
        <v>965</v>
      </c>
      <c r="E434" s="22" t="s">
        <v>62</v>
      </c>
      <c r="F434" s="23" t="s">
        <v>1434</v>
      </c>
      <c r="G434" s="23" t="s">
        <v>1435</v>
      </c>
      <c r="H434" s="23" t="s">
        <v>1436</v>
      </c>
      <c r="I434" s="22" t="s">
        <v>1441</v>
      </c>
      <c r="J434" s="22" t="s">
        <v>1442</v>
      </c>
      <c r="N434" s="22" t="s">
        <v>1443</v>
      </c>
      <c r="O434" s="22" t="s">
        <v>1430</v>
      </c>
      <c r="P434" s="22">
        <v>71173</v>
      </c>
      <c r="Q434" s="22">
        <v>13.5</v>
      </c>
      <c r="R434" s="22">
        <v>3.5</v>
      </c>
      <c r="S434" s="22">
        <v>3.5</v>
      </c>
      <c r="T434" s="22" t="s">
        <v>330</v>
      </c>
      <c r="U434" s="21">
        <v>0.8</v>
      </c>
      <c r="V434" s="21">
        <v>0.8</v>
      </c>
      <c r="W434" s="25">
        <f t="shared" si="69"/>
        <v>266.875</v>
      </c>
      <c r="X434" s="25">
        <f t="shared" si="70"/>
        <v>132.30000000000001</v>
      </c>
      <c r="Y434" s="22">
        <v>1</v>
      </c>
      <c r="Z434" s="24">
        <f t="shared" si="66"/>
        <v>266.875</v>
      </c>
      <c r="AA434" s="24">
        <f t="shared" si="67"/>
        <v>132.30000000000001</v>
      </c>
      <c r="AF434" s="21" t="s">
        <v>247</v>
      </c>
      <c r="AJ434" s="21">
        <v>132.30000000000001</v>
      </c>
      <c r="AK434" s="21">
        <v>13.5</v>
      </c>
      <c r="AL434" s="22" t="s">
        <v>161</v>
      </c>
      <c r="AM434" s="22">
        <v>0.11</v>
      </c>
      <c r="AP434" s="22" t="s">
        <v>1432</v>
      </c>
      <c r="AQ434" s="22" t="str">
        <f t="shared" si="68"/>
        <v>Nanophytoplankton</v>
      </c>
      <c r="AR434" s="22">
        <v>1</v>
      </c>
      <c r="AS434" s="22">
        <v>0</v>
      </c>
      <c r="AT434" s="22">
        <v>1</v>
      </c>
      <c r="AU434" s="22">
        <v>1</v>
      </c>
      <c r="AV434" s="22">
        <v>1</v>
      </c>
      <c r="AW434" s="22">
        <v>0</v>
      </c>
      <c r="AX434" s="22">
        <v>1</v>
      </c>
      <c r="AY434" s="22">
        <v>0</v>
      </c>
    </row>
    <row r="435" spans="1:51">
      <c r="A435" s="22" t="s">
        <v>1444</v>
      </c>
      <c r="B435" s="22" t="s">
        <v>663</v>
      </c>
      <c r="C435" s="23" t="s">
        <v>822</v>
      </c>
      <c r="D435" s="23" t="s">
        <v>965</v>
      </c>
      <c r="E435" s="22" t="s">
        <v>62</v>
      </c>
      <c r="F435" s="23" t="s">
        <v>1434</v>
      </c>
      <c r="G435" s="23" t="s">
        <v>1435</v>
      </c>
      <c r="H435" s="23" t="s">
        <v>1436</v>
      </c>
      <c r="I435" s="22" t="s">
        <v>1437</v>
      </c>
      <c r="J435" s="22" t="s">
        <v>1445</v>
      </c>
      <c r="N435" s="22" t="s">
        <v>1446</v>
      </c>
      <c r="O435" s="22" t="s">
        <v>1430</v>
      </c>
      <c r="P435" s="22">
        <v>71172</v>
      </c>
      <c r="Q435" s="22">
        <v>20</v>
      </c>
      <c r="R435" s="22">
        <v>7.5</v>
      </c>
      <c r="S435" s="22">
        <v>3.5</v>
      </c>
      <c r="T435" s="22" t="s">
        <v>330</v>
      </c>
      <c r="U435" s="21">
        <v>0.8</v>
      </c>
      <c r="V435" s="21">
        <v>0.8</v>
      </c>
      <c r="W435" s="25">
        <f t="shared" si="69"/>
        <v>615.625</v>
      </c>
      <c r="X435" s="25">
        <f t="shared" si="70"/>
        <v>420</v>
      </c>
      <c r="Y435" s="22">
        <v>1</v>
      </c>
      <c r="Z435" s="24">
        <f t="shared" si="66"/>
        <v>615.625</v>
      </c>
      <c r="AA435" s="24">
        <f t="shared" si="67"/>
        <v>420</v>
      </c>
      <c r="AF435" s="21" t="s">
        <v>247</v>
      </c>
      <c r="AJ435" s="21">
        <v>485</v>
      </c>
      <c r="AK435" s="21">
        <v>20</v>
      </c>
      <c r="AL435" s="22" t="s">
        <v>161</v>
      </c>
      <c r="AM435" s="22">
        <v>0.11</v>
      </c>
      <c r="AO435" s="22" t="s">
        <v>1447</v>
      </c>
      <c r="AP435" s="22" t="s">
        <v>1432</v>
      </c>
      <c r="AQ435" s="22" t="str">
        <f t="shared" si="68"/>
        <v>Microphytoplankton</v>
      </c>
      <c r="AR435" s="22">
        <v>1</v>
      </c>
      <c r="AS435" s="22">
        <v>0</v>
      </c>
      <c r="AT435" s="22">
        <v>1</v>
      </c>
      <c r="AU435" s="22">
        <v>0</v>
      </c>
      <c r="AV435" s="22">
        <v>0</v>
      </c>
      <c r="AW435" s="22">
        <v>0</v>
      </c>
      <c r="AX435" s="22">
        <v>1</v>
      </c>
      <c r="AY435" s="22">
        <v>0</v>
      </c>
    </row>
    <row r="436" spans="1:51">
      <c r="A436" s="22" t="s">
        <v>1448</v>
      </c>
      <c r="B436" s="22" t="s">
        <v>663</v>
      </c>
      <c r="C436" s="23" t="s">
        <v>822</v>
      </c>
      <c r="D436" s="23" t="s">
        <v>965</v>
      </c>
      <c r="E436" s="22" t="s">
        <v>62</v>
      </c>
      <c r="F436" s="23" t="s">
        <v>1434</v>
      </c>
      <c r="G436" s="23" t="s">
        <v>1435</v>
      </c>
      <c r="H436" s="23" t="s">
        <v>1436</v>
      </c>
      <c r="I436" s="22" t="s">
        <v>1437</v>
      </c>
      <c r="J436" s="22" t="s">
        <v>1449</v>
      </c>
      <c r="N436" s="22" t="s">
        <v>1450</v>
      </c>
      <c r="O436" s="22" t="s">
        <v>1430</v>
      </c>
      <c r="P436" s="22">
        <v>71171</v>
      </c>
      <c r="Q436" s="22">
        <v>16</v>
      </c>
      <c r="R436" s="22">
        <v>3.5</v>
      </c>
      <c r="S436" s="22">
        <v>3.5</v>
      </c>
      <c r="T436" s="22" t="s">
        <v>330</v>
      </c>
      <c r="U436" s="21">
        <v>0.8</v>
      </c>
      <c r="V436" s="21">
        <v>0.8</v>
      </c>
      <c r="W436" s="25">
        <f t="shared" si="69"/>
        <v>310.625</v>
      </c>
      <c r="X436" s="25">
        <f t="shared" si="70"/>
        <v>156.80000000000001</v>
      </c>
      <c r="Y436" s="22">
        <v>1</v>
      </c>
      <c r="Z436" s="24">
        <f t="shared" si="66"/>
        <v>310.625</v>
      </c>
      <c r="AA436" s="24">
        <f t="shared" si="67"/>
        <v>156.80000000000001</v>
      </c>
      <c r="AF436" s="21" t="s">
        <v>247</v>
      </c>
      <c r="AJ436" s="21">
        <v>1407</v>
      </c>
      <c r="AK436" s="21">
        <v>16</v>
      </c>
      <c r="AL436" s="22" t="s">
        <v>161</v>
      </c>
      <c r="AM436" s="22">
        <v>0.11</v>
      </c>
      <c r="AO436" s="22" t="s">
        <v>1447</v>
      </c>
      <c r="AP436" s="22" t="s">
        <v>1432</v>
      </c>
      <c r="AQ436" s="22" t="str">
        <f t="shared" si="68"/>
        <v>Nanophytoplankton</v>
      </c>
      <c r="AR436" s="22">
        <v>1</v>
      </c>
      <c r="AS436" s="22">
        <v>0</v>
      </c>
      <c r="AT436" s="22">
        <v>1</v>
      </c>
      <c r="AU436" s="22">
        <v>0</v>
      </c>
      <c r="AV436" s="22">
        <v>0</v>
      </c>
      <c r="AW436" s="22">
        <v>0</v>
      </c>
      <c r="AX436" s="22">
        <v>1</v>
      </c>
      <c r="AY436" s="22">
        <v>0</v>
      </c>
    </row>
    <row r="437" spans="1:51">
      <c r="A437" s="21" t="s">
        <v>1451</v>
      </c>
      <c r="B437" s="22" t="s">
        <v>663</v>
      </c>
      <c r="C437" s="23" t="s">
        <v>822</v>
      </c>
      <c r="D437" s="23" t="s">
        <v>965</v>
      </c>
      <c r="E437" s="22" t="s">
        <v>62</v>
      </c>
      <c r="F437" s="23" t="s">
        <v>1434</v>
      </c>
      <c r="G437" s="23" t="s">
        <v>1435</v>
      </c>
      <c r="H437" s="23" t="s">
        <v>1436</v>
      </c>
      <c r="I437" s="22" t="s">
        <v>1437</v>
      </c>
      <c r="J437" s="22" t="s">
        <v>1452</v>
      </c>
      <c r="N437" s="22" t="s">
        <v>1453</v>
      </c>
      <c r="O437" s="22" t="s">
        <v>1430</v>
      </c>
      <c r="P437" s="22">
        <v>71160</v>
      </c>
      <c r="Q437" s="22">
        <v>6.5</v>
      </c>
      <c r="R437" s="22">
        <v>3.5</v>
      </c>
      <c r="S437" s="22">
        <v>1.5</v>
      </c>
      <c r="T437" s="22" t="s">
        <v>330</v>
      </c>
      <c r="U437" s="21">
        <v>0.7</v>
      </c>
      <c r="V437" s="21">
        <v>0.7</v>
      </c>
      <c r="W437" s="25">
        <f t="shared" si="69"/>
        <v>107.85714285714286</v>
      </c>
      <c r="X437" s="25">
        <f t="shared" si="70"/>
        <v>23.887499999999999</v>
      </c>
      <c r="Y437" s="22">
        <v>1</v>
      </c>
      <c r="Z437" s="24">
        <f t="shared" si="66"/>
        <v>107.85714285714286</v>
      </c>
      <c r="AA437" s="24">
        <f t="shared" si="67"/>
        <v>23.887499999999999</v>
      </c>
      <c r="AF437" s="21" t="s">
        <v>247</v>
      </c>
      <c r="AJ437" s="21">
        <v>23.9</v>
      </c>
      <c r="AK437" s="21">
        <v>6.5</v>
      </c>
      <c r="AL437" s="22" t="s">
        <v>161</v>
      </c>
      <c r="AM437" s="22">
        <v>0.11</v>
      </c>
      <c r="AO437" s="22" t="s">
        <v>1447</v>
      </c>
      <c r="AP437" s="22" t="s">
        <v>1432</v>
      </c>
      <c r="AQ437" s="22" t="str">
        <f t="shared" si="68"/>
        <v>Nanophytoplankton</v>
      </c>
      <c r="AR437" s="22">
        <v>1</v>
      </c>
      <c r="AS437" s="22">
        <v>0</v>
      </c>
      <c r="AT437" s="22">
        <v>1</v>
      </c>
      <c r="AU437" s="22">
        <v>0</v>
      </c>
      <c r="AV437" s="22">
        <v>0</v>
      </c>
      <c r="AW437" s="22">
        <v>0</v>
      </c>
      <c r="AX437" s="22">
        <v>1</v>
      </c>
      <c r="AY437" s="22">
        <v>0</v>
      </c>
    </row>
    <row r="438" spans="1:51">
      <c r="A438" s="21" t="s">
        <v>1454</v>
      </c>
      <c r="B438" s="22" t="s">
        <v>663</v>
      </c>
      <c r="C438" s="23" t="s">
        <v>822</v>
      </c>
      <c r="D438" s="23" t="s">
        <v>965</v>
      </c>
      <c r="E438" s="22" t="s">
        <v>62</v>
      </c>
      <c r="F438" s="23" t="s">
        <v>1434</v>
      </c>
      <c r="G438" s="23" t="s">
        <v>1435</v>
      </c>
      <c r="H438" s="23" t="s">
        <v>1436</v>
      </c>
      <c r="I438" s="22" t="s">
        <v>1437</v>
      </c>
      <c r="J438" s="22" t="s">
        <v>1455</v>
      </c>
      <c r="N438" s="22" t="s">
        <v>1456</v>
      </c>
      <c r="O438" s="22" t="s">
        <v>1430</v>
      </c>
      <c r="P438" s="22">
        <v>71180</v>
      </c>
      <c r="Q438" s="21">
        <v>17</v>
      </c>
      <c r="R438" s="21">
        <v>7</v>
      </c>
      <c r="S438" s="21">
        <v>2</v>
      </c>
      <c r="T438" s="22" t="s">
        <v>330</v>
      </c>
      <c r="U438" s="21">
        <v>0.8</v>
      </c>
      <c r="V438" s="21">
        <v>0.8</v>
      </c>
      <c r="W438" s="25">
        <f t="shared" si="69"/>
        <v>417.5</v>
      </c>
      <c r="X438" s="25">
        <f t="shared" si="70"/>
        <v>190.4</v>
      </c>
      <c r="Y438" s="22">
        <v>1</v>
      </c>
      <c r="Z438" s="24">
        <f t="shared" si="66"/>
        <v>417.5</v>
      </c>
      <c r="AA438" s="24">
        <f t="shared" si="67"/>
        <v>190.4</v>
      </c>
      <c r="AB438" s="21"/>
      <c r="AC438" s="21"/>
      <c r="AD438" s="21"/>
      <c r="AF438" s="21" t="s">
        <v>247</v>
      </c>
      <c r="AJ438" s="21">
        <v>190.4</v>
      </c>
      <c r="AK438" s="21">
        <v>17</v>
      </c>
      <c r="AL438" s="22" t="s">
        <v>161</v>
      </c>
      <c r="AM438" s="22">
        <v>0.11</v>
      </c>
      <c r="AO438" s="22" t="s">
        <v>1447</v>
      </c>
      <c r="AP438" s="22" t="s">
        <v>1432</v>
      </c>
      <c r="AQ438" s="22" t="str">
        <f t="shared" si="68"/>
        <v>Nanophytoplankton</v>
      </c>
      <c r="AR438" s="22">
        <v>1</v>
      </c>
      <c r="AS438" s="22">
        <v>0</v>
      </c>
      <c r="AT438" s="22">
        <v>1</v>
      </c>
      <c r="AU438" s="22">
        <v>0</v>
      </c>
      <c r="AV438" s="22">
        <v>0</v>
      </c>
      <c r="AW438" s="22">
        <v>0</v>
      </c>
      <c r="AX438" s="22">
        <v>1</v>
      </c>
      <c r="AY438" s="22">
        <v>0</v>
      </c>
    </row>
    <row r="439" spans="1:51">
      <c r="A439" s="21" t="s">
        <v>1457</v>
      </c>
      <c r="B439" s="22" t="s">
        <v>663</v>
      </c>
      <c r="C439" s="23" t="s">
        <v>822</v>
      </c>
      <c r="D439" s="23" t="s">
        <v>965</v>
      </c>
      <c r="E439" s="22" t="s">
        <v>62</v>
      </c>
      <c r="F439" s="23" t="s">
        <v>1434</v>
      </c>
      <c r="G439" s="23" t="s">
        <v>1435</v>
      </c>
      <c r="H439" s="23" t="s">
        <v>1436</v>
      </c>
      <c r="I439" s="22" t="s">
        <v>1437</v>
      </c>
      <c r="J439" s="22" t="s">
        <v>1458</v>
      </c>
      <c r="N439" s="22" t="s">
        <v>413</v>
      </c>
      <c r="O439" s="22" t="s">
        <v>1430</v>
      </c>
      <c r="P439" s="22">
        <v>71130</v>
      </c>
      <c r="Q439" s="21">
        <v>20</v>
      </c>
      <c r="R439" s="21">
        <v>5</v>
      </c>
      <c r="S439" s="21">
        <v>3</v>
      </c>
      <c r="T439" s="22" t="s">
        <v>330</v>
      </c>
      <c r="U439" s="21">
        <v>0.75</v>
      </c>
      <c r="V439" s="21">
        <v>0.8</v>
      </c>
      <c r="W439" s="25">
        <f t="shared" si="69"/>
        <v>437.5</v>
      </c>
      <c r="X439" s="25">
        <f t="shared" si="70"/>
        <v>225</v>
      </c>
      <c r="Y439" s="22">
        <v>1</v>
      </c>
      <c r="Z439" s="24">
        <f t="shared" si="66"/>
        <v>437.5</v>
      </c>
      <c r="AA439" s="24">
        <f t="shared" si="67"/>
        <v>225</v>
      </c>
      <c r="AB439" s="21"/>
      <c r="AC439" s="21"/>
      <c r="AD439" s="21"/>
      <c r="AF439" s="21" t="s">
        <v>247</v>
      </c>
      <c r="AJ439" s="21">
        <v>225</v>
      </c>
      <c r="AK439" s="21">
        <v>20</v>
      </c>
      <c r="AL439" s="22" t="s">
        <v>161</v>
      </c>
      <c r="AM439" s="22">
        <v>0.11</v>
      </c>
      <c r="AO439" s="22" t="s">
        <v>1447</v>
      </c>
      <c r="AP439" s="22" t="s">
        <v>1432</v>
      </c>
      <c r="AQ439" s="22" t="str">
        <f t="shared" si="68"/>
        <v>Microphytoplankton</v>
      </c>
      <c r="AR439" s="22">
        <v>1</v>
      </c>
      <c r="AS439" s="22">
        <v>0</v>
      </c>
      <c r="AT439" s="22">
        <v>1</v>
      </c>
      <c r="AU439" s="22">
        <v>0</v>
      </c>
      <c r="AV439" s="22">
        <v>0</v>
      </c>
      <c r="AW439" s="22">
        <v>0</v>
      </c>
      <c r="AX439" s="22">
        <v>1</v>
      </c>
      <c r="AY439" s="22">
        <v>0</v>
      </c>
    </row>
    <row r="440" spans="1:51">
      <c r="A440" s="21" t="s">
        <v>1459</v>
      </c>
      <c r="B440" s="22" t="s">
        <v>663</v>
      </c>
      <c r="C440" s="23" t="s">
        <v>822</v>
      </c>
      <c r="D440" s="23" t="s">
        <v>965</v>
      </c>
      <c r="E440" s="22" t="s">
        <v>62</v>
      </c>
      <c r="F440" s="23" t="s">
        <v>1434</v>
      </c>
      <c r="G440" s="23" t="s">
        <v>1435</v>
      </c>
      <c r="H440" s="23" t="s">
        <v>1436</v>
      </c>
      <c r="I440" s="22" t="s">
        <v>1437</v>
      </c>
      <c r="J440" s="22" t="s">
        <v>1460</v>
      </c>
      <c r="N440" s="22" t="s">
        <v>1461</v>
      </c>
      <c r="O440" s="22" t="s">
        <v>1430</v>
      </c>
      <c r="P440" s="22">
        <v>71150</v>
      </c>
      <c r="Q440" s="22">
        <v>39</v>
      </c>
      <c r="R440" s="22">
        <v>18.399999999999999</v>
      </c>
      <c r="S440" s="22">
        <v>5</v>
      </c>
      <c r="T440" s="22" t="s">
        <v>330</v>
      </c>
      <c r="U440" s="21">
        <v>0.7</v>
      </c>
      <c r="V440" s="21">
        <v>0.7</v>
      </c>
      <c r="W440" s="25">
        <f t="shared" si="69"/>
        <v>2870.2857142857142</v>
      </c>
      <c r="X440" s="25">
        <f t="shared" si="70"/>
        <v>2511.5999999999995</v>
      </c>
      <c r="Y440" s="22">
        <v>1</v>
      </c>
      <c r="Z440" s="24">
        <f t="shared" si="66"/>
        <v>2870.2857142857142</v>
      </c>
      <c r="AA440" s="24">
        <f t="shared" si="67"/>
        <v>2511.5999999999995</v>
      </c>
      <c r="AF440" s="21" t="s">
        <v>247</v>
      </c>
      <c r="AJ440" s="21">
        <v>2511.6</v>
      </c>
      <c r="AK440" s="21">
        <v>39</v>
      </c>
      <c r="AL440" s="22" t="s">
        <v>161</v>
      </c>
      <c r="AM440" s="22">
        <v>0.11</v>
      </c>
      <c r="AO440" s="22" t="s">
        <v>1447</v>
      </c>
      <c r="AP440" s="22" t="s">
        <v>1432</v>
      </c>
      <c r="AQ440" s="22" t="str">
        <f t="shared" si="68"/>
        <v>Microphytoplankton</v>
      </c>
      <c r="AR440" s="22">
        <v>1</v>
      </c>
      <c r="AS440" s="22">
        <v>0</v>
      </c>
      <c r="AT440" s="22">
        <v>1</v>
      </c>
      <c r="AU440" s="22">
        <v>0</v>
      </c>
      <c r="AV440" s="22">
        <v>0</v>
      </c>
      <c r="AW440" s="22">
        <v>0</v>
      </c>
      <c r="AX440" s="22">
        <v>1</v>
      </c>
      <c r="AY440" s="22">
        <v>0</v>
      </c>
    </row>
    <row r="441" spans="1:51">
      <c r="A441" s="21" t="s">
        <v>1462</v>
      </c>
      <c r="B441" s="22" t="s">
        <v>663</v>
      </c>
      <c r="C441" s="23" t="s">
        <v>822</v>
      </c>
      <c r="D441" s="23" t="s">
        <v>965</v>
      </c>
      <c r="E441" s="22" t="s">
        <v>62</v>
      </c>
      <c r="F441" s="23" t="s">
        <v>1434</v>
      </c>
      <c r="G441" s="23" t="s">
        <v>1435</v>
      </c>
      <c r="H441" s="23" t="s">
        <v>1436</v>
      </c>
      <c r="I441" s="22" t="s">
        <v>1437</v>
      </c>
      <c r="J441" s="22" t="s">
        <v>1463</v>
      </c>
      <c r="N441" s="22" t="s">
        <v>1464</v>
      </c>
      <c r="O441" s="22" t="s">
        <v>1430</v>
      </c>
      <c r="P441" s="21">
        <v>71135</v>
      </c>
      <c r="Q441" s="21">
        <v>23</v>
      </c>
      <c r="R441" s="21">
        <v>7</v>
      </c>
      <c r="S441" s="21">
        <v>4</v>
      </c>
      <c r="T441" s="22" t="s">
        <v>330</v>
      </c>
      <c r="U441" s="21">
        <v>0.6</v>
      </c>
      <c r="V441" s="21">
        <v>0.6</v>
      </c>
      <c r="W441" s="25">
        <f t="shared" si="69"/>
        <v>936.66666666666674</v>
      </c>
      <c r="X441" s="25">
        <f t="shared" si="70"/>
        <v>386.4</v>
      </c>
      <c r="Y441" s="22">
        <v>1</v>
      </c>
      <c r="Z441" s="24">
        <f t="shared" si="66"/>
        <v>936.66666666666674</v>
      </c>
      <c r="AA441" s="24">
        <f t="shared" si="67"/>
        <v>386.4</v>
      </c>
      <c r="AB441" s="21"/>
      <c r="AC441" s="21"/>
      <c r="AD441" s="21"/>
      <c r="AF441" s="21" t="s">
        <v>247</v>
      </c>
      <c r="AJ441" s="21">
        <v>450.8</v>
      </c>
      <c r="AK441" s="21">
        <v>23</v>
      </c>
      <c r="AL441" s="22" t="s">
        <v>161</v>
      </c>
      <c r="AM441" s="22">
        <v>0.11</v>
      </c>
      <c r="AO441" s="22" t="s">
        <v>1447</v>
      </c>
      <c r="AP441" s="22" t="s">
        <v>1432</v>
      </c>
      <c r="AQ441" s="22" t="str">
        <f t="shared" si="68"/>
        <v>Microphytoplankton</v>
      </c>
      <c r="AR441" s="22">
        <v>1</v>
      </c>
      <c r="AS441" s="22">
        <v>0</v>
      </c>
      <c r="AT441" s="22">
        <v>1</v>
      </c>
      <c r="AU441" s="22">
        <v>0</v>
      </c>
      <c r="AV441" s="22">
        <v>0</v>
      </c>
      <c r="AW441" s="22">
        <v>0</v>
      </c>
      <c r="AX441" s="22">
        <v>1</v>
      </c>
      <c r="AY441" s="22">
        <v>0</v>
      </c>
    </row>
    <row r="442" spans="1:51">
      <c r="A442" s="21" t="s">
        <v>1465</v>
      </c>
      <c r="B442" s="22" t="s">
        <v>663</v>
      </c>
      <c r="C442" s="23" t="s">
        <v>822</v>
      </c>
      <c r="D442" s="23" t="s">
        <v>965</v>
      </c>
      <c r="E442" s="22" t="s">
        <v>62</v>
      </c>
      <c r="F442" s="23" t="s">
        <v>1434</v>
      </c>
      <c r="G442" s="23" t="s">
        <v>1435</v>
      </c>
      <c r="H442" s="23" t="s">
        <v>1436</v>
      </c>
      <c r="I442" s="22" t="s">
        <v>1437</v>
      </c>
      <c r="J442" s="22" t="s">
        <v>1466</v>
      </c>
      <c r="N442" s="22" t="s">
        <v>413</v>
      </c>
      <c r="O442" s="22" t="s">
        <v>1430</v>
      </c>
      <c r="P442" s="21">
        <v>71110</v>
      </c>
      <c r="Q442" s="21">
        <v>35</v>
      </c>
      <c r="R442" s="21">
        <v>4</v>
      </c>
      <c r="S442" s="21">
        <v>3</v>
      </c>
      <c r="T442" s="22" t="s">
        <v>330</v>
      </c>
      <c r="U442" s="21">
        <v>0.75</v>
      </c>
      <c r="V442" s="21">
        <v>0.8</v>
      </c>
      <c r="W442" s="25">
        <f t="shared" si="69"/>
        <v>642.5</v>
      </c>
      <c r="X442" s="25">
        <f t="shared" si="70"/>
        <v>315</v>
      </c>
      <c r="Y442" s="22">
        <v>1</v>
      </c>
      <c r="Z442" s="24">
        <f t="shared" si="66"/>
        <v>642.5</v>
      </c>
      <c r="AA442" s="24">
        <f t="shared" si="67"/>
        <v>315</v>
      </c>
      <c r="AB442" s="21"/>
      <c r="AC442" s="21"/>
      <c r="AD442" s="21"/>
      <c r="AF442" s="21" t="s">
        <v>247</v>
      </c>
      <c r="AJ442" s="21">
        <v>315</v>
      </c>
      <c r="AK442" s="21">
        <v>35</v>
      </c>
      <c r="AL442" s="22" t="s">
        <v>161</v>
      </c>
      <c r="AM442" s="22">
        <v>0.11</v>
      </c>
      <c r="AO442" s="22" t="s">
        <v>1447</v>
      </c>
      <c r="AP442" s="22" t="s">
        <v>1432</v>
      </c>
      <c r="AQ442" s="22" t="str">
        <f t="shared" si="68"/>
        <v>Microphytoplankton</v>
      </c>
      <c r="AR442" s="22">
        <v>1</v>
      </c>
      <c r="AS442" s="22">
        <v>0</v>
      </c>
      <c r="AT442" s="22">
        <v>1</v>
      </c>
      <c r="AU442" s="22">
        <v>0</v>
      </c>
      <c r="AV442" s="22">
        <v>0</v>
      </c>
      <c r="AW442" s="22">
        <v>0</v>
      </c>
      <c r="AX442" s="22">
        <v>1</v>
      </c>
      <c r="AY442" s="22">
        <v>0</v>
      </c>
    </row>
    <row r="443" spans="1:51">
      <c r="A443" s="21" t="s">
        <v>1467</v>
      </c>
      <c r="B443" s="22" t="s">
        <v>663</v>
      </c>
      <c r="C443" s="23" t="s">
        <v>822</v>
      </c>
      <c r="D443" s="23" t="s">
        <v>965</v>
      </c>
      <c r="E443" s="22" t="s">
        <v>62</v>
      </c>
      <c r="F443" s="23" t="s">
        <v>1434</v>
      </c>
      <c r="G443" s="23" t="s">
        <v>1435</v>
      </c>
      <c r="H443" s="23" t="s">
        <v>1436</v>
      </c>
      <c r="I443" s="22" t="s">
        <v>1437</v>
      </c>
      <c r="J443" s="22" t="s">
        <v>211</v>
      </c>
      <c r="M443" s="22" t="s">
        <v>1</v>
      </c>
      <c r="N443" s="22" t="s">
        <v>1468</v>
      </c>
      <c r="O443" s="22" t="s">
        <v>1430</v>
      </c>
      <c r="P443" s="21">
        <v>71100</v>
      </c>
      <c r="Q443" s="21">
        <v>30</v>
      </c>
      <c r="R443" s="21">
        <v>4</v>
      </c>
      <c r="S443" s="21">
        <v>3</v>
      </c>
      <c r="T443" s="22" t="s">
        <v>330</v>
      </c>
      <c r="U443" s="21">
        <v>0.75</v>
      </c>
      <c r="V443" s="21">
        <v>0.8</v>
      </c>
      <c r="W443" s="25">
        <f t="shared" si="69"/>
        <v>555</v>
      </c>
      <c r="X443" s="25">
        <f t="shared" si="70"/>
        <v>270</v>
      </c>
      <c r="Y443" s="22">
        <v>1</v>
      </c>
      <c r="Z443" s="24">
        <f t="shared" si="66"/>
        <v>555</v>
      </c>
      <c r="AA443" s="24">
        <f t="shared" si="67"/>
        <v>270</v>
      </c>
      <c r="AB443" s="21"/>
      <c r="AC443" s="21"/>
      <c r="AD443" s="21"/>
      <c r="AF443" s="21" t="s">
        <v>247</v>
      </c>
      <c r="AJ443" s="21">
        <v>270</v>
      </c>
      <c r="AK443" s="21">
        <v>30</v>
      </c>
      <c r="AL443" s="22" t="s">
        <v>161</v>
      </c>
      <c r="AM443" s="22">
        <v>0.11</v>
      </c>
      <c r="AO443" s="22" t="s">
        <v>1447</v>
      </c>
      <c r="AP443" s="22" t="s">
        <v>1432</v>
      </c>
      <c r="AQ443" s="22" t="str">
        <f t="shared" si="68"/>
        <v>Microphytoplankton</v>
      </c>
      <c r="AR443" s="22">
        <v>1</v>
      </c>
      <c r="AS443" s="22">
        <v>0</v>
      </c>
      <c r="AT443" s="22">
        <v>1</v>
      </c>
      <c r="AU443" s="22">
        <v>0</v>
      </c>
      <c r="AV443" s="22">
        <v>0</v>
      </c>
      <c r="AW443" s="22">
        <v>0</v>
      </c>
      <c r="AX443" s="22">
        <v>1</v>
      </c>
      <c r="AY443" s="22">
        <v>0</v>
      </c>
    </row>
    <row r="444" spans="1:51">
      <c r="A444" s="22" t="s">
        <v>1469</v>
      </c>
      <c r="B444" s="22" t="s">
        <v>663</v>
      </c>
      <c r="C444" s="23" t="s">
        <v>822</v>
      </c>
      <c r="D444" s="23" t="s">
        <v>965</v>
      </c>
      <c r="E444" s="22" t="s">
        <v>62</v>
      </c>
      <c r="F444" s="23" t="s">
        <v>1434</v>
      </c>
      <c r="G444" s="23" t="s">
        <v>1435</v>
      </c>
      <c r="H444" s="23" t="s">
        <v>1436</v>
      </c>
      <c r="I444" s="22" t="s">
        <v>1441</v>
      </c>
      <c r="J444" s="22" t="s">
        <v>1470</v>
      </c>
      <c r="N444" s="22" t="s">
        <v>1471</v>
      </c>
      <c r="O444" s="22" t="s">
        <v>1430</v>
      </c>
      <c r="P444" s="21">
        <v>71111</v>
      </c>
      <c r="Q444" s="22">
        <v>15</v>
      </c>
      <c r="R444" s="22">
        <v>3.5</v>
      </c>
      <c r="S444" s="22">
        <v>3</v>
      </c>
      <c r="T444" s="22" t="s">
        <v>330</v>
      </c>
      <c r="U444" s="21">
        <v>0.75</v>
      </c>
      <c r="V444" s="21">
        <v>0.8</v>
      </c>
      <c r="W444" s="25">
        <f t="shared" si="69"/>
        <v>270</v>
      </c>
      <c r="X444" s="25">
        <f t="shared" si="70"/>
        <v>118.125</v>
      </c>
      <c r="Y444" s="22">
        <v>1</v>
      </c>
      <c r="Z444" s="24">
        <f t="shared" si="66"/>
        <v>270</v>
      </c>
      <c r="AA444" s="24">
        <f t="shared" si="67"/>
        <v>118.125</v>
      </c>
      <c r="AF444" s="21" t="s">
        <v>247</v>
      </c>
      <c r="AJ444" s="21">
        <v>76</v>
      </c>
      <c r="AK444" s="21">
        <v>15</v>
      </c>
      <c r="AL444" s="22" t="s">
        <v>161</v>
      </c>
      <c r="AM444" s="22">
        <v>0.11</v>
      </c>
      <c r="AO444" s="22" t="s">
        <v>1447</v>
      </c>
      <c r="AP444" s="22" t="s">
        <v>1432</v>
      </c>
      <c r="AQ444" s="22" t="str">
        <f t="shared" si="68"/>
        <v>Nanophytoplankton</v>
      </c>
      <c r="AR444" s="22">
        <v>1</v>
      </c>
      <c r="AS444" s="22">
        <v>0</v>
      </c>
      <c r="AT444" s="22">
        <v>1</v>
      </c>
      <c r="AU444" s="22">
        <v>0</v>
      </c>
      <c r="AV444" s="22">
        <v>0</v>
      </c>
      <c r="AW444" s="22">
        <v>0</v>
      </c>
      <c r="AX444" s="22">
        <v>1</v>
      </c>
      <c r="AY444" s="22">
        <v>0</v>
      </c>
    </row>
    <row r="445" spans="1:51">
      <c r="A445" s="21" t="s">
        <v>1472</v>
      </c>
      <c r="B445" s="22" t="s">
        <v>663</v>
      </c>
      <c r="C445" s="23" t="s">
        <v>822</v>
      </c>
      <c r="D445" s="23" t="s">
        <v>965</v>
      </c>
      <c r="E445" s="22" t="s">
        <v>62</v>
      </c>
      <c r="F445" s="23" t="s">
        <v>1434</v>
      </c>
      <c r="G445" s="23" t="s">
        <v>1473</v>
      </c>
      <c r="H445" s="23" t="s">
        <v>1474</v>
      </c>
      <c r="I445" s="22" t="s">
        <v>1475</v>
      </c>
      <c r="J445" s="22" t="s">
        <v>1476</v>
      </c>
      <c r="N445" s="22" t="s">
        <v>413</v>
      </c>
      <c r="O445" s="22" t="s">
        <v>1430</v>
      </c>
      <c r="P445" s="22">
        <v>73050</v>
      </c>
      <c r="Q445" s="21">
        <v>96</v>
      </c>
      <c r="R445" s="21">
        <v>7.5</v>
      </c>
      <c r="S445" s="21">
        <v>5</v>
      </c>
      <c r="T445" s="22" t="s">
        <v>330</v>
      </c>
      <c r="U445" s="21">
        <v>0.7</v>
      </c>
      <c r="V445" s="21">
        <v>0.7</v>
      </c>
      <c r="W445" s="25">
        <f t="shared" si="69"/>
        <v>3535.7142857142858</v>
      </c>
      <c r="X445" s="25">
        <f t="shared" si="70"/>
        <v>2520</v>
      </c>
      <c r="Y445" s="22">
        <v>1</v>
      </c>
      <c r="Z445" s="24">
        <f t="shared" si="66"/>
        <v>3535.7142857142858</v>
      </c>
      <c r="AA445" s="24">
        <f t="shared" si="67"/>
        <v>2520</v>
      </c>
      <c r="AB445" s="21"/>
      <c r="AC445" s="21"/>
      <c r="AD445" s="21"/>
      <c r="AF445" s="21" t="s">
        <v>247</v>
      </c>
      <c r="AJ445" s="21">
        <v>2520</v>
      </c>
      <c r="AK445" s="21">
        <v>96</v>
      </c>
      <c r="AL445" s="22" t="s">
        <v>161</v>
      </c>
      <c r="AM445" s="22">
        <v>0.11</v>
      </c>
      <c r="AP445" s="22" t="s">
        <v>1432</v>
      </c>
      <c r="AQ445" s="22" t="str">
        <f t="shared" si="68"/>
        <v>Microphytoplankton</v>
      </c>
      <c r="AR445" s="22">
        <v>1</v>
      </c>
      <c r="AS445" s="22">
        <v>0</v>
      </c>
      <c r="AT445" s="22">
        <v>1</v>
      </c>
      <c r="AU445" s="22">
        <v>0</v>
      </c>
      <c r="AV445" s="22">
        <v>0</v>
      </c>
      <c r="AW445" s="22">
        <v>0</v>
      </c>
      <c r="AX445" s="22">
        <v>1</v>
      </c>
      <c r="AY445" s="22">
        <v>0</v>
      </c>
    </row>
    <row r="446" spans="1:51">
      <c r="A446" s="21" t="s">
        <v>1477</v>
      </c>
      <c r="B446" s="22" t="s">
        <v>663</v>
      </c>
      <c r="C446" s="23" t="s">
        <v>822</v>
      </c>
      <c r="D446" s="23" t="s">
        <v>965</v>
      </c>
      <c r="E446" s="22" t="s">
        <v>62</v>
      </c>
      <c r="F446" s="23" t="s">
        <v>1434</v>
      </c>
      <c r="G446" s="23" t="s">
        <v>1478</v>
      </c>
      <c r="H446" s="23" t="s">
        <v>1479</v>
      </c>
      <c r="I446" s="22" t="s">
        <v>1480</v>
      </c>
      <c r="J446" s="22" t="s">
        <v>1481</v>
      </c>
      <c r="N446" s="22" t="s">
        <v>1482</v>
      </c>
      <c r="O446" s="22" t="s">
        <v>1430</v>
      </c>
      <c r="P446" s="22">
        <v>71660</v>
      </c>
      <c r="Q446" s="22">
        <v>37</v>
      </c>
      <c r="R446" s="22">
        <v>9.5</v>
      </c>
      <c r="S446" s="22">
        <v>4</v>
      </c>
      <c r="T446" s="22" t="s">
        <v>330</v>
      </c>
      <c r="U446" s="21">
        <v>0.8</v>
      </c>
      <c r="V446" s="21">
        <v>0.8</v>
      </c>
      <c r="W446" s="25">
        <f t="shared" si="69"/>
        <v>1343.75</v>
      </c>
      <c r="X446" s="25">
        <f t="shared" si="70"/>
        <v>1124.8</v>
      </c>
      <c r="Y446" s="22">
        <v>1</v>
      </c>
      <c r="Z446" s="24">
        <f t="shared" si="66"/>
        <v>1343.75</v>
      </c>
      <c r="AA446" s="24">
        <f t="shared" si="67"/>
        <v>1124.8</v>
      </c>
      <c r="AF446" s="21" t="s">
        <v>247</v>
      </c>
      <c r="AJ446" s="21">
        <v>1124.8</v>
      </c>
      <c r="AK446" s="21">
        <v>37</v>
      </c>
      <c r="AL446" s="22" t="s">
        <v>161</v>
      </c>
      <c r="AM446" s="22">
        <v>0.11</v>
      </c>
      <c r="AP446" s="22" t="s">
        <v>1432</v>
      </c>
      <c r="AQ446" s="22" t="str">
        <f t="shared" si="68"/>
        <v>Microphytoplankton</v>
      </c>
      <c r="AR446" s="22">
        <v>1</v>
      </c>
      <c r="AS446" s="22">
        <v>0</v>
      </c>
      <c r="AT446" s="22">
        <v>1</v>
      </c>
      <c r="AU446" s="22">
        <v>0</v>
      </c>
      <c r="AV446" s="22">
        <v>0</v>
      </c>
      <c r="AW446" s="22">
        <v>0</v>
      </c>
      <c r="AX446" s="22">
        <v>1</v>
      </c>
      <c r="AY446" s="22">
        <v>0</v>
      </c>
    </row>
    <row r="447" spans="1:51">
      <c r="A447" s="21" t="s">
        <v>1483</v>
      </c>
      <c r="B447" s="22" t="s">
        <v>663</v>
      </c>
      <c r="C447" s="23" t="s">
        <v>822</v>
      </c>
      <c r="D447" s="23" t="s">
        <v>965</v>
      </c>
      <c r="E447" s="22" t="s">
        <v>62</v>
      </c>
      <c r="F447" s="23" t="s">
        <v>1434</v>
      </c>
      <c r="G447" s="23" t="s">
        <v>1478</v>
      </c>
      <c r="H447" s="23" t="s">
        <v>1479</v>
      </c>
      <c r="I447" s="22" t="s">
        <v>1480</v>
      </c>
      <c r="J447" s="22" t="s">
        <v>1484</v>
      </c>
      <c r="N447" s="22" t="s">
        <v>1485</v>
      </c>
      <c r="O447" s="22" t="s">
        <v>1430</v>
      </c>
      <c r="P447" s="21">
        <v>71630</v>
      </c>
      <c r="Q447" s="21">
        <v>20</v>
      </c>
      <c r="R447" s="21">
        <v>5</v>
      </c>
      <c r="S447" s="21">
        <v>3.5</v>
      </c>
      <c r="T447" s="22" t="s">
        <v>330</v>
      </c>
      <c r="U447" s="21">
        <v>0.8</v>
      </c>
      <c r="V447" s="21">
        <v>0.8</v>
      </c>
      <c r="W447" s="25">
        <f t="shared" si="69"/>
        <v>468.75</v>
      </c>
      <c r="X447" s="25">
        <f t="shared" si="70"/>
        <v>280</v>
      </c>
      <c r="Y447" s="22">
        <v>1</v>
      </c>
      <c r="Z447" s="24">
        <f t="shared" si="66"/>
        <v>468.75</v>
      </c>
      <c r="AA447" s="24">
        <f t="shared" si="67"/>
        <v>280</v>
      </c>
      <c r="AB447" s="21"/>
      <c r="AC447" s="21"/>
      <c r="AD447" s="21"/>
      <c r="AF447" s="21" t="s">
        <v>247</v>
      </c>
      <c r="AJ447" s="21">
        <v>280</v>
      </c>
      <c r="AK447" s="21">
        <v>20</v>
      </c>
      <c r="AL447" s="22" t="s">
        <v>161</v>
      </c>
      <c r="AM447" s="22">
        <v>0.11</v>
      </c>
      <c r="AP447" s="22" t="s">
        <v>1432</v>
      </c>
      <c r="AQ447" s="22" t="str">
        <f t="shared" si="68"/>
        <v>Microphytoplankton</v>
      </c>
      <c r="AR447" s="22">
        <v>1</v>
      </c>
      <c r="AS447" s="22">
        <v>0</v>
      </c>
      <c r="AT447" s="22">
        <v>1</v>
      </c>
      <c r="AU447" s="22">
        <v>0</v>
      </c>
      <c r="AV447" s="22">
        <v>0</v>
      </c>
      <c r="AW447" s="22">
        <v>0</v>
      </c>
      <c r="AX447" s="22">
        <v>1</v>
      </c>
      <c r="AY447" s="22">
        <v>0</v>
      </c>
    </row>
    <row r="448" spans="1:51">
      <c r="A448" s="21" t="s">
        <v>1486</v>
      </c>
      <c r="B448" s="22" t="s">
        <v>663</v>
      </c>
      <c r="C448" s="23" t="s">
        <v>822</v>
      </c>
      <c r="D448" s="23" t="s">
        <v>965</v>
      </c>
      <c r="E448" s="22" t="s">
        <v>62</v>
      </c>
      <c r="F448" s="23" t="s">
        <v>1434</v>
      </c>
      <c r="G448" s="23" t="s">
        <v>1478</v>
      </c>
      <c r="H448" s="23" t="s">
        <v>1479</v>
      </c>
      <c r="I448" s="22" t="s">
        <v>1480</v>
      </c>
      <c r="J448" s="22" t="s">
        <v>1487</v>
      </c>
      <c r="N448" s="22" t="s">
        <v>1488</v>
      </c>
      <c r="O448" s="22" t="s">
        <v>1430</v>
      </c>
      <c r="P448" s="21">
        <v>71640</v>
      </c>
      <c r="Q448" s="21">
        <v>41</v>
      </c>
      <c r="R448" s="21">
        <v>19</v>
      </c>
      <c r="S448" s="21">
        <v>4</v>
      </c>
      <c r="T448" s="22" t="s">
        <v>330</v>
      </c>
      <c r="U448" s="21">
        <v>0.8</v>
      </c>
      <c r="V448" s="21">
        <v>0.8</v>
      </c>
      <c r="W448" s="25">
        <f t="shared" si="69"/>
        <v>2547.5</v>
      </c>
      <c r="X448" s="25">
        <f t="shared" si="70"/>
        <v>2492.8000000000002</v>
      </c>
      <c r="Y448" s="22">
        <v>1</v>
      </c>
      <c r="Z448" s="24">
        <f t="shared" si="66"/>
        <v>2547.5</v>
      </c>
      <c r="AA448" s="24">
        <f t="shared" si="67"/>
        <v>2492.8000000000002</v>
      </c>
      <c r="AB448" s="21"/>
      <c r="AC448" s="21"/>
      <c r="AD448" s="21"/>
      <c r="AF448" s="21" t="s">
        <v>247</v>
      </c>
      <c r="AJ448" s="21">
        <v>2492.8000000000002</v>
      </c>
      <c r="AK448" s="21">
        <v>41</v>
      </c>
      <c r="AL448" s="22" t="s">
        <v>161</v>
      </c>
      <c r="AM448" s="22">
        <v>0.11</v>
      </c>
      <c r="AP448" s="22" t="s">
        <v>1432</v>
      </c>
      <c r="AQ448" s="22" t="str">
        <f t="shared" si="68"/>
        <v>Microphytoplankton</v>
      </c>
      <c r="AR448" s="22">
        <v>1</v>
      </c>
      <c r="AS448" s="22">
        <v>0</v>
      </c>
      <c r="AT448" s="22">
        <v>1</v>
      </c>
      <c r="AU448" s="22">
        <v>0</v>
      </c>
      <c r="AV448" s="22">
        <v>0</v>
      </c>
      <c r="AW448" s="22">
        <v>0</v>
      </c>
      <c r="AX448" s="22">
        <v>1</v>
      </c>
      <c r="AY448" s="22">
        <v>0</v>
      </c>
    </row>
    <row r="449" spans="1:57">
      <c r="A449" s="21" t="s">
        <v>1489</v>
      </c>
      <c r="B449" s="22" t="s">
        <v>663</v>
      </c>
      <c r="C449" s="23" t="s">
        <v>822</v>
      </c>
      <c r="D449" s="23" t="s">
        <v>965</v>
      </c>
      <c r="E449" s="22" t="s">
        <v>62</v>
      </c>
      <c r="F449" s="23" t="s">
        <v>1434</v>
      </c>
      <c r="G449" s="23" t="s">
        <v>1478</v>
      </c>
      <c r="H449" s="23" t="s">
        <v>1479</v>
      </c>
      <c r="I449" s="22" t="s">
        <v>1480</v>
      </c>
      <c r="J449" s="22" t="s">
        <v>1490</v>
      </c>
      <c r="N449" s="22" t="s">
        <v>1488</v>
      </c>
      <c r="O449" s="22" t="s">
        <v>1430</v>
      </c>
      <c r="P449" s="21">
        <v>71641</v>
      </c>
      <c r="Q449" s="21">
        <v>41</v>
      </c>
      <c r="R449" s="21">
        <v>19</v>
      </c>
      <c r="S449" s="21">
        <v>4</v>
      </c>
      <c r="T449" s="22" t="s">
        <v>330</v>
      </c>
      <c r="U449" s="21">
        <v>0.8</v>
      </c>
      <c r="V449" s="21">
        <v>0.8</v>
      </c>
      <c r="W449" s="25">
        <f t="shared" si="69"/>
        <v>2547.5</v>
      </c>
      <c r="X449" s="25">
        <f t="shared" si="70"/>
        <v>2492.8000000000002</v>
      </c>
      <c r="Y449" s="22">
        <v>1</v>
      </c>
      <c r="Z449" s="24">
        <f t="shared" si="66"/>
        <v>2547.5</v>
      </c>
      <c r="AA449" s="24">
        <f t="shared" si="67"/>
        <v>2492.8000000000002</v>
      </c>
      <c r="AB449" s="21"/>
      <c r="AC449" s="21"/>
      <c r="AD449" s="21"/>
      <c r="AF449" s="21" t="s">
        <v>247</v>
      </c>
      <c r="AJ449" s="21">
        <v>2492.8000000000002</v>
      </c>
      <c r="AK449" s="21">
        <v>41</v>
      </c>
      <c r="AL449" s="22" t="s">
        <v>161</v>
      </c>
      <c r="AM449" s="22">
        <v>0.11</v>
      </c>
      <c r="AP449" s="22" t="s">
        <v>1432</v>
      </c>
      <c r="AQ449" s="22" t="str">
        <f t="shared" si="68"/>
        <v>Microphytoplankton</v>
      </c>
      <c r="AR449" s="22">
        <v>1</v>
      </c>
      <c r="AS449" s="22">
        <v>0</v>
      </c>
      <c r="AT449" s="22">
        <v>1</v>
      </c>
      <c r="AU449" s="22">
        <v>0</v>
      </c>
      <c r="AV449" s="22">
        <v>0</v>
      </c>
      <c r="AW449" s="22">
        <v>0</v>
      </c>
      <c r="AX449" s="22">
        <v>1</v>
      </c>
      <c r="AY449" s="22">
        <v>0</v>
      </c>
    </row>
    <row r="450" spans="1:57">
      <c r="A450" s="21" t="s">
        <v>1491</v>
      </c>
      <c r="B450" s="22" t="s">
        <v>663</v>
      </c>
      <c r="C450" s="23" t="s">
        <v>822</v>
      </c>
      <c r="D450" s="23" t="s">
        <v>965</v>
      </c>
      <c r="E450" s="22" t="s">
        <v>62</v>
      </c>
      <c r="F450" s="23" t="s">
        <v>1434</v>
      </c>
      <c r="G450" s="23" t="s">
        <v>1478</v>
      </c>
      <c r="H450" s="23" t="s">
        <v>1479</v>
      </c>
      <c r="I450" s="22" t="s">
        <v>1480</v>
      </c>
      <c r="J450" s="22" t="s">
        <v>1492</v>
      </c>
      <c r="N450" s="22" t="s">
        <v>1493</v>
      </c>
      <c r="O450" s="22" t="s">
        <v>1430</v>
      </c>
      <c r="P450" s="21">
        <v>71610</v>
      </c>
      <c r="Q450" s="21">
        <v>60</v>
      </c>
      <c r="R450" s="21">
        <v>40</v>
      </c>
      <c r="S450" s="21">
        <v>18</v>
      </c>
      <c r="T450" s="22" t="s">
        <v>330</v>
      </c>
      <c r="U450" s="21">
        <v>0.75</v>
      </c>
      <c r="V450" s="21">
        <v>0.8</v>
      </c>
      <c r="W450" s="25">
        <f t="shared" si="69"/>
        <v>10500</v>
      </c>
      <c r="X450" s="25">
        <f t="shared" si="70"/>
        <v>32400</v>
      </c>
      <c r="Y450" s="22">
        <v>1</v>
      </c>
      <c r="Z450" s="24">
        <f t="shared" ref="Z450:Z513" si="71">Y450*W450</f>
        <v>10500</v>
      </c>
      <c r="AA450" s="24">
        <f t="shared" ref="AA450:AA513" si="72">Y450*X450</f>
        <v>32400</v>
      </c>
      <c r="AB450" s="21"/>
      <c r="AC450" s="21"/>
      <c r="AD450" s="21"/>
      <c r="AF450" s="21" t="s">
        <v>247</v>
      </c>
      <c r="AJ450" s="21">
        <v>32400</v>
      </c>
      <c r="AK450" s="21">
        <v>60</v>
      </c>
      <c r="AL450" s="22" t="s">
        <v>161</v>
      </c>
      <c r="AM450" s="22">
        <v>0.11</v>
      </c>
      <c r="AP450" s="22" t="s">
        <v>1432</v>
      </c>
      <c r="AQ450" s="22" t="str">
        <f t="shared" ref="AQ450:AQ513" si="73">IF(AND($AK450&lt;20,AJ450&lt;10000),"Nanophytoplankton","Microphytoplankton")</f>
        <v>Microphytoplankton</v>
      </c>
      <c r="AR450" s="22">
        <v>1</v>
      </c>
      <c r="AS450" s="22">
        <v>0</v>
      </c>
      <c r="AT450" s="22">
        <v>1</v>
      </c>
      <c r="AU450" s="22">
        <v>0</v>
      </c>
      <c r="AV450" s="22">
        <v>0</v>
      </c>
      <c r="AW450" s="22">
        <v>0</v>
      </c>
      <c r="AX450" s="22">
        <v>1</v>
      </c>
      <c r="AY450" s="22">
        <v>0</v>
      </c>
    </row>
    <row r="451" spans="1:57">
      <c r="A451" s="21" t="s">
        <v>1494</v>
      </c>
      <c r="B451" s="22" t="s">
        <v>663</v>
      </c>
      <c r="C451" s="23" t="s">
        <v>822</v>
      </c>
      <c r="D451" s="23" t="s">
        <v>965</v>
      </c>
      <c r="E451" s="22" t="s">
        <v>62</v>
      </c>
      <c r="F451" s="23" t="s">
        <v>1434</v>
      </c>
      <c r="G451" s="23" t="s">
        <v>1478</v>
      </c>
      <c r="H451" s="23" t="s">
        <v>1479</v>
      </c>
      <c r="I451" s="22" t="s">
        <v>1480</v>
      </c>
      <c r="J451" s="22" t="s">
        <v>1495</v>
      </c>
      <c r="N451" s="22" t="s">
        <v>1496</v>
      </c>
      <c r="O451" s="22" t="s">
        <v>1430</v>
      </c>
      <c r="P451" s="22">
        <v>71620</v>
      </c>
      <c r="Q451" s="21">
        <v>15</v>
      </c>
      <c r="R451" s="21">
        <v>4</v>
      </c>
      <c r="S451" s="21">
        <v>3</v>
      </c>
      <c r="T451" s="22" t="s">
        <v>330</v>
      </c>
      <c r="U451" s="21">
        <v>0.75</v>
      </c>
      <c r="V451" s="21">
        <v>0.8</v>
      </c>
      <c r="W451" s="25">
        <f t="shared" si="69"/>
        <v>292.5</v>
      </c>
      <c r="X451" s="25">
        <f t="shared" si="70"/>
        <v>135</v>
      </c>
      <c r="Y451" s="22">
        <v>1</v>
      </c>
      <c r="Z451" s="24">
        <f t="shared" si="71"/>
        <v>292.5</v>
      </c>
      <c r="AA451" s="24">
        <f t="shared" si="72"/>
        <v>135</v>
      </c>
      <c r="AB451" s="21"/>
      <c r="AC451" s="21"/>
      <c r="AD451" s="21"/>
      <c r="AF451" s="21" t="s">
        <v>247</v>
      </c>
      <c r="AJ451" s="21">
        <v>135</v>
      </c>
      <c r="AK451" s="21">
        <v>15</v>
      </c>
      <c r="AL451" s="22" t="s">
        <v>161</v>
      </c>
      <c r="AM451" s="22">
        <v>0.11</v>
      </c>
      <c r="AP451" s="22" t="s">
        <v>1432</v>
      </c>
      <c r="AQ451" s="22" t="str">
        <f t="shared" si="73"/>
        <v>Nanophytoplankton</v>
      </c>
      <c r="AR451" s="22">
        <v>1</v>
      </c>
      <c r="AS451" s="22">
        <v>0</v>
      </c>
      <c r="AT451" s="22">
        <v>1</v>
      </c>
      <c r="AU451" s="22">
        <v>0</v>
      </c>
      <c r="AV451" s="22">
        <v>0</v>
      </c>
      <c r="AW451" s="22">
        <v>0</v>
      </c>
      <c r="AX451" s="22">
        <v>1</v>
      </c>
      <c r="AY451" s="22">
        <v>0</v>
      </c>
    </row>
    <row r="452" spans="1:57">
      <c r="A452" s="21" t="s">
        <v>1497</v>
      </c>
      <c r="B452" s="22" t="s">
        <v>663</v>
      </c>
      <c r="C452" s="23" t="s">
        <v>822</v>
      </c>
      <c r="D452" s="23" t="s">
        <v>965</v>
      </c>
      <c r="E452" s="22" t="s">
        <v>62</v>
      </c>
      <c r="F452" s="23" t="s">
        <v>1434</v>
      </c>
      <c r="G452" s="23" t="s">
        <v>1478</v>
      </c>
      <c r="H452" s="23" t="s">
        <v>1479</v>
      </c>
      <c r="I452" s="22" t="s">
        <v>1480</v>
      </c>
      <c r="J452" s="22" t="s">
        <v>211</v>
      </c>
      <c r="M452" s="22" t="s">
        <v>1</v>
      </c>
      <c r="N452" s="22" t="s">
        <v>1056</v>
      </c>
      <c r="O452" s="22" t="s">
        <v>1430</v>
      </c>
      <c r="P452" s="21">
        <v>71600</v>
      </c>
      <c r="Q452" s="21">
        <v>40</v>
      </c>
      <c r="R452" s="21">
        <v>15</v>
      </c>
      <c r="S452" s="21">
        <v>10</v>
      </c>
      <c r="T452" s="22" t="s">
        <v>330</v>
      </c>
      <c r="U452" s="21">
        <v>0.75</v>
      </c>
      <c r="V452" s="21">
        <v>0.8</v>
      </c>
      <c r="W452" s="25">
        <f t="shared" si="69"/>
        <v>2875</v>
      </c>
      <c r="X452" s="25">
        <f t="shared" si="70"/>
        <v>4500</v>
      </c>
      <c r="Y452" s="22">
        <v>1</v>
      </c>
      <c r="Z452" s="24">
        <f t="shared" si="71"/>
        <v>2875</v>
      </c>
      <c r="AA452" s="24">
        <f t="shared" si="72"/>
        <v>4500</v>
      </c>
      <c r="AB452" s="21"/>
      <c r="AC452" s="21"/>
      <c r="AD452" s="21"/>
      <c r="AF452" s="21" t="s">
        <v>247</v>
      </c>
      <c r="AJ452" s="21">
        <v>4500</v>
      </c>
      <c r="AK452" s="21">
        <v>40</v>
      </c>
      <c r="AL452" s="22" t="s">
        <v>161</v>
      </c>
      <c r="AM452" s="22">
        <v>0.11</v>
      </c>
      <c r="AP452" s="22" t="s">
        <v>1432</v>
      </c>
      <c r="AQ452" s="22" t="str">
        <f t="shared" si="73"/>
        <v>Microphytoplankton</v>
      </c>
      <c r="AR452" s="22">
        <v>1</v>
      </c>
      <c r="AS452" s="22">
        <v>0</v>
      </c>
      <c r="AT452" s="22">
        <v>1</v>
      </c>
      <c r="AU452" s="22">
        <v>0</v>
      </c>
      <c r="AV452" s="22">
        <v>0</v>
      </c>
      <c r="AW452" s="22">
        <v>0</v>
      </c>
      <c r="AX452" s="22">
        <v>1</v>
      </c>
      <c r="AY452" s="22">
        <v>0</v>
      </c>
    </row>
    <row r="453" spans="1:57">
      <c r="A453" s="21" t="s">
        <v>1498</v>
      </c>
      <c r="B453" s="22" t="s">
        <v>663</v>
      </c>
      <c r="C453" s="23" t="s">
        <v>822</v>
      </c>
      <c r="D453" s="23" t="s">
        <v>965</v>
      </c>
      <c r="E453" s="22" t="s">
        <v>62</v>
      </c>
      <c r="F453" s="23" t="s">
        <v>1499</v>
      </c>
      <c r="G453" s="23" t="s">
        <v>1500</v>
      </c>
      <c r="H453" s="23" t="s">
        <v>1501</v>
      </c>
      <c r="I453" s="22" t="s">
        <v>1502</v>
      </c>
      <c r="J453" s="22" t="s">
        <v>1503</v>
      </c>
      <c r="N453" s="22" t="s">
        <v>1504</v>
      </c>
      <c r="O453" s="22" t="s">
        <v>1430</v>
      </c>
      <c r="P453" s="21">
        <v>70710</v>
      </c>
      <c r="Q453" s="21">
        <v>65</v>
      </c>
      <c r="R453" s="21">
        <v>2</v>
      </c>
      <c r="S453" s="21">
        <v>2</v>
      </c>
      <c r="T453" s="22" t="s">
        <v>330</v>
      </c>
      <c r="U453" s="21">
        <v>1</v>
      </c>
      <c r="V453" s="22">
        <v>1</v>
      </c>
      <c r="W453" s="25">
        <f t="shared" si="69"/>
        <v>528</v>
      </c>
      <c r="X453" s="25">
        <f t="shared" si="70"/>
        <v>260</v>
      </c>
      <c r="Y453" s="22">
        <v>1</v>
      </c>
      <c r="Z453" s="24">
        <f t="shared" si="71"/>
        <v>528</v>
      </c>
      <c r="AA453" s="24">
        <f t="shared" si="72"/>
        <v>260</v>
      </c>
      <c r="AB453" s="21"/>
      <c r="AC453" s="21"/>
      <c r="AD453" s="21"/>
      <c r="AF453" s="21" t="s">
        <v>247</v>
      </c>
      <c r="AJ453" s="21">
        <v>260</v>
      </c>
      <c r="AK453" s="21">
        <v>130</v>
      </c>
      <c r="AL453" s="22" t="s">
        <v>161</v>
      </c>
      <c r="AM453" s="22">
        <v>0.11</v>
      </c>
      <c r="AN453" s="22" t="s">
        <v>1505</v>
      </c>
      <c r="AO453" s="22" t="s">
        <v>1505</v>
      </c>
      <c r="AP453" s="22" t="s">
        <v>1432</v>
      </c>
      <c r="AQ453" s="22" t="str">
        <f t="shared" si="73"/>
        <v>Microphytoplankton</v>
      </c>
      <c r="AR453" s="22">
        <v>0</v>
      </c>
      <c r="AS453" s="22">
        <v>0</v>
      </c>
      <c r="AT453" s="22">
        <v>0</v>
      </c>
      <c r="AU453" s="22">
        <v>1</v>
      </c>
      <c r="AV453" s="22">
        <v>0</v>
      </c>
      <c r="AW453" s="22">
        <v>0</v>
      </c>
      <c r="AX453" s="22">
        <v>1</v>
      </c>
      <c r="AY453" s="22">
        <v>0</v>
      </c>
    </row>
    <row r="454" spans="1:57">
      <c r="A454" s="22" t="s">
        <v>1506</v>
      </c>
      <c r="B454" s="22" t="s">
        <v>663</v>
      </c>
      <c r="C454" s="23" t="s">
        <v>822</v>
      </c>
      <c r="D454" s="23" t="s">
        <v>965</v>
      </c>
      <c r="E454" s="22" t="s">
        <v>62</v>
      </c>
      <c r="F454" s="22" t="s">
        <v>1424</v>
      </c>
      <c r="G454" s="23" t="s">
        <v>1507</v>
      </c>
      <c r="H454" s="23" t="s">
        <v>1508</v>
      </c>
      <c r="I454" s="22" t="s">
        <v>40</v>
      </c>
      <c r="J454" s="22" t="s">
        <v>1509</v>
      </c>
      <c r="L454" s="22" t="s">
        <v>513</v>
      </c>
      <c r="N454" s="22" t="s">
        <v>1510</v>
      </c>
      <c r="O454" s="22" t="s">
        <v>1430</v>
      </c>
      <c r="P454" s="21">
        <v>70111</v>
      </c>
      <c r="Q454" s="22">
        <v>10.5</v>
      </c>
      <c r="R454" s="22">
        <v>9</v>
      </c>
      <c r="S454" s="22">
        <v>9</v>
      </c>
      <c r="T454" s="21" t="s">
        <v>160</v>
      </c>
      <c r="U454" s="21">
        <v>1</v>
      </c>
      <c r="V454" s="22">
        <v>1</v>
      </c>
      <c r="W454" s="24">
        <f t="shared" ref="W454:W463" si="74">3.14*R454*Q454+2*3.14*(S454/2)^2/V454</f>
        <v>423.90000000000003</v>
      </c>
      <c r="X454" s="25">
        <f t="shared" ref="X454:X463" si="75">(3.14/4*R454^2*Q454)*U454</f>
        <v>667.64250000000004</v>
      </c>
      <c r="Y454" s="22">
        <v>1</v>
      </c>
      <c r="Z454" s="24">
        <f t="shared" si="71"/>
        <v>423.90000000000003</v>
      </c>
      <c r="AA454" s="24">
        <f t="shared" si="72"/>
        <v>667.64250000000004</v>
      </c>
      <c r="AF454" s="21" t="s">
        <v>247</v>
      </c>
      <c r="AJ454" s="21">
        <v>779</v>
      </c>
      <c r="AK454" s="21">
        <v>100</v>
      </c>
      <c r="AL454" s="22" t="s">
        <v>161</v>
      </c>
      <c r="AM454" s="22">
        <v>0.11</v>
      </c>
      <c r="AN454" s="22" t="s">
        <v>1505</v>
      </c>
      <c r="AO454" s="22" t="s">
        <v>1505</v>
      </c>
      <c r="AP454" s="22" t="s">
        <v>1432</v>
      </c>
      <c r="AQ454" s="22" t="str">
        <f t="shared" si="73"/>
        <v>Microphytoplankton</v>
      </c>
      <c r="AR454" s="22">
        <v>0</v>
      </c>
      <c r="AS454" s="22">
        <v>0</v>
      </c>
      <c r="AT454" s="22">
        <v>0</v>
      </c>
      <c r="AU454" s="22">
        <v>1</v>
      </c>
      <c r="AV454" s="22">
        <v>1</v>
      </c>
      <c r="AW454" s="22">
        <v>0</v>
      </c>
      <c r="AX454" s="22">
        <v>1</v>
      </c>
      <c r="AY454" s="22">
        <v>0</v>
      </c>
    </row>
    <row r="455" spans="1:57">
      <c r="A455" s="22" t="s">
        <v>1511</v>
      </c>
      <c r="B455" s="22" t="s">
        <v>663</v>
      </c>
      <c r="C455" s="23" t="s">
        <v>822</v>
      </c>
      <c r="D455" s="23" t="s">
        <v>965</v>
      </c>
      <c r="E455" s="22" t="s">
        <v>62</v>
      </c>
      <c r="F455" s="22" t="s">
        <v>1424</v>
      </c>
      <c r="G455" s="23" t="s">
        <v>1507</v>
      </c>
      <c r="H455" s="23" t="s">
        <v>1508</v>
      </c>
      <c r="I455" s="22" t="s">
        <v>40</v>
      </c>
      <c r="J455" s="22" t="s">
        <v>1509</v>
      </c>
      <c r="N455" s="22" t="s">
        <v>1510</v>
      </c>
      <c r="O455" s="22" t="s">
        <v>1430</v>
      </c>
      <c r="P455" s="21">
        <v>70114</v>
      </c>
      <c r="Q455" s="22">
        <v>10.5</v>
      </c>
      <c r="R455" s="22">
        <v>9</v>
      </c>
      <c r="S455" s="22">
        <v>9</v>
      </c>
      <c r="T455" s="21" t="s">
        <v>160</v>
      </c>
      <c r="U455" s="21">
        <v>1</v>
      </c>
      <c r="V455" s="22">
        <v>1</v>
      </c>
      <c r="W455" s="24">
        <f t="shared" si="74"/>
        <v>423.90000000000003</v>
      </c>
      <c r="X455" s="25">
        <f t="shared" si="75"/>
        <v>667.64250000000004</v>
      </c>
      <c r="Y455" s="22">
        <v>1</v>
      </c>
      <c r="Z455" s="24">
        <f t="shared" si="71"/>
        <v>423.90000000000003</v>
      </c>
      <c r="AA455" s="24">
        <f t="shared" si="72"/>
        <v>667.64250000000004</v>
      </c>
      <c r="AF455" s="21" t="s">
        <v>247</v>
      </c>
      <c r="AJ455" s="21">
        <v>779</v>
      </c>
      <c r="AK455" s="21">
        <v>100</v>
      </c>
      <c r="AL455" s="22" t="s">
        <v>161</v>
      </c>
      <c r="AM455" s="22">
        <v>0.11</v>
      </c>
      <c r="AN455" s="22" t="s">
        <v>1505</v>
      </c>
      <c r="AO455" s="22" t="s">
        <v>1505</v>
      </c>
      <c r="AP455" s="22" t="s">
        <v>1432</v>
      </c>
      <c r="AQ455" s="22" t="str">
        <f t="shared" si="73"/>
        <v>Microphytoplankton</v>
      </c>
      <c r="AR455" s="22">
        <v>0</v>
      </c>
      <c r="AS455" s="22">
        <v>0</v>
      </c>
      <c r="AT455" s="22">
        <v>0</v>
      </c>
      <c r="AU455" s="22">
        <v>1</v>
      </c>
      <c r="AV455" s="22">
        <v>1</v>
      </c>
      <c r="AW455" s="22">
        <v>0</v>
      </c>
      <c r="AX455" s="22">
        <v>1</v>
      </c>
      <c r="AY455" s="22">
        <v>0</v>
      </c>
    </row>
    <row r="456" spans="1:57">
      <c r="A456" s="22" t="s">
        <v>1512</v>
      </c>
      <c r="B456" s="22" t="s">
        <v>663</v>
      </c>
      <c r="C456" s="23" t="s">
        <v>822</v>
      </c>
      <c r="D456" s="23" t="s">
        <v>965</v>
      </c>
      <c r="E456" s="22" t="s">
        <v>62</v>
      </c>
      <c r="F456" s="22" t="s">
        <v>1424</v>
      </c>
      <c r="G456" s="23" t="s">
        <v>1507</v>
      </c>
      <c r="H456" s="23" t="s">
        <v>1508</v>
      </c>
      <c r="I456" s="22" t="s">
        <v>40</v>
      </c>
      <c r="J456" s="22" t="s">
        <v>327</v>
      </c>
      <c r="N456" s="22" t="s">
        <v>1513</v>
      </c>
      <c r="O456" s="22" t="s">
        <v>1430</v>
      </c>
      <c r="P456" s="21">
        <v>70112</v>
      </c>
      <c r="Q456" s="22">
        <v>12</v>
      </c>
      <c r="R456" s="22">
        <v>6</v>
      </c>
      <c r="S456" s="22">
        <v>6</v>
      </c>
      <c r="T456" s="21" t="s">
        <v>160</v>
      </c>
      <c r="U456" s="21">
        <v>1</v>
      </c>
      <c r="V456" s="22">
        <v>1</v>
      </c>
      <c r="W456" s="24">
        <f t="shared" si="74"/>
        <v>282.59999999999997</v>
      </c>
      <c r="X456" s="25">
        <f t="shared" si="75"/>
        <v>339.12</v>
      </c>
      <c r="Y456" s="22">
        <v>1</v>
      </c>
      <c r="Z456" s="24">
        <f t="shared" si="71"/>
        <v>282.59999999999997</v>
      </c>
      <c r="AA456" s="24">
        <f t="shared" si="72"/>
        <v>339.12</v>
      </c>
      <c r="AF456" s="21" t="s">
        <v>247</v>
      </c>
      <c r="AJ456" s="21">
        <v>339.12</v>
      </c>
      <c r="AK456" s="21">
        <v>100</v>
      </c>
      <c r="AL456" s="22" t="s">
        <v>161</v>
      </c>
      <c r="AM456" s="22">
        <v>0.11</v>
      </c>
      <c r="AO456" s="22" t="s">
        <v>1505</v>
      </c>
      <c r="AP456" s="22" t="s">
        <v>1432</v>
      </c>
      <c r="AQ456" s="22" t="str">
        <f t="shared" si="73"/>
        <v>Microphytoplankton</v>
      </c>
      <c r="AR456" s="22">
        <v>0</v>
      </c>
      <c r="AS456" s="22">
        <v>0</v>
      </c>
      <c r="AT456" s="22">
        <v>0</v>
      </c>
      <c r="AU456" s="22">
        <v>1</v>
      </c>
      <c r="AV456" s="22">
        <v>1</v>
      </c>
      <c r="AW456" s="22">
        <v>0</v>
      </c>
      <c r="AX456" s="22">
        <v>1</v>
      </c>
      <c r="AY456" s="22">
        <v>0</v>
      </c>
    </row>
    <row r="457" spans="1:57">
      <c r="A457" s="21" t="s">
        <v>1514</v>
      </c>
      <c r="B457" s="22" t="s">
        <v>663</v>
      </c>
      <c r="C457" s="23" t="s">
        <v>822</v>
      </c>
      <c r="D457" s="23" t="s">
        <v>965</v>
      </c>
      <c r="E457" s="22" t="s">
        <v>62</v>
      </c>
      <c r="F457" s="22" t="s">
        <v>1424</v>
      </c>
      <c r="G457" s="23" t="s">
        <v>1507</v>
      </c>
      <c r="H457" s="23" t="s">
        <v>1508</v>
      </c>
      <c r="I457" s="22" t="s">
        <v>40</v>
      </c>
      <c r="J457" s="22" t="s">
        <v>1515</v>
      </c>
      <c r="N457" s="22" t="s">
        <v>1516</v>
      </c>
      <c r="O457" s="22" t="s">
        <v>1430</v>
      </c>
      <c r="P457" s="21">
        <v>70115</v>
      </c>
      <c r="Q457" s="21">
        <v>30</v>
      </c>
      <c r="R457" s="21">
        <v>8</v>
      </c>
      <c r="S457" s="21">
        <v>8</v>
      </c>
      <c r="T457" s="21" t="s">
        <v>160</v>
      </c>
      <c r="U457" s="21">
        <v>1</v>
      </c>
      <c r="V457" s="22">
        <v>1</v>
      </c>
      <c r="W457" s="24">
        <f t="shared" si="74"/>
        <v>854.08</v>
      </c>
      <c r="X457" s="25">
        <f t="shared" si="75"/>
        <v>1507.2</v>
      </c>
      <c r="Y457" s="22">
        <v>1</v>
      </c>
      <c r="Z457" s="24">
        <f t="shared" si="71"/>
        <v>854.08</v>
      </c>
      <c r="AA457" s="24">
        <f t="shared" si="72"/>
        <v>1507.2</v>
      </c>
      <c r="AB457" s="21"/>
      <c r="AC457" s="21"/>
      <c r="AD457" s="21"/>
      <c r="AF457" s="21" t="s">
        <v>247</v>
      </c>
      <c r="AJ457" s="21">
        <v>1920</v>
      </c>
      <c r="AK457" s="21">
        <v>100</v>
      </c>
      <c r="AL457" s="22" t="s">
        <v>161</v>
      </c>
      <c r="AM457" s="22">
        <v>0.11</v>
      </c>
      <c r="AN457" s="22" t="s">
        <v>1517</v>
      </c>
      <c r="AO457" s="22" t="s">
        <v>1517</v>
      </c>
      <c r="AP457" s="22" t="s">
        <v>1432</v>
      </c>
      <c r="AQ457" s="22" t="str">
        <f t="shared" si="73"/>
        <v>Microphytoplankton</v>
      </c>
      <c r="AR457" s="22">
        <v>0</v>
      </c>
      <c r="AS457" s="22">
        <v>0</v>
      </c>
      <c r="AT457" s="22">
        <v>0</v>
      </c>
      <c r="AU457" s="22">
        <v>1</v>
      </c>
      <c r="AV457" s="22">
        <v>1</v>
      </c>
      <c r="AW457" s="22">
        <v>0</v>
      </c>
      <c r="AX457" s="22">
        <v>1</v>
      </c>
      <c r="AY457" s="22">
        <v>0</v>
      </c>
      <c r="AZ457" s="22">
        <v>0</v>
      </c>
      <c r="BA457" s="22">
        <v>0</v>
      </c>
      <c r="BB457" s="22">
        <v>0</v>
      </c>
      <c r="BC457" s="22">
        <v>4</v>
      </c>
      <c r="BD457" s="22">
        <v>3</v>
      </c>
      <c r="BE457" s="22">
        <v>3</v>
      </c>
    </row>
    <row r="458" spans="1:57">
      <c r="A458" s="21" t="s">
        <v>1518</v>
      </c>
      <c r="B458" s="22" t="s">
        <v>663</v>
      </c>
      <c r="C458" s="23" t="s">
        <v>822</v>
      </c>
      <c r="D458" s="23" t="s">
        <v>965</v>
      </c>
      <c r="E458" s="22" t="s">
        <v>62</v>
      </c>
      <c r="F458" s="22" t="s">
        <v>1424</v>
      </c>
      <c r="G458" s="23" t="s">
        <v>1507</v>
      </c>
      <c r="H458" s="23" t="s">
        <v>1508</v>
      </c>
      <c r="I458" s="22" t="s">
        <v>40</v>
      </c>
      <c r="J458" s="22" t="s">
        <v>1515</v>
      </c>
      <c r="K458" s="22" t="s">
        <v>175</v>
      </c>
      <c r="L458" s="22" t="s">
        <v>1519</v>
      </c>
      <c r="N458" s="22" t="s">
        <v>1520</v>
      </c>
      <c r="O458" s="22" t="s">
        <v>1430</v>
      </c>
      <c r="P458" s="21">
        <v>70110</v>
      </c>
      <c r="Q458" s="21">
        <v>36</v>
      </c>
      <c r="R458" s="21">
        <v>4</v>
      </c>
      <c r="S458" s="21">
        <v>4</v>
      </c>
      <c r="T458" s="21" t="s">
        <v>160</v>
      </c>
      <c r="U458" s="21">
        <v>1</v>
      </c>
      <c r="V458" s="22">
        <v>1</v>
      </c>
      <c r="W458" s="24">
        <f t="shared" si="74"/>
        <v>477.28000000000003</v>
      </c>
      <c r="X458" s="25">
        <f t="shared" si="75"/>
        <v>452.16</v>
      </c>
      <c r="Y458" s="22">
        <v>1</v>
      </c>
      <c r="Z458" s="24">
        <f t="shared" si="71"/>
        <v>477.28000000000003</v>
      </c>
      <c r="AA458" s="24">
        <f t="shared" si="72"/>
        <v>452.16</v>
      </c>
      <c r="AB458" s="21"/>
      <c r="AC458" s="21"/>
      <c r="AD458" s="21"/>
      <c r="AF458" s="21" t="s">
        <v>247</v>
      </c>
      <c r="AJ458" s="21">
        <v>452.4</v>
      </c>
      <c r="AK458" s="21">
        <v>100</v>
      </c>
      <c r="AL458" s="22" t="s">
        <v>161</v>
      </c>
      <c r="AM458" s="22">
        <v>0.11</v>
      </c>
      <c r="AN458" s="22" t="s">
        <v>1517</v>
      </c>
      <c r="AO458" s="22" t="s">
        <v>1517</v>
      </c>
      <c r="AP458" s="22" t="s">
        <v>1432</v>
      </c>
      <c r="AQ458" s="22" t="str">
        <f t="shared" si="73"/>
        <v>Microphytoplankton</v>
      </c>
      <c r="AR458" s="22">
        <v>0</v>
      </c>
      <c r="AS458" s="22">
        <v>0</v>
      </c>
      <c r="AT458" s="22">
        <v>0</v>
      </c>
      <c r="AU458" s="22">
        <v>1</v>
      </c>
      <c r="AV458" s="22">
        <v>1</v>
      </c>
      <c r="AW458" s="22">
        <v>0</v>
      </c>
      <c r="AX458" s="22">
        <v>1</v>
      </c>
      <c r="AY458" s="22">
        <v>0</v>
      </c>
      <c r="AZ458" s="22">
        <v>0</v>
      </c>
      <c r="BA458" s="22">
        <v>0</v>
      </c>
      <c r="BB458" s="22">
        <v>0</v>
      </c>
      <c r="BC458" s="22">
        <v>2</v>
      </c>
      <c r="BD458" s="22">
        <v>4</v>
      </c>
      <c r="BE458" s="22">
        <v>4</v>
      </c>
    </row>
    <row r="459" spans="1:57">
      <c r="A459" s="22" t="s">
        <v>1521</v>
      </c>
      <c r="B459" s="22" t="s">
        <v>663</v>
      </c>
      <c r="C459" s="23" t="s">
        <v>822</v>
      </c>
      <c r="D459" s="23" t="s">
        <v>965</v>
      </c>
      <c r="E459" s="22" t="s">
        <v>62</v>
      </c>
      <c r="F459" s="22" t="s">
        <v>1424</v>
      </c>
      <c r="G459" s="23" t="s">
        <v>1507</v>
      </c>
      <c r="H459" s="23" t="s">
        <v>1508</v>
      </c>
      <c r="I459" s="22" t="s">
        <v>40</v>
      </c>
      <c r="J459" s="22" t="s">
        <v>1515</v>
      </c>
      <c r="K459" s="22" t="s">
        <v>175</v>
      </c>
      <c r="L459" s="22" t="s">
        <v>1522</v>
      </c>
      <c r="N459" s="22" t="s">
        <v>1523</v>
      </c>
      <c r="O459" s="22" t="s">
        <v>1430</v>
      </c>
      <c r="P459" s="21">
        <v>70113</v>
      </c>
      <c r="Q459" s="22">
        <v>17</v>
      </c>
      <c r="R459" s="22">
        <v>4</v>
      </c>
      <c r="S459" s="22">
        <v>4</v>
      </c>
      <c r="T459" s="21" t="s">
        <v>160</v>
      </c>
      <c r="U459" s="21">
        <v>1</v>
      </c>
      <c r="V459" s="22">
        <v>1</v>
      </c>
      <c r="W459" s="24">
        <f t="shared" si="74"/>
        <v>238.64000000000001</v>
      </c>
      <c r="X459" s="25">
        <f t="shared" si="75"/>
        <v>213.52</v>
      </c>
      <c r="Y459" s="22">
        <v>1</v>
      </c>
      <c r="Z459" s="24">
        <f t="shared" si="71"/>
        <v>238.64000000000001</v>
      </c>
      <c r="AA459" s="24">
        <f t="shared" si="72"/>
        <v>213.52</v>
      </c>
      <c r="AF459" s="21" t="s">
        <v>247</v>
      </c>
      <c r="AJ459" s="21">
        <v>908</v>
      </c>
      <c r="AK459" s="21">
        <v>100</v>
      </c>
      <c r="AL459" s="22" t="s">
        <v>161</v>
      </c>
      <c r="AM459" s="22">
        <v>0.11</v>
      </c>
      <c r="AN459" s="22" t="s">
        <v>1517</v>
      </c>
      <c r="AO459" s="22" t="s">
        <v>1517</v>
      </c>
      <c r="AP459" s="22" t="s">
        <v>1432</v>
      </c>
      <c r="AQ459" s="22" t="str">
        <f t="shared" si="73"/>
        <v>Microphytoplankton</v>
      </c>
      <c r="AR459" s="22">
        <v>0</v>
      </c>
      <c r="AS459" s="22">
        <v>0</v>
      </c>
      <c r="AT459" s="22">
        <v>0</v>
      </c>
      <c r="AU459" s="22">
        <v>1</v>
      </c>
      <c r="AV459" s="22">
        <v>1</v>
      </c>
      <c r="AW459" s="22">
        <v>0</v>
      </c>
      <c r="AX459" s="22">
        <v>1</v>
      </c>
      <c r="AY459" s="22">
        <v>0</v>
      </c>
    </row>
    <row r="460" spans="1:57">
      <c r="A460" s="21" t="s">
        <v>1524</v>
      </c>
      <c r="B460" s="22" t="s">
        <v>663</v>
      </c>
      <c r="C460" s="23" t="s">
        <v>822</v>
      </c>
      <c r="D460" s="23" t="s">
        <v>965</v>
      </c>
      <c r="E460" s="22" t="s">
        <v>62</v>
      </c>
      <c r="F460" s="22" t="s">
        <v>1424</v>
      </c>
      <c r="G460" s="23" t="s">
        <v>1507</v>
      </c>
      <c r="H460" s="23" t="s">
        <v>1508</v>
      </c>
      <c r="I460" s="22" t="s">
        <v>40</v>
      </c>
      <c r="J460" s="22" t="s">
        <v>1525</v>
      </c>
      <c r="K460" s="22" t="s">
        <v>1526</v>
      </c>
      <c r="L460" s="22" t="s">
        <v>1527</v>
      </c>
      <c r="N460" s="22" t="s">
        <v>1528</v>
      </c>
      <c r="O460" s="22" t="s">
        <v>1430</v>
      </c>
      <c r="P460" s="21">
        <v>70120</v>
      </c>
      <c r="Q460" s="21">
        <v>30</v>
      </c>
      <c r="R460" s="21">
        <v>12</v>
      </c>
      <c r="S460" s="21">
        <v>12</v>
      </c>
      <c r="T460" s="21" t="s">
        <v>160</v>
      </c>
      <c r="U460" s="21">
        <v>1</v>
      </c>
      <c r="V460" s="22">
        <v>1</v>
      </c>
      <c r="W460" s="24">
        <f t="shared" si="74"/>
        <v>1356.48</v>
      </c>
      <c r="X460" s="25">
        <f t="shared" si="75"/>
        <v>3391.2000000000003</v>
      </c>
      <c r="Y460" s="22">
        <v>1</v>
      </c>
      <c r="Z460" s="24">
        <f t="shared" si="71"/>
        <v>1356.48</v>
      </c>
      <c r="AA460" s="24">
        <f t="shared" si="72"/>
        <v>3391.2000000000003</v>
      </c>
      <c r="AB460" s="21"/>
      <c r="AC460" s="21"/>
      <c r="AD460" s="21"/>
      <c r="AF460" s="21" t="s">
        <v>247</v>
      </c>
      <c r="AJ460" s="21">
        <v>3392.9</v>
      </c>
      <c r="AK460" s="21">
        <v>100</v>
      </c>
      <c r="AL460" s="22" t="s">
        <v>161</v>
      </c>
      <c r="AM460" s="22">
        <v>0.11</v>
      </c>
      <c r="AN460" s="22" t="s">
        <v>1529</v>
      </c>
      <c r="AO460" s="22" t="s">
        <v>1529</v>
      </c>
      <c r="AP460" s="22" t="s">
        <v>1432</v>
      </c>
      <c r="AQ460" s="22" t="str">
        <f t="shared" si="73"/>
        <v>Microphytoplankton</v>
      </c>
      <c r="AR460" s="22">
        <v>0</v>
      </c>
      <c r="AS460" s="22">
        <v>0</v>
      </c>
      <c r="AT460" s="22">
        <v>0</v>
      </c>
      <c r="AU460" s="22">
        <v>1</v>
      </c>
      <c r="AV460" s="22">
        <v>1</v>
      </c>
      <c r="AW460" s="22">
        <v>0</v>
      </c>
      <c r="AX460" s="22">
        <v>1</v>
      </c>
      <c r="AY460" s="22">
        <v>0</v>
      </c>
      <c r="AZ460" s="22">
        <v>0</v>
      </c>
      <c r="BA460" s="22">
        <v>0</v>
      </c>
      <c r="BB460" s="22">
        <v>2</v>
      </c>
      <c r="BC460" s="22">
        <v>2</v>
      </c>
      <c r="BD460" s="22">
        <v>3</v>
      </c>
      <c r="BE460" s="22">
        <v>3</v>
      </c>
    </row>
    <row r="461" spans="1:57">
      <c r="A461" s="22" t="s">
        <v>1530</v>
      </c>
      <c r="B461" s="22" t="s">
        <v>663</v>
      </c>
      <c r="C461" s="23" t="s">
        <v>822</v>
      </c>
      <c r="D461" s="23" t="s">
        <v>965</v>
      </c>
      <c r="E461" s="22" t="s">
        <v>62</v>
      </c>
      <c r="F461" s="22" t="s">
        <v>1424</v>
      </c>
      <c r="G461" s="23" t="s">
        <v>1507</v>
      </c>
      <c r="H461" s="23" t="s">
        <v>1508</v>
      </c>
      <c r="I461" s="22" t="s">
        <v>40</v>
      </c>
      <c r="J461" s="22" t="s">
        <v>1531</v>
      </c>
      <c r="N461" s="22" t="s">
        <v>1532</v>
      </c>
      <c r="O461" s="22" t="s">
        <v>1430</v>
      </c>
      <c r="P461" s="21">
        <v>70121</v>
      </c>
      <c r="Q461" s="22">
        <v>16.5</v>
      </c>
      <c r="R461" s="22">
        <v>6</v>
      </c>
      <c r="S461" s="22">
        <v>6</v>
      </c>
      <c r="T461" s="21" t="s">
        <v>160</v>
      </c>
      <c r="U461" s="21">
        <v>1</v>
      </c>
      <c r="V461" s="22">
        <v>1</v>
      </c>
      <c r="W461" s="24">
        <f t="shared" si="74"/>
        <v>367.38</v>
      </c>
      <c r="X461" s="25">
        <f t="shared" si="75"/>
        <v>466.29</v>
      </c>
      <c r="Y461" s="22">
        <v>1</v>
      </c>
      <c r="Z461" s="24">
        <f t="shared" si="71"/>
        <v>367.38</v>
      </c>
      <c r="AA461" s="24">
        <f t="shared" si="72"/>
        <v>466.29</v>
      </c>
      <c r="AF461" s="21" t="s">
        <v>247</v>
      </c>
      <c r="AJ461" s="21">
        <v>1283</v>
      </c>
      <c r="AK461" s="21">
        <v>100</v>
      </c>
      <c r="AL461" s="22" t="s">
        <v>161</v>
      </c>
      <c r="AM461" s="22">
        <v>0.11</v>
      </c>
      <c r="AO461" s="22" t="s">
        <v>1517</v>
      </c>
      <c r="AP461" s="22" t="s">
        <v>1432</v>
      </c>
      <c r="AQ461" s="22" t="str">
        <f t="shared" si="73"/>
        <v>Microphytoplankton</v>
      </c>
      <c r="AR461" s="22">
        <v>0</v>
      </c>
      <c r="AS461" s="22">
        <v>0</v>
      </c>
      <c r="AT461" s="22">
        <v>0</v>
      </c>
      <c r="AU461" s="22">
        <v>1</v>
      </c>
      <c r="AV461" s="22">
        <v>1</v>
      </c>
      <c r="AW461" s="22">
        <v>0</v>
      </c>
      <c r="AX461" s="22">
        <v>1</v>
      </c>
      <c r="AY461" s="22">
        <v>0</v>
      </c>
    </row>
    <row r="462" spans="1:57">
      <c r="A462" s="22" t="s">
        <v>1533</v>
      </c>
      <c r="B462" s="22" t="s">
        <v>663</v>
      </c>
      <c r="C462" s="23" t="s">
        <v>822</v>
      </c>
      <c r="D462" s="23" t="s">
        <v>965</v>
      </c>
      <c r="E462" s="22" t="s">
        <v>62</v>
      </c>
      <c r="F462" s="22" t="s">
        <v>1424</v>
      </c>
      <c r="G462" s="23" t="s">
        <v>1507</v>
      </c>
      <c r="H462" s="23" t="s">
        <v>1508</v>
      </c>
      <c r="I462" s="22" t="s">
        <v>40</v>
      </c>
      <c r="J462" s="22" t="s">
        <v>211</v>
      </c>
      <c r="M462" s="22" t="s">
        <v>1</v>
      </c>
      <c r="N462" s="22" t="s">
        <v>1534</v>
      </c>
      <c r="O462" s="22" t="s">
        <v>1430</v>
      </c>
      <c r="P462" s="21">
        <v>70122</v>
      </c>
      <c r="Q462" s="22">
        <v>18</v>
      </c>
      <c r="R462" s="22">
        <v>8</v>
      </c>
      <c r="S462" s="22">
        <v>8</v>
      </c>
      <c r="T462" s="21" t="s">
        <v>160</v>
      </c>
      <c r="U462" s="21">
        <v>1</v>
      </c>
      <c r="V462" s="22">
        <v>1</v>
      </c>
      <c r="W462" s="24">
        <f t="shared" si="74"/>
        <v>552.64</v>
      </c>
      <c r="X462" s="25">
        <f t="shared" si="75"/>
        <v>904.32</v>
      </c>
      <c r="Y462" s="22">
        <v>1</v>
      </c>
      <c r="Z462" s="24">
        <f t="shared" si="71"/>
        <v>552.64</v>
      </c>
      <c r="AA462" s="24">
        <f t="shared" si="72"/>
        <v>904.32</v>
      </c>
      <c r="AF462" s="21" t="s">
        <v>247</v>
      </c>
      <c r="AJ462" s="21">
        <v>904.32</v>
      </c>
      <c r="AK462" s="21">
        <v>100</v>
      </c>
      <c r="AL462" s="22" t="s">
        <v>748</v>
      </c>
      <c r="AM462" s="22">
        <v>0.11</v>
      </c>
      <c r="AO462" s="22" t="s">
        <v>1517</v>
      </c>
      <c r="AP462" s="22" t="s">
        <v>1432</v>
      </c>
      <c r="AQ462" s="22" t="str">
        <f t="shared" si="73"/>
        <v>Microphytoplankton</v>
      </c>
      <c r="AR462" s="22">
        <v>0</v>
      </c>
      <c r="AS462" s="22">
        <v>0</v>
      </c>
      <c r="AT462" s="22">
        <v>0</v>
      </c>
      <c r="AU462" s="22">
        <v>1</v>
      </c>
      <c r="AV462" s="22">
        <v>1</v>
      </c>
      <c r="AW462" s="22">
        <v>0</v>
      </c>
      <c r="AX462" s="22">
        <v>1</v>
      </c>
      <c r="AY462" s="22">
        <v>0</v>
      </c>
    </row>
    <row r="463" spans="1:57">
      <c r="A463" s="22" t="s">
        <v>1535</v>
      </c>
      <c r="B463" s="22" t="s">
        <v>663</v>
      </c>
      <c r="C463" s="23" t="s">
        <v>822</v>
      </c>
      <c r="D463" s="23" t="s">
        <v>965</v>
      </c>
      <c r="E463" s="22" t="s">
        <v>62</v>
      </c>
      <c r="F463" s="22" t="s">
        <v>1424</v>
      </c>
      <c r="G463" s="23" t="s">
        <v>1507</v>
      </c>
      <c r="H463" s="23" t="s">
        <v>1508</v>
      </c>
      <c r="I463" s="22" t="s">
        <v>40</v>
      </c>
      <c r="J463" s="22" t="s">
        <v>1536</v>
      </c>
      <c r="N463" s="22" t="s">
        <v>1537</v>
      </c>
      <c r="O463" s="22" t="s">
        <v>1430</v>
      </c>
      <c r="P463" s="21">
        <v>70123</v>
      </c>
      <c r="Q463" s="22">
        <v>9</v>
      </c>
      <c r="R463" s="22">
        <v>10.5</v>
      </c>
      <c r="S463" s="22">
        <v>10.5</v>
      </c>
      <c r="T463" s="21" t="s">
        <v>160</v>
      </c>
      <c r="U463" s="21">
        <v>1</v>
      </c>
      <c r="V463" s="22">
        <v>1</v>
      </c>
      <c r="W463" s="24">
        <f t="shared" si="74"/>
        <v>469.82249999999999</v>
      </c>
      <c r="X463" s="25">
        <f t="shared" si="75"/>
        <v>778.91624999999999</v>
      </c>
      <c r="Y463" s="22">
        <v>1</v>
      </c>
      <c r="Z463" s="24">
        <f t="shared" si="71"/>
        <v>469.82249999999999</v>
      </c>
      <c r="AA463" s="24">
        <f t="shared" si="72"/>
        <v>778.91624999999999</v>
      </c>
      <c r="AF463" s="21" t="s">
        <v>247</v>
      </c>
      <c r="AJ463" s="21">
        <v>668</v>
      </c>
      <c r="AK463" s="21">
        <v>100</v>
      </c>
      <c r="AL463" s="22" t="s">
        <v>161</v>
      </c>
      <c r="AM463" s="22">
        <v>0.11</v>
      </c>
      <c r="AN463" s="22" t="s">
        <v>1529</v>
      </c>
      <c r="AO463" s="22" t="s">
        <v>1529</v>
      </c>
      <c r="AP463" s="22" t="s">
        <v>1432</v>
      </c>
      <c r="AQ463" s="22" t="str">
        <f t="shared" si="73"/>
        <v>Microphytoplankton</v>
      </c>
      <c r="AR463" s="22">
        <v>0</v>
      </c>
      <c r="AS463" s="22">
        <v>0</v>
      </c>
      <c r="AT463" s="22">
        <v>0</v>
      </c>
      <c r="AU463" s="22">
        <v>1</v>
      </c>
      <c r="AV463" s="22">
        <v>1</v>
      </c>
      <c r="AW463" s="22">
        <v>0</v>
      </c>
      <c r="AX463" s="22">
        <v>1</v>
      </c>
      <c r="AY463" s="22">
        <v>0</v>
      </c>
    </row>
    <row r="464" spans="1:57">
      <c r="A464" s="22" t="s">
        <v>1538</v>
      </c>
      <c r="B464" s="22" t="s">
        <v>663</v>
      </c>
      <c r="C464" s="23" t="s">
        <v>822</v>
      </c>
      <c r="D464" s="23" t="s">
        <v>965</v>
      </c>
      <c r="E464" s="22" t="s">
        <v>62</v>
      </c>
      <c r="F464" s="23" t="s">
        <v>1434</v>
      </c>
      <c r="G464" s="23" t="s">
        <v>1473</v>
      </c>
      <c r="H464" s="23" t="s">
        <v>1539</v>
      </c>
      <c r="I464" s="22" t="s">
        <v>1540</v>
      </c>
      <c r="J464" s="22" t="s">
        <v>1541</v>
      </c>
      <c r="N464" s="22" t="s">
        <v>1542</v>
      </c>
      <c r="O464" s="22" t="s">
        <v>1430</v>
      </c>
      <c r="P464" s="21">
        <v>70400</v>
      </c>
      <c r="Q464" s="22">
        <v>15</v>
      </c>
      <c r="R464" s="22">
        <v>3.5</v>
      </c>
      <c r="S464" s="22">
        <v>2.5</v>
      </c>
      <c r="T464" s="22" t="s">
        <v>1543</v>
      </c>
      <c r="U464" s="21">
        <v>1</v>
      </c>
      <c r="V464" s="22">
        <v>1</v>
      </c>
      <c r="W464" s="25">
        <f>2*(Q464/2+R464/2)+S464*R464*2+S464*Q464*2</f>
        <v>111</v>
      </c>
      <c r="X464" s="25">
        <f>Q464*R464*S464/2</f>
        <v>65.625</v>
      </c>
      <c r="Y464" s="22">
        <v>1</v>
      </c>
      <c r="Z464" s="24">
        <f t="shared" si="71"/>
        <v>111</v>
      </c>
      <c r="AA464" s="24">
        <f t="shared" si="72"/>
        <v>65.625</v>
      </c>
      <c r="AF464" s="21" t="s">
        <v>247</v>
      </c>
      <c r="AJ464" s="21">
        <v>65.625</v>
      </c>
      <c r="AK464" s="21">
        <v>15</v>
      </c>
      <c r="AL464" s="22" t="s">
        <v>161</v>
      </c>
      <c r="AM464" s="22">
        <v>0.11</v>
      </c>
      <c r="AO464" s="22" t="s">
        <v>1431</v>
      </c>
      <c r="AP464" s="22" t="s">
        <v>1432</v>
      </c>
      <c r="AQ464" s="22" t="str">
        <f t="shared" si="73"/>
        <v>Nanophytoplankton</v>
      </c>
      <c r="AR464" s="22">
        <v>1</v>
      </c>
      <c r="AS464" s="22">
        <v>0</v>
      </c>
      <c r="AT464" s="22">
        <v>1</v>
      </c>
      <c r="AU464" s="22">
        <v>0</v>
      </c>
      <c r="AV464" s="22">
        <v>0</v>
      </c>
      <c r="AW464" s="22">
        <v>0</v>
      </c>
      <c r="AX464" s="22">
        <v>1</v>
      </c>
      <c r="AY464" s="22">
        <v>0</v>
      </c>
    </row>
    <row r="465" spans="1:57">
      <c r="A465" s="21" t="s">
        <v>1544</v>
      </c>
      <c r="B465" s="22" t="s">
        <v>663</v>
      </c>
      <c r="C465" s="23" t="s">
        <v>822</v>
      </c>
      <c r="D465" s="23" t="s">
        <v>965</v>
      </c>
      <c r="E465" s="22" t="s">
        <v>62</v>
      </c>
      <c r="F465" s="23" t="s">
        <v>1434</v>
      </c>
      <c r="G465" s="23" t="s">
        <v>1473</v>
      </c>
      <c r="H465" s="23" t="s">
        <v>1545</v>
      </c>
      <c r="I465" s="22" t="s">
        <v>1546</v>
      </c>
      <c r="J465" s="22" t="s">
        <v>211</v>
      </c>
      <c r="M465" s="22" t="s">
        <v>1</v>
      </c>
      <c r="N465" s="22" t="s">
        <v>1056</v>
      </c>
      <c r="O465" s="22" t="s">
        <v>1430</v>
      </c>
      <c r="P465" s="22">
        <v>70720</v>
      </c>
      <c r="Q465" s="21">
        <v>40</v>
      </c>
      <c r="R465" s="21">
        <v>6</v>
      </c>
      <c r="S465" s="21">
        <v>5</v>
      </c>
      <c r="T465" s="22" t="s">
        <v>330</v>
      </c>
      <c r="U465" s="21">
        <v>0.7</v>
      </c>
      <c r="V465" s="21">
        <v>0.7</v>
      </c>
      <c r="W465" s="25">
        <f t="shared" ref="W465:W474" si="76">(Q465*R465*2+Q465*S465*2+R465*S465*2)/V465</f>
        <v>1342.8571428571429</v>
      </c>
      <c r="X465" s="25">
        <f t="shared" ref="X465:X474" si="77">Q465*R465*S465*U465</f>
        <v>840</v>
      </c>
      <c r="Y465" s="22">
        <v>1</v>
      </c>
      <c r="Z465" s="24">
        <f t="shared" si="71"/>
        <v>1342.8571428571429</v>
      </c>
      <c r="AA465" s="24">
        <f t="shared" si="72"/>
        <v>840</v>
      </c>
      <c r="AB465" s="21"/>
      <c r="AC465" s="21"/>
      <c r="AD465" s="21"/>
      <c r="AF465" s="21" t="s">
        <v>247</v>
      </c>
      <c r="AJ465" s="21">
        <v>840</v>
      </c>
      <c r="AK465" s="21">
        <v>40</v>
      </c>
      <c r="AL465" s="22" t="s">
        <v>161</v>
      </c>
      <c r="AM465" s="22">
        <v>0.11</v>
      </c>
      <c r="AP465" s="22" t="s">
        <v>1432</v>
      </c>
      <c r="AQ465" s="22" t="str">
        <f t="shared" si="73"/>
        <v>Microphytoplankton</v>
      </c>
      <c r="AR465" s="22">
        <v>1</v>
      </c>
      <c r="AS465" s="22">
        <v>0</v>
      </c>
      <c r="AT465" s="22">
        <v>1</v>
      </c>
      <c r="AU465" s="22">
        <v>0</v>
      </c>
      <c r="AV465" s="22">
        <v>0</v>
      </c>
      <c r="AW465" s="22">
        <v>0</v>
      </c>
      <c r="AX465" s="22">
        <v>1</v>
      </c>
      <c r="AY465" s="22">
        <v>0</v>
      </c>
    </row>
    <row r="466" spans="1:57">
      <c r="A466" s="21" t="s">
        <v>1547</v>
      </c>
      <c r="B466" s="22" t="s">
        <v>663</v>
      </c>
      <c r="C466" s="23" t="s">
        <v>822</v>
      </c>
      <c r="D466" s="23" t="s">
        <v>965</v>
      </c>
      <c r="E466" s="22" t="s">
        <v>62</v>
      </c>
      <c r="F466" s="23" t="s">
        <v>1434</v>
      </c>
      <c r="G466" s="23" t="s">
        <v>1548</v>
      </c>
      <c r="H466" s="23" t="s">
        <v>1549</v>
      </c>
      <c r="I466" s="22" t="s">
        <v>1550</v>
      </c>
      <c r="J466" s="22" t="s">
        <v>1551</v>
      </c>
      <c r="N466" s="22" t="s">
        <v>694</v>
      </c>
      <c r="O466" s="22" t="s">
        <v>1430</v>
      </c>
      <c r="P466" s="22">
        <v>73060</v>
      </c>
      <c r="Q466" s="22">
        <v>112</v>
      </c>
      <c r="R466" s="22">
        <v>112</v>
      </c>
      <c r="S466" s="22">
        <v>20</v>
      </c>
      <c r="T466" s="22" t="s">
        <v>330</v>
      </c>
      <c r="U466" s="21">
        <v>0.9</v>
      </c>
      <c r="V466" s="21">
        <v>0.9</v>
      </c>
      <c r="W466" s="25">
        <f t="shared" si="76"/>
        <v>37831.111111111109</v>
      </c>
      <c r="X466" s="25">
        <f t="shared" si="77"/>
        <v>225792</v>
      </c>
      <c r="Y466" s="22">
        <v>1</v>
      </c>
      <c r="Z466" s="24">
        <f t="shared" si="71"/>
        <v>37831.111111111109</v>
      </c>
      <c r="AA466" s="24">
        <f t="shared" si="72"/>
        <v>225792</v>
      </c>
      <c r="AF466" s="21" t="s">
        <v>247</v>
      </c>
      <c r="AJ466" s="21">
        <v>177336.6</v>
      </c>
      <c r="AK466" s="21">
        <v>112</v>
      </c>
      <c r="AL466" s="22" t="s">
        <v>161</v>
      </c>
      <c r="AM466" s="22">
        <v>0.11</v>
      </c>
      <c r="AO466" s="22" t="s">
        <v>383</v>
      </c>
      <c r="AP466" s="22" t="s">
        <v>1432</v>
      </c>
      <c r="AQ466" s="22" t="str">
        <f t="shared" si="73"/>
        <v>Microphytoplankton</v>
      </c>
      <c r="AR466" s="22">
        <v>1</v>
      </c>
      <c r="AS466" s="22">
        <v>0</v>
      </c>
      <c r="AT466" s="22">
        <v>1</v>
      </c>
      <c r="AU466" s="22">
        <v>0</v>
      </c>
      <c r="AV466" s="22">
        <v>0</v>
      </c>
      <c r="AW466" s="22">
        <v>0</v>
      </c>
      <c r="AX466" s="22">
        <v>1</v>
      </c>
      <c r="AY466" s="22">
        <v>0</v>
      </c>
    </row>
    <row r="467" spans="1:57">
      <c r="A467" s="22" t="s">
        <v>1552</v>
      </c>
      <c r="B467" s="22" t="s">
        <v>663</v>
      </c>
      <c r="C467" s="23" t="s">
        <v>822</v>
      </c>
      <c r="D467" s="23" t="s">
        <v>965</v>
      </c>
      <c r="E467" s="22" t="s">
        <v>62</v>
      </c>
      <c r="F467" s="22" t="s">
        <v>1424</v>
      </c>
      <c r="G467" s="23" t="s">
        <v>1553</v>
      </c>
      <c r="H467" s="23" t="s">
        <v>1554</v>
      </c>
      <c r="I467" s="22" t="s">
        <v>1555</v>
      </c>
      <c r="J467" s="22" t="s">
        <v>1556</v>
      </c>
      <c r="M467" s="22" t="s">
        <v>104</v>
      </c>
      <c r="O467" s="22" t="s">
        <v>1430</v>
      </c>
      <c r="P467" s="21">
        <v>70211</v>
      </c>
      <c r="Q467" s="22">
        <v>6</v>
      </c>
      <c r="R467" s="22">
        <v>6</v>
      </c>
      <c r="S467" s="22">
        <v>3</v>
      </c>
      <c r="T467" s="22" t="s">
        <v>330</v>
      </c>
      <c r="U467" s="21">
        <v>1</v>
      </c>
      <c r="V467" s="22">
        <v>1</v>
      </c>
      <c r="W467" s="25">
        <f t="shared" si="76"/>
        <v>144</v>
      </c>
      <c r="X467" s="25">
        <f t="shared" si="77"/>
        <v>108</v>
      </c>
      <c r="Y467" s="22">
        <v>1</v>
      </c>
      <c r="Z467" s="24">
        <f t="shared" si="71"/>
        <v>144</v>
      </c>
      <c r="AA467" s="24">
        <f t="shared" si="72"/>
        <v>108</v>
      </c>
      <c r="AF467" s="21" t="s">
        <v>247</v>
      </c>
      <c r="AJ467" s="21">
        <v>108</v>
      </c>
      <c r="AK467" s="21">
        <v>6</v>
      </c>
      <c r="AL467" s="22" t="s">
        <v>161</v>
      </c>
      <c r="AM467" s="22">
        <v>0.11</v>
      </c>
      <c r="AO467" s="22" t="s">
        <v>1529</v>
      </c>
      <c r="AP467" s="22" t="s">
        <v>1432</v>
      </c>
      <c r="AQ467" s="22" t="str">
        <f t="shared" si="73"/>
        <v>Nanophytoplankton</v>
      </c>
      <c r="AR467" s="22">
        <v>0</v>
      </c>
      <c r="AS467" s="22">
        <v>0</v>
      </c>
      <c r="AT467" s="22">
        <v>0</v>
      </c>
      <c r="AU467" s="22">
        <v>0</v>
      </c>
      <c r="AV467" s="22">
        <v>0</v>
      </c>
      <c r="AW467" s="22">
        <v>0</v>
      </c>
      <c r="AX467" s="22">
        <v>1</v>
      </c>
      <c r="AY467" s="22">
        <v>0</v>
      </c>
    </row>
    <row r="468" spans="1:57">
      <c r="A468" s="22" t="s">
        <v>1557</v>
      </c>
      <c r="B468" s="22" t="s">
        <v>663</v>
      </c>
      <c r="C468" s="23" t="s">
        <v>822</v>
      </c>
      <c r="D468" s="23" t="s">
        <v>965</v>
      </c>
      <c r="E468" s="22" t="s">
        <v>62</v>
      </c>
      <c r="F468" s="22" t="s">
        <v>1424</v>
      </c>
      <c r="G468" s="23" t="s">
        <v>1553</v>
      </c>
      <c r="H468" s="23" t="s">
        <v>1554</v>
      </c>
      <c r="I468" s="22" t="s">
        <v>1555</v>
      </c>
      <c r="J468" s="22" t="s">
        <v>1558</v>
      </c>
      <c r="M468" s="22" t="s">
        <v>104</v>
      </c>
      <c r="O468" s="22" t="s">
        <v>1430</v>
      </c>
      <c r="P468" s="21">
        <v>70212</v>
      </c>
      <c r="Q468" s="22">
        <v>6</v>
      </c>
      <c r="R468" s="22">
        <v>6</v>
      </c>
      <c r="S468" s="22">
        <v>3</v>
      </c>
      <c r="T468" s="22" t="s">
        <v>330</v>
      </c>
      <c r="U468" s="21">
        <v>1</v>
      </c>
      <c r="V468" s="22">
        <v>1</v>
      </c>
      <c r="W468" s="25">
        <f t="shared" si="76"/>
        <v>144</v>
      </c>
      <c r="X468" s="25">
        <f t="shared" si="77"/>
        <v>108</v>
      </c>
      <c r="Y468" s="22">
        <v>1</v>
      </c>
      <c r="Z468" s="24">
        <f t="shared" si="71"/>
        <v>144</v>
      </c>
      <c r="AA468" s="24">
        <f t="shared" si="72"/>
        <v>108</v>
      </c>
      <c r="AF468" s="21" t="s">
        <v>247</v>
      </c>
      <c r="AJ468" s="21">
        <v>108</v>
      </c>
      <c r="AK468" s="21">
        <v>6</v>
      </c>
      <c r="AL468" s="22" t="s">
        <v>161</v>
      </c>
      <c r="AM468" s="22">
        <v>0.11</v>
      </c>
      <c r="AO468" s="22" t="s">
        <v>1529</v>
      </c>
      <c r="AP468" s="22" t="s">
        <v>1432</v>
      </c>
      <c r="AQ468" s="22" t="str">
        <f t="shared" si="73"/>
        <v>Nanophytoplankton</v>
      </c>
      <c r="AR468" s="22">
        <v>0</v>
      </c>
      <c r="AS468" s="22">
        <v>0</v>
      </c>
      <c r="AT468" s="22">
        <v>0</v>
      </c>
      <c r="AU468" s="22">
        <v>0</v>
      </c>
      <c r="AV468" s="22">
        <v>0</v>
      </c>
      <c r="AW468" s="22">
        <v>0</v>
      </c>
      <c r="AX468" s="22">
        <v>1</v>
      </c>
      <c r="AY468" s="22">
        <v>0</v>
      </c>
    </row>
    <row r="469" spans="1:57">
      <c r="A469" s="22" t="s">
        <v>1559</v>
      </c>
      <c r="B469" s="22" t="s">
        <v>663</v>
      </c>
      <c r="C469" s="23" t="s">
        <v>822</v>
      </c>
      <c r="D469" s="23" t="s">
        <v>965</v>
      </c>
      <c r="E469" s="22" t="s">
        <v>62</v>
      </c>
      <c r="F469" s="22" t="s">
        <v>1424</v>
      </c>
      <c r="G469" s="23" t="s">
        <v>1553</v>
      </c>
      <c r="H469" s="23" t="s">
        <v>1554</v>
      </c>
      <c r="I469" s="22" t="s">
        <v>1555</v>
      </c>
      <c r="J469" s="22" t="s">
        <v>1560</v>
      </c>
      <c r="M469" s="22" t="s">
        <v>104</v>
      </c>
      <c r="O469" s="22" t="s">
        <v>1430</v>
      </c>
      <c r="P469" s="21">
        <v>70213</v>
      </c>
      <c r="Q469" s="22">
        <v>6</v>
      </c>
      <c r="R469" s="22">
        <v>6</v>
      </c>
      <c r="S469" s="22">
        <v>3</v>
      </c>
      <c r="T469" s="22" t="s">
        <v>330</v>
      </c>
      <c r="U469" s="21">
        <v>1</v>
      </c>
      <c r="V469" s="22">
        <v>1</v>
      </c>
      <c r="W469" s="25">
        <f t="shared" si="76"/>
        <v>144</v>
      </c>
      <c r="X469" s="25">
        <f t="shared" si="77"/>
        <v>108</v>
      </c>
      <c r="Y469" s="22">
        <v>1</v>
      </c>
      <c r="Z469" s="24">
        <f t="shared" si="71"/>
        <v>144</v>
      </c>
      <c r="AA469" s="24">
        <f t="shared" si="72"/>
        <v>108</v>
      </c>
      <c r="AF469" s="21" t="s">
        <v>247</v>
      </c>
      <c r="AJ469" s="21">
        <v>108</v>
      </c>
      <c r="AK469" s="21">
        <v>6</v>
      </c>
      <c r="AL469" s="22" t="s">
        <v>161</v>
      </c>
      <c r="AM469" s="22">
        <v>0.11</v>
      </c>
      <c r="AO469" s="22" t="s">
        <v>1529</v>
      </c>
      <c r="AP469" s="22" t="s">
        <v>1432</v>
      </c>
      <c r="AQ469" s="22" t="str">
        <f t="shared" si="73"/>
        <v>Nanophytoplankton</v>
      </c>
      <c r="AR469" s="22">
        <v>0</v>
      </c>
      <c r="AS469" s="22">
        <v>0</v>
      </c>
      <c r="AT469" s="22">
        <v>0</v>
      </c>
      <c r="AU469" s="22">
        <v>0</v>
      </c>
      <c r="AV469" s="22">
        <v>0</v>
      </c>
      <c r="AW469" s="22">
        <v>0</v>
      </c>
      <c r="AX469" s="22">
        <v>1</v>
      </c>
      <c r="AY469" s="22">
        <v>0</v>
      </c>
    </row>
    <row r="470" spans="1:57">
      <c r="A470" s="22" t="s">
        <v>1561</v>
      </c>
      <c r="B470" s="22" t="s">
        <v>663</v>
      </c>
      <c r="C470" s="23" t="s">
        <v>822</v>
      </c>
      <c r="D470" s="23" t="s">
        <v>965</v>
      </c>
      <c r="E470" s="22" t="s">
        <v>62</v>
      </c>
      <c r="F470" s="22" t="s">
        <v>1424</v>
      </c>
      <c r="G470" s="23" t="s">
        <v>1553</v>
      </c>
      <c r="H470" s="23" t="s">
        <v>1554</v>
      </c>
      <c r="I470" s="22" t="s">
        <v>1555</v>
      </c>
      <c r="J470" s="22" t="s">
        <v>1562</v>
      </c>
      <c r="M470" s="22" t="s">
        <v>104</v>
      </c>
      <c r="O470" s="22" t="s">
        <v>1430</v>
      </c>
      <c r="P470" s="21">
        <v>70214</v>
      </c>
      <c r="Q470" s="22">
        <v>12</v>
      </c>
      <c r="R470" s="22">
        <v>12</v>
      </c>
      <c r="S470" s="22">
        <v>5</v>
      </c>
      <c r="T470" s="22" t="s">
        <v>330</v>
      </c>
      <c r="U470" s="21">
        <v>1</v>
      </c>
      <c r="V470" s="22">
        <v>1</v>
      </c>
      <c r="W470" s="25">
        <f t="shared" si="76"/>
        <v>528</v>
      </c>
      <c r="X470" s="25">
        <f t="shared" si="77"/>
        <v>720</v>
      </c>
      <c r="Y470" s="22">
        <v>1</v>
      </c>
      <c r="Z470" s="24">
        <f t="shared" si="71"/>
        <v>528</v>
      </c>
      <c r="AA470" s="24">
        <f t="shared" si="72"/>
        <v>720</v>
      </c>
      <c r="AF470" s="21" t="s">
        <v>247</v>
      </c>
      <c r="AJ470" s="21">
        <v>720</v>
      </c>
      <c r="AK470" s="21">
        <v>12</v>
      </c>
      <c r="AL470" s="22" t="s">
        <v>161</v>
      </c>
      <c r="AM470" s="22">
        <v>0.11</v>
      </c>
      <c r="AP470" s="22" t="s">
        <v>1432</v>
      </c>
      <c r="AQ470" s="22" t="str">
        <f t="shared" si="73"/>
        <v>Nanophytoplankton</v>
      </c>
      <c r="AR470" s="22">
        <v>0</v>
      </c>
      <c r="AS470" s="22">
        <v>0</v>
      </c>
      <c r="AT470" s="22">
        <v>0</v>
      </c>
      <c r="AU470" s="22">
        <v>0</v>
      </c>
      <c r="AV470" s="22">
        <v>0</v>
      </c>
      <c r="AW470" s="22">
        <v>0</v>
      </c>
      <c r="AX470" s="22">
        <v>1</v>
      </c>
      <c r="AY470" s="22">
        <v>0</v>
      </c>
    </row>
    <row r="471" spans="1:57">
      <c r="A471" s="21" t="s">
        <v>1563</v>
      </c>
      <c r="B471" s="22" t="s">
        <v>663</v>
      </c>
      <c r="C471" s="23" t="s">
        <v>822</v>
      </c>
      <c r="D471" s="23" t="s">
        <v>965</v>
      </c>
      <c r="E471" s="22" t="s">
        <v>62</v>
      </c>
      <c r="F471" s="23" t="s">
        <v>1434</v>
      </c>
      <c r="G471" s="23" t="s">
        <v>1435</v>
      </c>
      <c r="H471" s="23" t="s">
        <v>1564</v>
      </c>
      <c r="I471" s="22" t="s">
        <v>1564</v>
      </c>
      <c r="J471" s="22" t="s">
        <v>1495</v>
      </c>
      <c r="N471" s="22" t="s">
        <v>694</v>
      </c>
      <c r="O471" s="22" t="s">
        <v>1430</v>
      </c>
      <c r="P471" s="21">
        <v>71011</v>
      </c>
      <c r="Q471" s="21">
        <v>22</v>
      </c>
      <c r="R471" s="21">
        <v>10</v>
      </c>
      <c r="S471" s="21">
        <v>4.5</v>
      </c>
      <c r="T471" s="22" t="s">
        <v>330</v>
      </c>
      <c r="U471" s="21">
        <v>0.75</v>
      </c>
      <c r="V471" s="21">
        <v>0.8</v>
      </c>
      <c r="W471" s="25">
        <f t="shared" si="76"/>
        <v>910</v>
      </c>
      <c r="X471" s="25">
        <f t="shared" si="77"/>
        <v>742.5</v>
      </c>
      <c r="Y471" s="22">
        <v>1</v>
      </c>
      <c r="Z471" s="24">
        <f t="shared" si="71"/>
        <v>910</v>
      </c>
      <c r="AA471" s="24">
        <f t="shared" si="72"/>
        <v>742.5</v>
      </c>
      <c r="AB471" s="21"/>
      <c r="AC471" s="21"/>
      <c r="AD471" s="21"/>
      <c r="AF471" s="21" t="s">
        <v>247</v>
      </c>
      <c r="AJ471" s="21">
        <v>742.5</v>
      </c>
      <c r="AK471" s="21">
        <v>22</v>
      </c>
      <c r="AL471" s="22" t="s">
        <v>161</v>
      </c>
      <c r="AM471" s="22">
        <v>0.11</v>
      </c>
      <c r="AP471" s="22" t="s">
        <v>1432</v>
      </c>
      <c r="AQ471" s="22" t="str">
        <f t="shared" si="73"/>
        <v>Microphytoplankton</v>
      </c>
      <c r="AR471" s="22">
        <v>1</v>
      </c>
      <c r="AS471" s="22">
        <v>0</v>
      </c>
      <c r="AT471" s="22">
        <v>1</v>
      </c>
      <c r="AU471" s="22">
        <v>0</v>
      </c>
      <c r="AV471" s="22">
        <v>0</v>
      </c>
      <c r="AW471" s="22">
        <v>0</v>
      </c>
      <c r="AX471" s="22">
        <v>1</v>
      </c>
      <c r="AY471" s="22">
        <v>0</v>
      </c>
    </row>
    <row r="472" spans="1:57">
      <c r="A472" s="21" t="s">
        <v>1565</v>
      </c>
      <c r="B472" s="22" t="s">
        <v>663</v>
      </c>
      <c r="C472" s="23" t="s">
        <v>822</v>
      </c>
      <c r="D472" s="23" t="s">
        <v>965</v>
      </c>
      <c r="E472" s="22" t="s">
        <v>62</v>
      </c>
      <c r="F472" s="23" t="s">
        <v>1434</v>
      </c>
      <c r="G472" s="23" t="s">
        <v>1435</v>
      </c>
      <c r="H472" s="23" t="s">
        <v>1564</v>
      </c>
      <c r="I472" s="22" t="s">
        <v>1564</v>
      </c>
      <c r="J472" s="22" t="s">
        <v>1566</v>
      </c>
      <c r="N472" s="22" t="s">
        <v>694</v>
      </c>
      <c r="O472" s="22" t="s">
        <v>1430</v>
      </c>
      <c r="P472" s="21">
        <v>71010</v>
      </c>
      <c r="Q472" s="21">
        <v>35</v>
      </c>
      <c r="R472" s="21">
        <v>25</v>
      </c>
      <c r="S472" s="21">
        <v>7</v>
      </c>
      <c r="T472" s="22" t="s">
        <v>330</v>
      </c>
      <c r="U472" s="21">
        <v>0.75</v>
      </c>
      <c r="V472" s="21">
        <v>0.8</v>
      </c>
      <c r="W472" s="25">
        <f t="shared" si="76"/>
        <v>3237.5</v>
      </c>
      <c r="X472" s="25">
        <f t="shared" si="77"/>
        <v>4593.75</v>
      </c>
      <c r="Y472" s="22">
        <v>1</v>
      </c>
      <c r="Z472" s="24">
        <f t="shared" si="71"/>
        <v>3237.5</v>
      </c>
      <c r="AA472" s="24">
        <f t="shared" si="72"/>
        <v>4593.75</v>
      </c>
      <c r="AB472" s="21"/>
      <c r="AC472" s="21"/>
      <c r="AD472" s="21"/>
      <c r="AF472" s="21" t="s">
        <v>247</v>
      </c>
      <c r="AJ472" s="21">
        <v>4593.8</v>
      </c>
      <c r="AK472" s="21">
        <v>35</v>
      </c>
      <c r="AL472" s="22" t="s">
        <v>161</v>
      </c>
      <c r="AM472" s="22">
        <v>0.11</v>
      </c>
      <c r="AP472" s="22" t="s">
        <v>1432</v>
      </c>
      <c r="AQ472" s="22" t="str">
        <f t="shared" si="73"/>
        <v>Microphytoplankton</v>
      </c>
      <c r="AR472" s="22">
        <v>1</v>
      </c>
      <c r="AS472" s="22">
        <v>0</v>
      </c>
      <c r="AT472" s="22">
        <v>1</v>
      </c>
      <c r="AU472" s="22">
        <v>0</v>
      </c>
      <c r="AV472" s="22">
        <v>0</v>
      </c>
      <c r="AW472" s="22">
        <v>0</v>
      </c>
      <c r="AX472" s="22">
        <v>1</v>
      </c>
      <c r="AY472" s="22">
        <v>0</v>
      </c>
    </row>
    <row r="473" spans="1:57">
      <c r="A473" s="21" t="s">
        <v>1567</v>
      </c>
      <c r="B473" s="22" t="s">
        <v>663</v>
      </c>
      <c r="C473" s="23" t="s">
        <v>822</v>
      </c>
      <c r="D473" s="23" t="s">
        <v>965</v>
      </c>
      <c r="E473" s="22" t="s">
        <v>62</v>
      </c>
      <c r="F473" s="23" t="s">
        <v>1434</v>
      </c>
      <c r="G473" s="23" t="s">
        <v>1435</v>
      </c>
      <c r="H473" s="23" t="s">
        <v>1564</v>
      </c>
      <c r="I473" s="22" t="s">
        <v>1564</v>
      </c>
      <c r="J473" s="22" t="s">
        <v>1566</v>
      </c>
      <c r="K473" s="22" t="s">
        <v>175</v>
      </c>
      <c r="L473" s="22" t="s">
        <v>1568</v>
      </c>
      <c r="N473" s="22" t="s">
        <v>1569</v>
      </c>
      <c r="O473" s="22" t="s">
        <v>1430</v>
      </c>
      <c r="P473" s="21">
        <v>71020</v>
      </c>
      <c r="Q473" s="21">
        <v>29</v>
      </c>
      <c r="R473" s="21">
        <v>16</v>
      </c>
      <c r="S473" s="21">
        <v>4</v>
      </c>
      <c r="T473" s="22" t="s">
        <v>330</v>
      </c>
      <c r="U473" s="21">
        <v>0.8</v>
      </c>
      <c r="V473" s="21">
        <v>0.8</v>
      </c>
      <c r="W473" s="25">
        <f t="shared" si="76"/>
        <v>1610</v>
      </c>
      <c r="X473" s="25">
        <f t="shared" si="77"/>
        <v>1484.8000000000002</v>
      </c>
      <c r="Y473" s="22">
        <v>1</v>
      </c>
      <c r="Z473" s="24">
        <f t="shared" si="71"/>
        <v>1610</v>
      </c>
      <c r="AA473" s="24">
        <f t="shared" si="72"/>
        <v>1484.8000000000002</v>
      </c>
      <c r="AB473" s="21"/>
      <c r="AC473" s="21"/>
      <c r="AD473" s="21"/>
      <c r="AF473" s="21" t="s">
        <v>247</v>
      </c>
      <c r="AJ473" s="21">
        <v>1484.8</v>
      </c>
      <c r="AK473" s="21">
        <v>29</v>
      </c>
      <c r="AL473" s="22" t="s">
        <v>161</v>
      </c>
      <c r="AM473" s="22">
        <v>0.11</v>
      </c>
      <c r="AP473" s="22" t="s">
        <v>1432</v>
      </c>
      <c r="AQ473" s="22" t="str">
        <f t="shared" si="73"/>
        <v>Microphytoplankton</v>
      </c>
      <c r="AR473" s="22">
        <v>1</v>
      </c>
      <c r="AS473" s="22">
        <v>0</v>
      </c>
      <c r="AT473" s="22">
        <v>1</v>
      </c>
      <c r="AU473" s="22">
        <v>0</v>
      </c>
      <c r="AV473" s="22">
        <v>0</v>
      </c>
      <c r="AW473" s="22">
        <v>0</v>
      </c>
      <c r="AX473" s="22">
        <v>1</v>
      </c>
      <c r="AY473" s="22">
        <v>0</v>
      </c>
    </row>
    <row r="474" spans="1:57">
      <c r="A474" s="21" t="s">
        <v>1570</v>
      </c>
      <c r="B474" s="22" t="s">
        <v>663</v>
      </c>
      <c r="C474" s="23" t="s">
        <v>822</v>
      </c>
      <c r="D474" s="23" t="s">
        <v>965</v>
      </c>
      <c r="E474" s="22" t="s">
        <v>62</v>
      </c>
      <c r="F474" s="23" t="s">
        <v>1434</v>
      </c>
      <c r="G474" s="23" t="s">
        <v>1435</v>
      </c>
      <c r="H474" s="23" t="s">
        <v>1564</v>
      </c>
      <c r="I474" s="22" t="s">
        <v>1564</v>
      </c>
      <c r="J474" s="22" t="s">
        <v>211</v>
      </c>
      <c r="M474" s="22" t="s">
        <v>1</v>
      </c>
      <c r="N474" s="22" t="s">
        <v>694</v>
      </c>
      <c r="O474" s="22" t="s">
        <v>1430</v>
      </c>
      <c r="P474" s="21">
        <v>71000</v>
      </c>
      <c r="Q474" s="21">
        <v>22</v>
      </c>
      <c r="R474" s="21">
        <v>10</v>
      </c>
      <c r="S474" s="21">
        <v>4.5</v>
      </c>
      <c r="T474" s="22" t="s">
        <v>330</v>
      </c>
      <c r="U474" s="21">
        <v>0.75</v>
      </c>
      <c r="V474" s="21">
        <v>0.8</v>
      </c>
      <c r="W474" s="25">
        <f t="shared" si="76"/>
        <v>910</v>
      </c>
      <c r="X474" s="25">
        <f t="shared" si="77"/>
        <v>742.5</v>
      </c>
      <c r="Y474" s="22">
        <v>1</v>
      </c>
      <c r="Z474" s="24">
        <f t="shared" si="71"/>
        <v>910</v>
      </c>
      <c r="AA474" s="24">
        <f t="shared" si="72"/>
        <v>742.5</v>
      </c>
      <c r="AB474" s="21"/>
      <c r="AC474" s="21"/>
      <c r="AD474" s="21"/>
      <c r="AF474" s="21" t="s">
        <v>247</v>
      </c>
      <c r="AJ474" s="21">
        <v>742.5</v>
      </c>
      <c r="AK474" s="21">
        <v>22</v>
      </c>
      <c r="AL474" s="22" t="s">
        <v>161</v>
      </c>
      <c r="AM474" s="22">
        <v>0.11</v>
      </c>
      <c r="AO474" s="22" t="s">
        <v>383</v>
      </c>
      <c r="AP474" s="22" t="s">
        <v>1432</v>
      </c>
      <c r="AQ474" s="22" t="str">
        <f t="shared" si="73"/>
        <v>Microphytoplankton</v>
      </c>
      <c r="AR474" s="22">
        <v>1</v>
      </c>
      <c r="AS474" s="22">
        <v>0</v>
      </c>
      <c r="AT474" s="22">
        <v>1</v>
      </c>
      <c r="AU474" s="22">
        <v>0</v>
      </c>
      <c r="AV474" s="22">
        <v>0</v>
      </c>
      <c r="AW474" s="22">
        <v>0</v>
      </c>
      <c r="AX474" s="22">
        <v>1</v>
      </c>
      <c r="AY474" s="22">
        <v>0</v>
      </c>
    </row>
    <row r="475" spans="1:57">
      <c r="A475" s="21" t="s">
        <v>1571</v>
      </c>
      <c r="B475" s="22" t="s">
        <v>663</v>
      </c>
      <c r="C475" s="23" t="s">
        <v>822</v>
      </c>
      <c r="D475" s="23" t="s">
        <v>965</v>
      </c>
      <c r="E475" s="22" t="s">
        <v>62</v>
      </c>
      <c r="F475" s="22" t="s">
        <v>1424</v>
      </c>
      <c r="G475" s="23" t="s">
        <v>1553</v>
      </c>
      <c r="H475" s="23" t="s">
        <v>1554</v>
      </c>
      <c r="I475" s="22" t="s">
        <v>1572</v>
      </c>
      <c r="J475" s="22" t="s">
        <v>1573</v>
      </c>
      <c r="N475" s="22" t="s">
        <v>1574</v>
      </c>
      <c r="O475" s="22" t="s">
        <v>1430</v>
      </c>
      <c r="P475" s="21">
        <v>70301</v>
      </c>
      <c r="Q475" s="21">
        <v>14.5</v>
      </c>
      <c r="R475" s="21">
        <v>14.5</v>
      </c>
      <c r="S475" s="21">
        <v>6.5</v>
      </c>
      <c r="T475" s="21" t="s">
        <v>160</v>
      </c>
      <c r="U475" s="21">
        <v>1</v>
      </c>
      <c r="V475" s="22">
        <v>1</v>
      </c>
      <c r="W475" s="24">
        <f t="shared" ref="W475:W505" si="78">3.14*R475*Q475+2*3.14*(S475/2)^2/V475</f>
        <v>726.51750000000004</v>
      </c>
      <c r="X475" s="25">
        <f t="shared" ref="X475:X505" si="79">(3.14/4*R475^2*Q475)*U475</f>
        <v>2393.1706250000002</v>
      </c>
      <c r="Y475" s="22">
        <v>1</v>
      </c>
      <c r="Z475" s="24">
        <f t="shared" si="71"/>
        <v>726.51750000000004</v>
      </c>
      <c r="AA475" s="24">
        <f t="shared" si="72"/>
        <v>2393.1706250000002</v>
      </c>
      <c r="AB475" s="21"/>
      <c r="AC475" s="21"/>
      <c r="AD475" s="21"/>
      <c r="AF475" s="21" t="s">
        <v>247</v>
      </c>
      <c r="AJ475" s="21">
        <v>1073.3</v>
      </c>
      <c r="AK475" s="21">
        <v>14.5</v>
      </c>
      <c r="AL475" s="22" t="s">
        <v>161</v>
      </c>
      <c r="AM475" s="22">
        <v>0.11</v>
      </c>
      <c r="AO475" s="22" t="s">
        <v>1431</v>
      </c>
      <c r="AP475" s="22" t="s">
        <v>1432</v>
      </c>
      <c r="AQ475" s="22" t="str">
        <f t="shared" si="73"/>
        <v>Nanophytoplankton</v>
      </c>
      <c r="AR475" s="22">
        <v>0</v>
      </c>
      <c r="AS475" s="22">
        <v>0</v>
      </c>
      <c r="AT475" s="22">
        <v>0</v>
      </c>
      <c r="AU475" s="22">
        <v>0</v>
      </c>
      <c r="AV475" s="22">
        <v>0</v>
      </c>
      <c r="AW475" s="22">
        <v>0</v>
      </c>
      <c r="AX475" s="22">
        <v>1</v>
      </c>
      <c r="AY475" s="22">
        <v>0</v>
      </c>
    </row>
    <row r="476" spans="1:57">
      <c r="A476" s="22" t="s">
        <v>1575</v>
      </c>
      <c r="B476" s="22" t="s">
        <v>663</v>
      </c>
      <c r="C476" s="23" t="s">
        <v>822</v>
      </c>
      <c r="D476" s="23" t="s">
        <v>965</v>
      </c>
      <c r="E476" s="22" t="s">
        <v>62</v>
      </c>
      <c r="F476" s="22" t="s">
        <v>1424</v>
      </c>
      <c r="G476" s="23" t="s">
        <v>1553</v>
      </c>
      <c r="H476" s="23" t="s">
        <v>1554</v>
      </c>
      <c r="I476" s="22" t="s">
        <v>1572</v>
      </c>
      <c r="J476" s="22" t="s">
        <v>1576</v>
      </c>
      <c r="N476" s="22" t="s">
        <v>1577</v>
      </c>
      <c r="O476" s="22" t="s">
        <v>1430</v>
      </c>
      <c r="P476" s="21">
        <v>70302</v>
      </c>
      <c r="Q476" s="22">
        <v>10</v>
      </c>
      <c r="R476" s="22">
        <v>10</v>
      </c>
      <c r="S476" s="22">
        <v>3</v>
      </c>
      <c r="T476" s="21" t="s">
        <v>160</v>
      </c>
      <c r="U476" s="21">
        <v>1</v>
      </c>
      <c r="V476" s="22">
        <v>1</v>
      </c>
      <c r="W476" s="24">
        <f t="shared" si="78"/>
        <v>328.13</v>
      </c>
      <c r="X476" s="25">
        <f t="shared" si="79"/>
        <v>785</v>
      </c>
      <c r="Y476" s="22">
        <v>1</v>
      </c>
      <c r="Z476" s="24">
        <f t="shared" si="71"/>
        <v>328.13</v>
      </c>
      <c r="AA476" s="24">
        <f t="shared" si="72"/>
        <v>785</v>
      </c>
      <c r="AF476" s="21" t="s">
        <v>247</v>
      </c>
      <c r="AJ476" s="21">
        <v>235.5</v>
      </c>
      <c r="AK476" s="21">
        <v>10</v>
      </c>
      <c r="AL476" s="22" t="s">
        <v>161</v>
      </c>
      <c r="AM476" s="22">
        <v>0.11</v>
      </c>
      <c r="AO476" s="22" t="s">
        <v>1431</v>
      </c>
      <c r="AP476" s="22" t="s">
        <v>1432</v>
      </c>
      <c r="AQ476" s="22" t="str">
        <f t="shared" si="73"/>
        <v>Nanophytoplankton</v>
      </c>
      <c r="AR476" s="22">
        <v>0</v>
      </c>
      <c r="AS476" s="22">
        <v>0</v>
      </c>
      <c r="AT476" s="22">
        <v>0</v>
      </c>
      <c r="AU476" s="22">
        <v>0</v>
      </c>
      <c r="AV476" s="22">
        <v>0</v>
      </c>
      <c r="AW476" s="22">
        <v>0</v>
      </c>
      <c r="AX476" s="22">
        <v>1</v>
      </c>
      <c r="AY476" s="22">
        <v>0</v>
      </c>
    </row>
    <row r="477" spans="1:57">
      <c r="A477" s="22" t="s">
        <v>1578</v>
      </c>
      <c r="B477" s="22" t="s">
        <v>663</v>
      </c>
      <c r="C477" s="23" t="s">
        <v>822</v>
      </c>
      <c r="D477" s="23" t="s">
        <v>965</v>
      </c>
      <c r="E477" s="22" t="s">
        <v>62</v>
      </c>
      <c r="F477" s="22" t="s">
        <v>1424</v>
      </c>
      <c r="G477" s="23" t="s">
        <v>1553</v>
      </c>
      <c r="H477" s="23" t="s">
        <v>1554</v>
      </c>
      <c r="I477" s="22" t="s">
        <v>42</v>
      </c>
      <c r="J477" s="22" t="s">
        <v>1579</v>
      </c>
      <c r="N477" s="22" t="s">
        <v>1580</v>
      </c>
      <c r="O477" s="22" t="s">
        <v>1430</v>
      </c>
      <c r="P477" s="21">
        <v>70269</v>
      </c>
      <c r="Q477" s="22">
        <v>5</v>
      </c>
      <c r="R477" s="22">
        <v>5</v>
      </c>
      <c r="S477" s="22">
        <v>2</v>
      </c>
      <c r="T477" s="21" t="s">
        <v>160</v>
      </c>
      <c r="U477" s="21">
        <v>1</v>
      </c>
      <c r="V477" s="22">
        <v>1</v>
      </c>
      <c r="W477" s="24">
        <f t="shared" si="78"/>
        <v>84.78</v>
      </c>
      <c r="X477" s="25">
        <f t="shared" si="79"/>
        <v>98.125</v>
      </c>
      <c r="Y477" s="22">
        <v>1</v>
      </c>
      <c r="Z477" s="24">
        <f t="shared" si="71"/>
        <v>84.78</v>
      </c>
      <c r="AA477" s="24">
        <f t="shared" si="72"/>
        <v>98.125</v>
      </c>
      <c r="AF477" s="21" t="s">
        <v>247</v>
      </c>
      <c r="AJ477" s="21">
        <v>39.25</v>
      </c>
      <c r="AK477" s="21">
        <v>5</v>
      </c>
      <c r="AL477" s="22" t="s">
        <v>161</v>
      </c>
      <c r="AM477" s="22">
        <v>0.11</v>
      </c>
      <c r="AO477" s="22" t="s">
        <v>1529</v>
      </c>
      <c r="AP477" s="22" t="s">
        <v>1432</v>
      </c>
      <c r="AQ477" s="22" t="str">
        <f t="shared" si="73"/>
        <v>Nanophytoplankton</v>
      </c>
      <c r="AR477" s="22">
        <v>0</v>
      </c>
      <c r="AS477" s="22">
        <v>0</v>
      </c>
      <c r="AT477" s="22">
        <v>0</v>
      </c>
      <c r="AU477" s="22">
        <v>0</v>
      </c>
      <c r="AV477" s="22">
        <v>0</v>
      </c>
      <c r="AW477" s="22">
        <v>0</v>
      </c>
      <c r="AX477" s="22">
        <v>1</v>
      </c>
      <c r="AY477" s="22">
        <v>0</v>
      </c>
      <c r="AZ477" s="22">
        <v>4</v>
      </c>
      <c r="BA477" s="22">
        <v>4</v>
      </c>
      <c r="BB477" s="22">
        <v>1</v>
      </c>
      <c r="BC477" s="22">
        <v>1</v>
      </c>
      <c r="BD477" s="22">
        <v>0</v>
      </c>
      <c r="BE477" s="22">
        <v>0</v>
      </c>
    </row>
    <row r="478" spans="1:57">
      <c r="A478" s="22" t="s">
        <v>1581</v>
      </c>
      <c r="B478" s="22" t="s">
        <v>663</v>
      </c>
      <c r="C478" s="23" t="s">
        <v>822</v>
      </c>
      <c r="D478" s="23" t="s">
        <v>965</v>
      </c>
      <c r="E478" s="22" t="s">
        <v>62</v>
      </c>
      <c r="F478" s="22" t="s">
        <v>1424</v>
      </c>
      <c r="G478" s="23" t="s">
        <v>1553</v>
      </c>
      <c r="H478" s="23" t="s">
        <v>1554</v>
      </c>
      <c r="I478" s="22" t="s">
        <v>42</v>
      </c>
      <c r="J478" s="22" t="s">
        <v>1579</v>
      </c>
      <c r="K478" s="22" t="s">
        <v>175</v>
      </c>
      <c r="L478" s="22" t="s">
        <v>609</v>
      </c>
      <c r="N478" s="34" t="s">
        <v>1582</v>
      </c>
      <c r="O478" s="22" t="s">
        <v>1430</v>
      </c>
      <c r="P478" s="21">
        <v>70272</v>
      </c>
      <c r="Q478" s="22">
        <v>5</v>
      </c>
      <c r="R478" s="22">
        <v>5</v>
      </c>
      <c r="S478" s="22">
        <v>2</v>
      </c>
      <c r="T478" s="21" t="s">
        <v>160</v>
      </c>
      <c r="U478" s="21">
        <v>1</v>
      </c>
      <c r="V478" s="22">
        <v>1</v>
      </c>
      <c r="W478" s="24">
        <f t="shared" si="78"/>
        <v>84.78</v>
      </c>
      <c r="X478" s="25">
        <f t="shared" si="79"/>
        <v>98.125</v>
      </c>
      <c r="Y478" s="22">
        <v>1</v>
      </c>
      <c r="Z478" s="24">
        <f t="shared" si="71"/>
        <v>84.78</v>
      </c>
      <c r="AA478" s="24">
        <f t="shared" si="72"/>
        <v>98.125</v>
      </c>
      <c r="AF478" s="21" t="s">
        <v>247</v>
      </c>
      <c r="AJ478" s="21">
        <v>39.25</v>
      </c>
      <c r="AK478" s="21">
        <v>5</v>
      </c>
      <c r="AL478" s="22" t="s">
        <v>161</v>
      </c>
      <c r="AM478" s="22">
        <v>0.11</v>
      </c>
      <c r="AO478" s="22" t="s">
        <v>1529</v>
      </c>
      <c r="AP478" s="22" t="s">
        <v>1432</v>
      </c>
      <c r="AQ478" s="22" t="str">
        <f t="shared" si="73"/>
        <v>Nanophytoplankton</v>
      </c>
      <c r="AR478" s="22">
        <v>0</v>
      </c>
      <c r="AS478" s="22">
        <v>0</v>
      </c>
      <c r="AT478" s="22">
        <v>0</v>
      </c>
      <c r="AU478" s="22">
        <v>0</v>
      </c>
      <c r="AV478" s="22">
        <v>0</v>
      </c>
      <c r="AW478" s="22">
        <v>0</v>
      </c>
      <c r="AX478" s="22">
        <v>1</v>
      </c>
      <c r="AY478" s="22">
        <v>0</v>
      </c>
      <c r="AZ478" s="22">
        <v>4</v>
      </c>
      <c r="BA478" s="22">
        <v>4</v>
      </c>
      <c r="BB478" s="22">
        <v>1</v>
      </c>
      <c r="BC478" s="22">
        <v>1</v>
      </c>
      <c r="BD478" s="22">
        <v>0</v>
      </c>
      <c r="BE478" s="22">
        <v>0</v>
      </c>
    </row>
    <row r="479" spans="1:57">
      <c r="A479" s="21" t="s">
        <v>1583</v>
      </c>
      <c r="B479" s="22" t="s">
        <v>663</v>
      </c>
      <c r="C479" s="23" t="s">
        <v>822</v>
      </c>
      <c r="D479" s="23" t="s">
        <v>965</v>
      </c>
      <c r="E479" s="22" t="s">
        <v>62</v>
      </c>
      <c r="F479" s="22" t="s">
        <v>1424</v>
      </c>
      <c r="G479" s="23" t="s">
        <v>1553</v>
      </c>
      <c r="H479" s="23" t="s">
        <v>1554</v>
      </c>
      <c r="I479" s="22" t="s">
        <v>42</v>
      </c>
      <c r="J479" s="21" t="s">
        <v>1584</v>
      </c>
      <c r="K479" s="21" t="s">
        <v>175</v>
      </c>
      <c r="L479" s="21" t="s">
        <v>1584</v>
      </c>
      <c r="N479" s="22" t="s">
        <v>1585</v>
      </c>
      <c r="O479" s="22" t="s">
        <v>1430</v>
      </c>
      <c r="P479" s="21">
        <v>70271</v>
      </c>
      <c r="Q479" s="21">
        <v>40</v>
      </c>
      <c r="R479" s="21">
        <v>40</v>
      </c>
      <c r="S479" s="21">
        <v>10</v>
      </c>
      <c r="T479" s="21" t="s">
        <v>160</v>
      </c>
      <c r="U479" s="21">
        <v>1</v>
      </c>
      <c r="V479" s="22">
        <v>1</v>
      </c>
      <c r="W479" s="24">
        <f t="shared" si="78"/>
        <v>5181</v>
      </c>
      <c r="X479" s="25">
        <f t="shared" si="79"/>
        <v>50240</v>
      </c>
      <c r="Y479" s="22">
        <v>1</v>
      </c>
      <c r="Z479" s="24">
        <f t="shared" si="71"/>
        <v>5181</v>
      </c>
      <c r="AA479" s="24">
        <f t="shared" si="72"/>
        <v>50240</v>
      </c>
      <c r="AB479" s="21"/>
      <c r="AC479" s="21"/>
      <c r="AD479" s="21"/>
      <c r="AF479" s="21" t="s">
        <v>247</v>
      </c>
      <c r="AJ479" s="21">
        <v>16000</v>
      </c>
      <c r="AK479" s="21">
        <v>40</v>
      </c>
      <c r="AL479" s="22" t="s">
        <v>161</v>
      </c>
      <c r="AM479" s="22">
        <v>0.11</v>
      </c>
      <c r="AO479" s="22" t="s">
        <v>1529</v>
      </c>
      <c r="AP479" s="22" t="s">
        <v>1432</v>
      </c>
      <c r="AQ479" s="22" t="str">
        <f t="shared" si="73"/>
        <v>Microphytoplankton</v>
      </c>
      <c r="AR479" s="22">
        <v>0</v>
      </c>
      <c r="AS479" s="22">
        <v>0</v>
      </c>
      <c r="AT479" s="22">
        <v>0</v>
      </c>
      <c r="AU479" s="22">
        <v>0</v>
      </c>
      <c r="AV479" s="22">
        <v>0</v>
      </c>
      <c r="AW479" s="22">
        <v>0</v>
      </c>
      <c r="AX479" s="22">
        <v>1</v>
      </c>
      <c r="AY479" s="22">
        <v>0</v>
      </c>
      <c r="AZ479" s="22">
        <v>4</v>
      </c>
      <c r="BA479" s="22">
        <v>4</v>
      </c>
      <c r="BB479" s="22">
        <v>1</v>
      </c>
      <c r="BC479" s="22">
        <v>1</v>
      </c>
      <c r="BD479" s="22">
        <v>0</v>
      </c>
      <c r="BE479" s="22">
        <v>0</v>
      </c>
    </row>
    <row r="480" spans="1:57">
      <c r="A480" s="21" t="s">
        <v>1586</v>
      </c>
      <c r="B480" s="22" t="s">
        <v>663</v>
      </c>
      <c r="C480" s="23" t="s">
        <v>822</v>
      </c>
      <c r="D480" s="23" t="s">
        <v>965</v>
      </c>
      <c r="E480" s="22" t="s">
        <v>62</v>
      </c>
      <c r="F480" s="22" t="s">
        <v>1424</v>
      </c>
      <c r="G480" s="23" t="s">
        <v>1553</v>
      </c>
      <c r="H480" s="23" t="s">
        <v>1554</v>
      </c>
      <c r="I480" s="22" t="s">
        <v>1587</v>
      </c>
      <c r="J480" s="21" t="s">
        <v>1584</v>
      </c>
      <c r="K480" s="21"/>
      <c r="L480" s="21"/>
      <c r="N480" s="23" t="s">
        <v>1588</v>
      </c>
      <c r="O480" s="22" t="s">
        <v>1430</v>
      </c>
      <c r="P480" s="21">
        <v>70273</v>
      </c>
      <c r="Q480" s="21">
        <v>40</v>
      </c>
      <c r="R480" s="21">
        <v>40</v>
      </c>
      <c r="S480" s="21">
        <v>10</v>
      </c>
      <c r="T480" s="21" t="s">
        <v>160</v>
      </c>
      <c r="U480" s="21">
        <v>1</v>
      </c>
      <c r="V480" s="22">
        <v>1</v>
      </c>
      <c r="W480" s="24">
        <f t="shared" si="78"/>
        <v>5181</v>
      </c>
      <c r="X480" s="25">
        <f t="shared" si="79"/>
        <v>50240</v>
      </c>
      <c r="Y480" s="22">
        <v>1</v>
      </c>
      <c r="Z480" s="24">
        <f t="shared" si="71"/>
        <v>5181</v>
      </c>
      <c r="AA480" s="24">
        <f t="shared" si="72"/>
        <v>50240</v>
      </c>
      <c r="AB480" s="21"/>
      <c r="AC480" s="21"/>
      <c r="AD480" s="21"/>
      <c r="AF480" s="21" t="s">
        <v>247</v>
      </c>
      <c r="AJ480" s="21">
        <v>16000</v>
      </c>
      <c r="AK480" s="21">
        <v>40</v>
      </c>
      <c r="AL480" s="22" t="s">
        <v>161</v>
      </c>
      <c r="AM480" s="22">
        <v>0.11</v>
      </c>
      <c r="AO480" s="22" t="s">
        <v>1529</v>
      </c>
      <c r="AP480" s="22" t="s">
        <v>1432</v>
      </c>
      <c r="AQ480" s="22" t="str">
        <f t="shared" si="73"/>
        <v>Microphytoplankton</v>
      </c>
      <c r="AR480" s="22">
        <v>0</v>
      </c>
      <c r="AS480" s="22">
        <v>0</v>
      </c>
      <c r="AT480" s="22">
        <v>0</v>
      </c>
      <c r="AU480" s="22">
        <v>0</v>
      </c>
      <c r="AV480" s="22">
        <v>0</v>
      </c>
      <c r="AW480" s="22">
        <v>0</v>
      </c>
      <c r="AX480" s="22">
        <v>1</v>
      </c>
      <c r="AY480" s="22">
        <v>0</v>
      </c>
      <c r="AZ480" s="22">
        <v>4</v>
      </c>
      <c r="BA480" s="22">
        <v>4</v>
      </c>
      <c r="BB480" s="22">
        <v>1</v>
      </c>
      <c r="BC480" s="22">
        <v>1</v>
      </c>
      <c r="BD480" s="22">
        <v>0</v>
      </c>
      <c r="BE480" s="22">
        <v>0</v>
      </c>
    </row>
    <row r="481" spans="1:57">
      <c r="A481" s="21" t="s">
        <v>1589</v>
      </c>
      <c r="B481" s="22" t="s">
        <v>663</v>
      </c>
      <c r="C481" s="23" t="s">
        <v>822</v>
      </c>
      <c r="D481" s="23" t="s">
        <v>965</v>
      </c>
      <c r="E481" s="22" t="s">
        <v>62</v>
      </c>
      <c r="F481" s="22" t="s">
        <v>1424</v>
      </c>
      <c r="G481" s="23" t="s">
        <v>1553</v>
      </c>
      <c r="H481" s="23" t="s">
        <v>1554</v>
      </c>
      <c r="I481" s="22" t="s">
        <v>42</v>
      </c>
      <c r="J481" s="21" t="s">
        <v>1584</v>
      </c>
      <c r="K481" s="21" t="s">
        <v>175</v>
      </c>
      <c r="L481" s="21" t="s">
        <v>1590</v>
      </c>
      <c r="N481" s="22" t="s">
        <v>1591</v>
      </c>
      <c r="O481" s="22" t="s">
        <v>1430</v>
      </c>
      <c r="P481" s="21">
        <v>70270</v>
      </c>
      <c r="Q481" s="21">
        <v>40</v>
      </c>
      <c r="R481" s="21">
        <v>40</v>
      </c>
      <c r="S481" s="21">
        <v>10</v>
      </c>
      <c r="T481" s="21" t="s">
        <v>160</v>
      </c>
      <c r="U481" s="21">
        <v>1</v>
      </c>
      <c r="V481" s="22">
        <v>1</v>
      </c>
      <c r="W481" s="24">
        <f t="shared" si="78"/>
        <v>5181</v>
      </c>
      <c r="X481" s="25">
        <f t="shared" si="79"/>
        <v>50240</v>
      </c>
      <c r="Y481" s="22">
        <v>1</v>
      </c>
      <c r="Z481" s="24">
        <f t="shared" si="71"/>
        <v>5181</v>
      </c>
      <c r="AA481" s="24">
        <f t="shared" si="72"/>
        <v>50240</v>
      </c>
      <c r="AB481" s="21"/>
      <c r="AC481" s="21"/>
      <c r="AD481" s="21"/>
      <c r="AF481" s="21" t="s">
        <v>247</v>
      </c>
      <c r="AJ481" s="21">
        <v>12566.4</v>
      </c>
      <c r="AK481" s="21">
        <v>40</v>
      </c>
      <c r="AL481" s="22" t="s">
        <v>161</v>
      </c>
      <c r="AM481" s="22">
        <v>0.11</v>
      </c>
      <c r="AO481" s="22" t="s">
        <v>1529</v>
      </c>
      <c r="AP481" s="22" t="s">
        <v>1432</v>
      </c>
      <c r="AQ481" s="22" t="str">
        <f t="shared" si="73"/>
        <v>Microphytoplankton</v>
      </c>
      <c r="AR481" s="22">
        <v>0</v>
      </c>
      <c r="AS481" s="22">
        <v>0</v>
      </c>
      <c r="AT481" s="22">
        <v>0</v>
      </c>
      <c r="AU481" s="22">
        <v>0</v>
      </c>
      <c r="AV481" s="22">
        <v>0</v>
      </c>
      <c r="AW481" s="22">
        <v>0</v>
      </c>
      <c r="AX481" s="22">
        <v>1</v>
      </c>
      <c r="AY481" s="22">
        <v>0</v>
      </c>
      <c r="AZ481" s="22">
        <v>1</v>
      </c>
      <c r="BA481" s="22">
        <v>9</v>
      </c>
      <c r="BB481" s="22">
        <v>0</v>
      </c>
      <c r="BC481" s="22">
        <v>0</v>
      </c>
      <c r="BD481" s="22">
        <v>0</v>
      </c>
      <c r="BE481" s="22">
        <v>0</v>
      </c>
    </row>
    <row r="482" spans="1:57">
      <c r="A482" s="21" t="s">
        <v>1592</v>
      </c>
      <c r="B482" s="22" t="s">
        <v>663</v>
      </c>
      <c r="C482" s="23" t="s">
        <v>822</v>
      </c>
      <c r="D482" s="23" t="s">
        <v>965</v>
      </c>
      <c r="E482" s="22" t="s">
        <v>62</v>
      </c>
      <c r="F482" s="22" t="s">
        <v>1424</v>
      </c>
      <c r="G482" s="23" t="s">
        <v>1553</v>
      </c>
      <c r="H482" s="23" t="s">
        <v>1554</v>
      </c>
      <c r="I482" s="22" t="s">
        <v>42</v>
      </c>
      <c r="J482" s="21" t="s">
        <v>1593</v>
      </c>
      <c r="K482" s="21" t="s">
        <v>175</v>
      </c>
      <c r="L482" s="21" t="s">
        <v>1594</v>
      </c>
      <c r="N482" s="22" t="s">
        <v>1595</v>
      </c>
      <c r="O482" s="22" t="s">
        <v>1430</v>
      </c>
      <c r="P482" s="22">
        <v>70292</v>
      </c>
      <c r="Q482" s="22">
        <v>6.7</v>
      </c>
      <c r="R482" s="22">
        <v>6.7</v>
      </c>
      <c r="S482" s="22">
        <v>2.5</v>
      </c>
      <c r="T482" s="21" t="s">
        <v>160</v>
      </c>
      <c r="U482" s="21">
        <v>1</v>
      </c>
      <c r="V482" s="22">
        <v>1</v>
      </c>
      <c r="W482" s="24">
        <f t="shared" si="78"/>
        <v>150.7671</v>
      </c>
      <c r="X482" s="25">
        <f t="shared" si="79"/>
        <v>236.09895500000002</v>
      </c>
      <c r="Y482" s="22">
        <v>1</v>
      </c>
      <c r="Z482" s="24">
        <f t="shared" si="71"/>
        <v>150.7671</v>
      </c>
      <c r="AA482" s="24">
        <f t="shared" si="72"/>
        <v>236.09895500000002</v>
      </c>
      <c r="AF482" s="21" t="s">
        <v>247</v>
      </c>
      <c r="AJ482" s="21">
        <v>88.1</v>
      </c>
      <c r="AK482" s="21">
        <v>6.7</v>
      </c>
      <c r="AL482" s="22" t="s">
        <v>161</v>
      </c>
      <c r="AM482" s="22">
        <v>0.11</v>
      </c>
      <c r="AP482" s="22" t="s">
        <v>1432</v>
      </c>
      <c r="AQ482" s="22" t="str">
        <f t="shared" si="73"/>
        <v>Nanophytoplankton</v>
      </c>
      <c r="AR482" s="22">
        <v>0</v>
      </c>
      <c r="AS482" s="22">
        <v>0</v>
      </c>
      <c r="AT482" s="22">
        <v>0</v>
      </c>
      <c r="AU482" s="22">
        <v>0</v>
      </c>
      <c r="AV482" s="22">
        <v>0</v>
      </c>
      <c r="AW482" s="22">
        <v>0</v>
      </c>
      <c r="AX482" s="22">
        <v>1</v>
      </c>
      <c r="AY482" s="22">
        <v>0</v>
      </c>
      <c r="AZ482" s="22">
        <v>4</v>
      </c>
      <c r="BA482" s="22">
        <v>4</v>
      </c>
      <c r="BB482" s="22">
        <v>1</v>
      </c>
      <c r="BC482" s="22">
        <v>1</v>
      </c>
      <c r="BD482" s="22">
        <v>0</v>
      </c>
      <c r="BE482" s="22">
        <v>0</v>
      </c>
    </row>
    <row r="483" spans="1:57">
      <c r="A483" s="21" t="s">
        <v>1596</v>
      </c>
      <c r="B483" s="22" t="s">
        <v>663</v>
      </c>
      <c r="C483" s="23" t="s">
        <v>822</v>
      </c>
      <c r="D483" s="23" t="s">
        <v>965</v>
      </c>
      <c r="E483" s="22" t="s">
        <v>62</v>
      </c>
      <c r="F483" s="22" t="s">
        <v>1424</v>
      </c>
      <c r="G483" s="23" t="s">
        <v>1553</v>
      </c>
      <c r="H483" s="23" t="s">
        <v>1554</v>
      </c>
      <c r="I483" s="22" t="s">
        <v>42</v>
      </c>
      <c r="J483" s="21" t="s">
        <v>1597</v>
      </c>
      <c r="K483" s="21"/>
      <c r="L483" s="21"/>
      <c r="N483" s="22" t="s">
        <v>1598</v>
      </c>
      <c r="O483" s="22" t="s">
        <v>1430</v>
      </c>
      <c r="P483" s="22">
        <v>70293</v>
      </c>
      <c r="Q483" s="22">
        <v>27</v>
      </c>
      <c r="R483" s="22">
        <v>27</v>
      </c>
      <c r="S483" s="22">
        <v>5</v>
      </c>
      <c r="T483" s="21" t="s">
        <v>160</v>
      </c>
      <c r="U483" s="21">
        <v>1</v>
      </c>
      <c r="V483" s="22">
        <v>1</v>
      </c>
      <c r="W483" s="24">
        <f t="shared" si="78"/>
        <v>2328.31</v>
      </c>
      <c r="X483" s="25">
        <f t="shared" si="79"/>
        <v>15451.154999999999</v>
      </c>
      <c r="Y483" s="22">
        <v>1</v>
      </c>
      <c r="Z483" s="24">
        <f t="shared" si="71"/>
        <v>2328.31</v>
      </c>
      <c r="AA483" s="24">
        <f t="shared" si="72"/>
        <v>15451.154999999999</v>
      </c>
      <c r="AF483" s="21" t="s">
        <v>247</v>
      </c>
      <c r="AJ483" s="21">
        <v>2862.8</v>
      </c>
      <c r="AK483" s="21">
        <v>27</v>
      </c>
      <c r="AL483" s="22" t="s">
        <v>161</v>
      </c>
      <c r="AM483" s="22">
        <v>0.11</v>
      </c>
      <c r="AP483" s="22" t="s">
        <v>1432</v>
      </c>
      <c r="AQ483" s="22" t="str">
        <f t="shared" si="73"/>
        <v>Microphytoplankton</v>
      </c>
      <c r="AR483" s="22">
        <v>0</v>
      </c>
      <c r="AS483" s="22">
        <v>0</v>
      </c>
      <c r="AT483" s="22">
        <v>0</v>
      </c>
      <c r="AU483" s="22">
        <v>0</v>
      </c>
      <c r="AV483" s="22">
        <v>0</v>
      </c>
      <c r="AW483" s="22">
        <v>0</v>
      </c>
      <c r="AX483" s="22">
        <v>1</v>
      </c>
      <c r="AY483" s="22">
        <v>0</v>
      </c>
      <c r="AZ483" s="22">
        <v>4</v>
      </c>
      <c r="BA483" s="22">
        <v>4</v>
      </c>
      <c r="BB483" s="22">
        <v>1</v>
      </c>
      <c r="BC483" s="22">
        <v>1</v>
      </c>
      <c r="BD483" s="22">
        <v>0</v>
      </c>
      <c r="BE483" s="22">
        <v>0</v>
      </c>
    </row>
    <row r="484" spans="1:57">
      <c r="A484" s="21" t="s">
        <v>1599</v>
      </c>
      <c r="B484" s="22" t="s">
        <v>663</v>
      </c>
      <c r="C484" s="23" t="s">
        <v>822</v>
      </c>
      <c r="D484" s="23" t="s">
        <v>965</v>
      </c>
      <c r="E484" s="22" t="s">
        <v>62</v>
      </c>
      <c r="F484" s="22" t="s">
        <v>1424</v>
      </c>
      <c r="G484" s="23" t="s">
        <v>1553</v>
      </c>
      <c r="H484" s="23" t="s">
        <v>1554</v>
      </c>
      <c r="I484" s="22" t="s">
        <v>42</v>
      </c>
      <c r="J484" s="21" t="s">
        <v>1600</v>
      </c>
      <c r="K484" s="21"/>
      <c r="L484" s="21"/>
      <c r="N484" s="22" t="s">
        <v>1601</v>
      </c>
      <c r="O484" s="22" t="s">
        <v>1430</v>
      </c>
      <c r="P484" s="21">
        <v>70245</v>
      </c>
      <c r="Q484" s="22">
        <v>16.5</v>
      </c>
      <c r="R484" s="22">
        <v>16.5</v>
      </c>
      <c r="S484" s="22">
        <v>3.5</v>
      </c>
      <c r="T484" s="21" t="s">
        <v>160</v>
      </c>
      <c r="U484" s="21">
        <v>1</v>
      </c>
      <c r="V484" s="22">
        <v>1</v>
      </c>
      <c r="W484" s="24">
        <f t="shared" si="78"/>
        <v>874.09749999999997</v>
      </c>
      <c r="X484" s="25">
        <f t="shared" si="79"/>
        <v>3526.3181250000002</v>
      </c>
      <c r="Y484" s="22">
        <v>1</v>
      </c>
      <c r="Z484" s="24">
        <f t="shared" si="71"/>
        <v>874.09749999999997</v>
      </c>
      <c r="AA484" s="24">
        <f t="shared" si="72"/>
        <v>3526.3181250000002</v>
      </c>
      <c r="AF484" s="21" t="s">
        <v>247</v>
      </c>
      <c r="AJ484" s="21">
        <v>748.4</v>
      </c>
      <c r="AK484" s="21">
        <v>16.5</v>
      </c>
      <c r="AL484" s="22" t="s">
        <v>161</v>
      </c>
      <c r="AM484" s="22">
        <v>0.11</v>
      </c>
      <c r="AP484" s="22" t="s">
        <v>1432</v>
      </c>
      <c r="AQ484" s="22" t="str">
        <f t="shared" si="73"/>
        <v>Nanophytoplankton</v>
      </c>
      <c r="AR484" s="22">
        <v>0</v>
      </c>
      <c r="AS484" s="22">
        <v>0</v>
      </c>
      <c r="AT484" s="22">
        <v>0</v>
      </c>
      <c r="AU484" s="22">
        <v>0</v>
      </c>
      <c r="AV484" s="22">
        <v>0</v>
      </c>
      <c r="AW484" s="22">
        <v>0</v>
      </c>
      <c r="AX484" s="22">
        <v>1</v>
      </c>
      <c r="AY484" s="22">
        <v>0</v>
      </c>
      <c r="AZ484" s="22">
        <v>4</v>
      </c>
      <c r="BA484" s="22">
        <v>4</v>
      </c>
      <c r="BB484" s="22">
        <v>1</v>
      </c>
      <c r="BC484" s="22">
        <v>1</v>
      </c>
      <c r="BD484" s="22">
        <v>0</v>
      </c>
      <c r="BE484" s="22">
        <v>0</v>
      </c>
    </row>
    <row r="485" spans="1:57" s="29" customFormat="1">
      <c r="A485" s="21" t="s">
        <v>1602</v>
      </c>
      <c r="B485" s="22" t="s">
        <v>663</v>
      </c>
      <c r="C485" s="23" t="s">
        <v>822</v>
      </c>
      <c r="D485" s="23" t="s">
        <v>965</v>
      </c>
      <c r="E485" s="22" t="s">
        <v>62</v>
      </c>
      <c r="F485" s="22" t="s">
        <v>1424</v>
      </c>
      <c r="G485" s="23" t="s">
        <v>1553</v>
      </c>
      <c r="H485" s="23" t="s">
        <v>1554</v>
      </c>
      <c r="I485" s="22" t="s">
        <v>42</v>
      </c>
      <c r="J485" s="21" t="s">
        <v>1603</v>
      </c>
      <c r="K485" s="21"/>
      <c r="L485" s="21"/>
      <c r="M485" s="22"/>
      <c r="N485" s="22" t="s">
        <v>1456</v>
      </c>
      <c r="O485" s="22" t="s">
        <v>1430</v>
      </c>
      <c r="P485" s="21">
        <v>70260</v>
      </c>
      <c r="Q485" s="21">
        <v>7</v>
      </c>
      <c r="R485" s="21">
        <v>7</v>
      </c>
      <c r="S485" s="21">
        <v>4</v>
      </c>
      <c r="T485" s="21" t="s">
        <v>160</v>
      </c>
      <c r="U485" s="21">
        <v>1</v>
      </c>
      <c r="V485" s="22">
        <v>1</v>
      </c>
      <c r="W485" s="24">
        <f t="shared" si="78"/>
        <v>178.98000000000002</v>
      </c>
      <c r="X485" s="25">
        <f t="shared" si="79"/>
        <v>269.255</v>
      </c>
      <c r="Y485" s="22">
        <v>1</v>
      </c>
      <c r="Z485" s="24">
        <f t="shared" si="71"/>
        <v>178.98000000000002</v>
      </c>
      <c r="AA485" s="24">
        <f t="shared" si="72"/>
        <v>269.255</v>
      </c>
      <c r="AB485" s="21"/>
      <c r="AC485" s="21"/>
      <c r="AD485" s="21"/>
      <c r="AE485" s="22"/>
      <c r="AF485" s="21" t="s">
        <v>247</v>
      </c>
      <c r="AG485" s="22"/>
      <c r="AH485" s="25"/>
      <c r="AI485" s="25"/>
      <c r="AJ485" s="21">
        <v>153.86000000000001</v>
      </c>
      <c r="AK485" s="21">
        <v>7</v>
      </c>
      <c r="AL485" s="22" t="s">
        <v>161</v>
      </c>
      <c r="AM485" s="22">
        <v>0.11</v>
      </c>
      <c r="AN485" s="22" t="s">
        <v>1431</v>
      </c>
      <c r="AO485" s="22" t="s">
        <v>1431</v>
      </c>
      <c r="AP485" s="22" t="s">
        <v>1432</v>
      </c>
      <c r="AQ485" s="22" t="str">
        <f t="shared" si="73"/>
        <v>Nanophytoplankton</v>
      </c>
      <c r="AR485" s="22">
        <v>0</v>
      </c>
      <c r="AS485" s="22">
        <v>0</v>
      </c>
      <c r="AT485" s="22">
        <v>0</v>
      </c>
      <c r="AU485" s="22">
        <v>0</v>
      </c>
      <c r="AV485" s="22">
        <v>0</v>
      </c>
      <c r="AW485" s="22">
        <v>0</v>
      </c>
      <c r="AX485" s="22">
        <v>1</v>
      </c>
      <c r="AY485" s="22">
        <v>0</v>
      </c>
      <c r="AZ485" s="22">
        <v>9</v>
      </c>
      <c r="BA485" s="22">
        <v>1</v>
      </c>
      <c r="BB485" s="22">
        <v>0</v>
      </c>
      <c r="BC485" s="22">
        <v>0</v>
      </c>
      <c r="BD485" s="22">
        <v>0</v>
      </c>
      <c r="BE485" s="22">
        <v>0</v>
      </c>
    </row>
    <row r="486" spans="1:57">
      <c r="A486" s="21" t="s">
        <v>1604</v>
      </c>
      <c r="B486" s="22" t="s">
        <v>663</v>
      </c>
      <c r="C486" s="23" t="s">
        <v>822</v>
      </c>
      <c r="D486" s="23" t="s">
        <v>965</v>
      </c>
      <c r="E486" s="22" t="s">
        <v>62</v>
      </c>
      <c r="F486" s="22" t="s">
        <v>1424</v>
      </c>
      <c r="G486" s="23" t="s">
        <v>1553</v>
      </c>
      <c r="H486" s="23" t="s">
        <v>1554</v>
      </c>
      <c r="I486" s="22" t="s">
        <v>42</v>
      </c>
      <c r="J486" s="21" t="s">
        <v>1605</v>
      </c>
      <c r="K486" s="21"/>
      <c r="L486" s="21"/>
      <c r="N486" s="22" t="s">
        <v>1606</v>
      </c>
      <c r="O486" s="22" t="s">
        <v>1430</v>
      </c>
      <c r="P486" s="22">
        <v>70201</v>
      </c>
      <c r="Q486" s="22">
        <v>9</v>
      </c>
      <c r="R486" s="22">
        <v>9</v>
      </c>
      <c r="S486" s="22">
        <v>4</v>
      </c>
      <c r="T486" s="21" t="s">
        <v>160</v>
      </c>
      <c r="U486" s="21">
        <v>1</v>
      </c>
      <c r="V486" s="22">
        <v>1</v>
      </c>
      <c r="W486" s="24">
        <f t="shared" si="78"/>
        <v>279.45999999999998</v>
      </c>
      <c r="X486" s="25">
        <f t="shared" si="79"/>
        <v>572.26499999999999</v>
      </c>
      <c r="Y486" s="22">
        <v>1</v>
      </c>
      <c r="Z486" s="24">
        <f t="shared" si="71"/>
        <v>279.45999999999998</v>
      </c>
      <c r="AA486" s="24">
        <f t="shared" si="72"/>
        <v>572.26499999999999</v>
      </c>
      <c r="AF486" s="21" t="s">
        <v>247</v>
      </c>
      <c r="AJ486" s="21">
        <v>254.34</v>
      </c>
      <c r="AK486" s="21">
        <v>9</v>
      </c>
      <c r="AL486" s="22" t="s">
        <v>161</v>
      </c>
      <c r="AM486" s="22">
        <v>0.11</v>
      </c>
      <c r="AO486" s="22" t="s">
        <v>1529</v>
      </c>
      <c r="AP486" s="22" t="s">
        <v>1432</v>
      </c>
      <c r="AQ486" s="22" t="str">
        <f t="shared" si="73"/>
        <v>Nanophytoplankton</v>
      </c>
      <c r="AR486" s="22">
        <v>0</v>
      </c>
      <c r="AS486" s="22">
        <v>0</v>
      </c>
      <c r="AT486" s="22">
        <v>0</v>
      </c>
      <c r="AU486" s="22">
        <v>0</v>
      </c>
      <c r="AV486" s="22">
        <v>0</v>
      </c>
      <c r="AW486" s="22">
        <v>0</v>
      </c>
      <c r="AX486" s="22">
        <v>1</v>
      </c>
      <c r="AY486" s="22">
        <v>0</v>
      </c>
      <c r="AZ486" s="22">
        <v>4</v>
      </c>
      <c r="BA486" s="22">
        <v>4</v>
      </c>
      <c r="BB486" s="22">
        <v>1</v>
      </c>
      <c r="BC486" s="22">
        <v>1</v>
      </c>
      <c r="BD486" s="22">
        <v>0</v>
      </c>
      <c r="BE486" s="22">
        <v>0</v>
      </c>
    </row>
    <row r="487" spans="1:57">
      <c r="A487" s="21" t="s">
        <v>1607</v>
      </c>
      <c r="B487" s="22" t="s">
        <v>663</v>
      </c>
      <c r="C487" s="23" t="s">
        <v>822</v>
      </c>
      <c r="D487" s="23" t="s">
        <v>965</v>
      </c>
      <c r="E487" s="22" t="s">
        <v>62</v>
      </c>
      <c r="F487" s="22" t="s">
        <v>1424</v>
      </c>
      <c r="G487" s="23" t="s">
        <v>1553</v>
      </c>
      <c r="H487" s="23" t="s">
        <v>1554</v>
      </c>
      <c r="I487" s="22" t="s">
        <v>42</v>
      </c>
      <c r="J487" s="21" t="s">
        <v>1608</v>
      </c>
      <c r="K487" s="21"/>
      <c r="L487" s="21"/>
      <c r="N487" s="22" t="s">
        <v>1609</v>
      </c>
      <c r="O487" s="22" t="s">
        <v>1430</v>
      </c>
      <c r="P487" s="22">
        <v>70204</v>
      </c>
      <c r="Q487" s="22">
        <v>9</v>
      </c>
      <c r="R487" s="22">
        <v>9</v>
      </c>
      <c r="S487" s="22">
        <v>4</v>
      </c>
      <c r="T487" s="21" t="s">
        <v>160</v>
      </c>
      <c r="U487" s="21">
        <v>1</v>
      </c>
      <c r="V487" s="22">
        <v>1</v>
      </c>
      <c r="W487" s="24">
        <f t="shared" si="78"/>
        <v>279.45999999999998</v>
      </c>
      <c r="X487" s="25">
        <f t="shared" si="79"/>
        <v>572.26499999999999</v>
      </c>
      <c r="Y487" s="22">
        <v>1</v>
      </c>
      <c r="Z487" s="24">
        <f t="shared" si="71"/>
        <v>279.45999999999998</v>
      </c>
      <c r="AA487" s="24">
        <f t="shared" si="72"/>
        <v>572.26499999999999</v>
      </c>
      <c r="AF487" s="21" t="s">
        <v>247</v>
      </c>
      <c r="AJ487" s="21">
        <v>254.34</v>
      </c>
      <c r="AK487" s="21">
        <v>9</v>
      </c>
      <c r="AL487" s="22" t="s">
        <v>161</v>
      </c>
      <c r="AM487" s="22">
        <v>0.11</v>
      </c>
      <c r="AO487" s="22" t="s">
        <v>1529</v>
      </c>
      <c r="AP487" s="22" t="s">
        <v>1432</v>
      </c>
      <c r="AQ487" s="22" t="str">
        <f t="shared" si="73"/>
        <v>Nanophytoplankton</v>
      </c>
      <c r="AR487" s="22">
        <v>0</v>
      </c>
      <c r="AS487" s="22">
        <v>0</v>
      </c>
      <c r="AT487" s="22">
        <v>0</v>
      </c>
      <c r="AU487" s="22">
        <v>0</v>
      </c>
      <c r="AV487" s="22">
        <v>0</v>
      </c>
      <c r="AW487" s="22">
        <v>0</v>
      </c>
      <c r="AX487" s="22">
        <v>1</v>
      </c>
      <c r="AY487" s="22">
        <v>0</v>
      </c>
      <c r="AZ487" s="22">
        <v>4</v>
      </c>
      <c r="BA487" s="22">
        <v>4</v>
      </c>
      <c r="BB487" s="22">
        <v>1</v>
      </c>
      <c r="BC487" s="22">
        <v>1</v>
      </c>
      <c r="BD487" s="22">
        <v>0</v>
      </c>
      <c r="BE487" s="22">
        <v>0</v>
      </c>
    </row>
    <row r="488" spans="1:57">
      <c r="A488" s="21" t="s">
        <v>1610</v>
      </c>
      <c r="B488" s="22" t="s">
        <v>663</v>
      </c>
      <c r="C488" s="23" t="s">
        <v>822</v>
      </c>
      <c r="D488" s="23" t="s">
        <v>965</v>
      </c>
      <c r="E488" s="22" t="s">
        <v>62</v>
      </c>
      <c r="F488" s="22" t="s">
        <v>1424</v>
      </c>
      <c r="G488" s="23" t="s">
        <v>1553</v>
      </c>
      <c r="H488" s="23" t="s">
        <v>1554</v>
      </c>
      <c r="I488" s="22" t="s">
        <v>42</v>
      </c>
      <c r="J488" s="21" t="s">
        <v>1608</v>
      </c>
      <c r="K488" s="21" t="s">
        <v>184</v>
      </c>
      <c r="L488" s="21" t="s">
        <v>1611</v>
      </c>
      <c r="N488" s="22" t="s">
        <v>1609</v>
      </c>
      <c r="O488" s="22" t="s">
        <v>1430</v>
      </c>
      <c r="P488" s="22">
        <v>70199</v>
      </c>
      <c r="Q488" s="22">
        <v>9</v>
      </c>
      <c r="R488" s="22">
        <v>9</v>
      </c>
      <c r="S488" s="22">
        <v>4</v>
      </c>
      <c r="T488" s="21" t="s">
        <v>160</v>
      </c>
      <c r="U488" s="21">
        <v>1</v>
      </c>
      <c r="V488" s="22">
        <v>1</v>
      </c>
      <c r="W488" s="24">
        <f t="shared" si="78"/>
        <v>279.45999999999998</v>
      </c>
      <c r="X488" s="25">
        <f t="shared" si="79"/>
        <v>572.26499999999999</v>
      </c>
      <c r="Y488" s="22">
        <v>1</v>
      </c>
      <c r="Z488" s="24">
        <f t="shared" si="71"/>
        <v>279.45999999999998</v>
      </c>
      <c r="AA488" s="24">
        <f t="shared" si="72"/>
        <v>572.26499999999999</v>
      </c>
      <c r="AF488" s="21" t="s">
        <v>247</v>
      </c>
      <c r="AJ488" s="21">
        <v>254.34</v>
      </c>
      <c r="AK488" s="21">
        <v>9</v>
      </c>
      <c r="AL488" s="22" t="s">
        <v>161</v>
      </c>
      <c r="AM488" s="22">
        <v>0.11</v>
      </c>
      <c r="AO488" s="22" t="s">
        <v>1529</v>
      </c>
      <c r="AP488" s="22" t="s">
        <v>1432</v>
      </c>
      <c r="AQ488" s="22" t="str">
        <f t="shared" si="73"/>
        <v>Nanophytoplankton</v>
      </c>
      <c r="AR488" s="22">
        <v>0</v>
      </c>
      <c r="AS488" s="22">
        <v>0</v>
      </c>
      <c r="AT488" s="22">
        <v>0</v>
      </c>
      <c r="AU488" s="22">
        <v>0</v>
      </c>
      <c r="AV488" s="22">
        <v>0</v>
      </c>
      <c r="AW488" s="22">
        <v>0</v>
      </c>
      <c r="AX488" s="22">
        <v>1</v>
      </c>
      <c r="AY488" s="22">
        <v>0</v>
      </c>
      <c r="AZ488" s="22">
        <v>4</v>
      </c>
      <c r="BA488" s="22">
        <v>4</v>
      </c>
      <c r="BB488" s="22">
        <v>1</v>
      </c>
      <c r="BC488" s="22">
        <v>1</v>
      </c>
      <c r="BD488" s="22">
        <v>0</v>
      </c>
      <c r="BE488" s="22">
        <v>0</v>
      </c>
    </row>
    <row r="489" spans="1:57">
      <c r="A489" s="21" t="s">
        <v>1612</v>
      </c>
      <c r="B489" s="22" t="s">
        <v>663</v>
      </c>
      <c r="C489" s="23" t="s">
        <v>822</v>
      </c>
      <c r="D489" s="23" t="s">
        <v>965</v>
      </c>
      <c r="E489" s="22" t="s">
        <v>62</v>
      </c>
      <c r="F489" s="22" t="s">
        <v>1424</v>
      </c>
      <c r="G489" s="23" t="s">
        <v>1553</v>
      </c>
      <c r="H489" s="23" t="s">
        <v>1554</v>
      </c>
      <c r="I489" s="22" t="s">
        <v>42</v>
      </c>
      <c r="J489" s="21" t="s">
        <v>1613</v>
      </c>
      <c r="K489" s="21"/>
      <c r="L489" s="21"/>
      <c r="N489" s="34" t="s">
        <v>1580</v>
      </c>
      <c r="O489" s="22" t="s">
        <v>1430</v>
      </c>
      <c r="P489" s="22">
        <v>70207</v>
      </c>
      <c r="Q489" s="22">
        <v>6</v>
      </c>
      <c r="R489" s="22">
        <v>6</v>
      </c>
      <c r="S489" s="22">
        <v>2</v>
      </c>
      <c r="T489" s="21" t="s">
        <v>160</v>
      </c>
      <c r="U489" s="21">
        <v>1</v>
      </c>
      <c r="V489" s="22">
        <v>1</v>
      </c>
      <c r="W489" s="24">
        <f t="shared" si="78"/>
        <v>119.32</v>
      </c>
      <c r="X489" s="25">
        <f t="shared" si="79"/>
        <v>169.56</v>
      </c>
      <c r="Y489" s="22">
        <v>1</v>
      </c>
      <c r="Z489" s="24">
        <f t="shared" si="71"/>
        <v>119.32</v>
      </c>
      <c r="AA489" s="24">
        <f t="shared" si="72"/>
        <v>169.56</v>
      </c>
      <c r="AF489" s="21" t="s">
        <v>247</v>
      </c>
      <c r="AJ489" s="21">
        <v>56.519999999999996</v>
      </c>
      <c r="AK489" s="21">
        <v>6</v>
      </c>
      <c r="AL489" s="22" t="s">
        <v>1614</v>
      </c>
      <c r="AM489" s="22">
        <v>0.11</v>
      </c>
      <c r="AO489" s="22" t="s">
        <v>1529</v>
      </c>
      <c r="AP489" s="22" t="s">
        <v>1432</v>
      </c>
      <c r="AQ489" s="22" t="str">
        <f t="shared" si="73"/>
        <v>Nanophytoplankton</v>
      </c>
      <c r="AR489" s="22">
        <v>0</v>
      </c>
      <c r="AS489" s="22">
        <v>0</v>
      </c>
      <c r="AT489" s="22">
        <v>0</v>
      </c>
      <c r="AU489" s="22">
        <v>0</v>
      </c>
      <c r="AV489" s="22">
        <v>0</v>
      </c>
      <c r="AW489" s="22">
        <v>0</v>
      </c>
      <c r="AX489" s="22">
        <v>1</v>
      </c>
      <c r="AY489" s="22">
        <v>0</v>
      </c>
      <c r="AZ489" s="22">
        <v>4</v>
      </c>
      <c r="BA489" s="22">
        <v>4</v>
      </c>
      <c r="BB489" s="22">
        <v>1</v>
      </c>
      <c r="BC489" s="22">
        <v>1</v>
      </c>
      <c r="BD489" s="22">
        <v>0</v>
      </c>
      <c r="BE489" s="22">
        <v>0</v>
      </c>
    </row>
    <row r="490" spans="1:57">
      <c r="A490" s="22" t="s">
        <v>1615</v>
      </c>
      <c r="B490" s="22" t="s">
        <v>663</v>
      </c>
      <c r="C490" s="23" t="s">
        <v>822</v>
      </c>
      <c r="D490" s="23" t="s">
        <v>965</v>
      </c>
      <c r="E490" s="22" t="s">
        <v>62</v>
      </c>
      <c r="F490" s="22" t="s">
        <v>1424</v>
      </c>
      <c r="G490" s="23" t="s">
        <v>1553</v>
      </c>
      <c r="H490" s="23" t="s">
        <v>1554</v>
      </c>
      <c r="I490" s="22" t="s">
        <v>42</v>
      </c>
      <c r="J490" s="22" t="s">
        <v>1593</v>
      </c>
      <c r="N490" s="22" t="s">
        <v>1580</v>
      </c>
      <c r="O490" s="22" t="s">
        <v>1430</v>
      </c>
      <c r="P490" s="22">
        <v>70203</v>
      </c>
      <c r="Q490" s="22">
        <v>20.5</v>
      </c>
      <c r="R490" s="22">
        <v>20.5</v>
      </c>
      <c r="S490" s="22">
        <v>3</v>
      </c>
      <c r="T490" s="21" t="s">
        <v>160</v>
      </c>
      <c r="U490" s="21">
        <v>1</v>
      </c>
      <c r="V490" s="22">
        <v>1</v>
      </c>
      <c r="W490" s="24">
        <f t="shared" si="78"/>
        <v>1333.7150000000001</v>
      </c>
      <c r="X490" s="25">
        <f t="shared" si="79"/>
        <v>6762.8731250000001</v>
      </c>
      <c r="Y490" s="22">
        <v>1</v>
      </c>
      <c r="Z490" s="24">
        <f t="shared" si="71"/>
        <v>1333.7150000000001</v>
      </c>
      <c r="AA490" s="24">
        <f t="shared" si="72"/>
        <v>6762.8731250000001</v>
      </c>
      <c r="AF490" s="21" t="s">
        <v>247</v>
      </c>
      <c r="AJ490" s="21">
        <v>990</v>
      </c>
      <c r="AK490" s="21">
        <v>20.5</v>
      </c>
      <c r="AL490" s="22" t="s">
        <v>161</v>
      </c>
      <c r="AM490" s="22">
        <v>0.11</v>
      </c>
      <c r="AP490" s="22" t="s">
        <v>1432</v>
      </c>
      <c r="AQ490" s="22" t="str">
        <f t="shared" si="73"/>
        <v>Microphytoplankton</v>
      </c>
      <c r="AR490" s="22">
        <v>0</v>
      </c>
      <c r="AS490" s="22">
        <v>0</v>
      </c>
      <c r="AT490" s="22">
        <v>0</v>
      </c>
      <c r="AU490" s="22">
        <v>0</v>
      </c>
      <c r="AV490" s="22">
        <v>0</v>
      </c>
      <c r="AW490" s="22">
        <v>0</v>
      </c>
      <c r="AX490" s="22">
        <v>1</v>
      </c>
      <c r="AY490" s="22">
        <v>0</v>
      </c>
      <c r="AZ490" s="22">
        <v>4</v>
      </c>
      <c r="BA490" s="22">
        <v>4</v>
      </c>
      <c r="BB490" s="22">
        <v>1</v>
      </c>
      <c r="BC490" s="22">
        <v>1</v>
      </c>
      <c r="BD490" s="22">
        <v>0</v>
      </c>
      <c r="BE490" s="22">
        <v>0</v>
      </c>
    </row>
    <row r="491" spans="1:57">
      <c r="A491" s="21" t="s">
        <v>1616</v>
      </c>
      <c r="B491" s="22" t="s">
        <v>663</v>
      </c>
      <c r="C491" s="23" t="s">
        <v>822</v>
      </c>
      <c r="D491" s="23" t="s">
        <v>965</v>
      </c>
      <c r="E491" s="22" t="s">
        <v>62</v>
      </c>
      <c r="F491" s="22" t="s">
        <v>1424</v>
      </c>
      <c r="G491" s="23" t="s">
        <v>1553</v>
      </c>
      <c r="H491" s="23" t="s">
        <v>1554</v>
      </c>
      <c r="I491" s="22" t="s">
        <v>42</v>
      </c>
      <c r="J491" s="21" t="s">
        <v>1617</v>
      </c>
      <c r="K491" s="21"/>
      <c r="L491" s="21"/>
      <c r="N491" s="22" t="s">
        <v>1618</v>
      </c>
      <c r="O491" s="22" t="s">
        <v>1430</v>
      </c>
      <c r="P491" s="21">
        <v>70250</v>
      </c>
      <c r="Q491" s="21">
        <v>20</v>
      </c>
      <c r="R491" s="21">
        <v>20</v>
      </c>
      <c r="S491" s="21">
        <v>5</v>
      </c>
      <c r="T491" s="21" t="s">
        <v>160</v>
      </c>
      <c r="U491" s="21">
        <v>1</v>
      </c>
      <c r="V491" s="22">
        <v>1</v>
      </c>
      <c r="W491" s="24">
        <f t="shared" si="78"/>
        <v>1295.25</v>
      </c>
      <c r="X491" s="25">
        <f t="shared" si="79"/>
        <v>6280</v>
      </c>
      <c r="Y491" s="21">
        <v>1</v>
      </c>
      <c r="Z491" s="24">
        <f t="shared" si="71"/>
        <v>1295.25</v>
      </c>
      <c r="AA491" s="24">
        <f t="shared" si="72"/>
        <v>6280</v>
      </c>
      <c r="AB491" s="21"/>
      <c r="AC491" s="21"/>
      <c r="AD491" s="21"/>
      <c r="AE491" s="21"/>
      <c r="AF491" s="21" t="s">
        <v>247</v>
      </c>
      <c r="AG491" s="21"/>
      <c r="AH491" s="24"/>
      <c r="AI491" s="24"/>
      <c r="AJ491" s="21">
        <v>1570.8</v>
      </c>
      <c r="AK491" s="21">
        <v>20</v>
      </c>
      <c r="AL491" s="22" t="s">
        <v>161</v>
      </c>
      <c r="AM491" s="22">
        <v>0.11</v>
      </c>
      <c r="AP491" s="22" t="s">
        <v>1432</v>
      </c>
      <c r="AQ491" s="22" t="str">
        <f t="shared" si="73"/>
        <v>Microphytoplankton</v>
      </c>
      <c r="AR491" s="22">
        <v>0</v>
      </c>
      <c r="AS491" s="22">
        <v>0</v>
      </c>
      <c r="AT491" s="22">
        <v>0</v>
      </c>
      <c r="AU491" s="22">
        <v>0</v>
      </c>
      <c r="AV491" s="22">
        <v>0</v>
      </c>
      <c r="AW491" s="22">
        <v>0</v>
      </c>
      <c r="AX491" s="22">
        <v>1</v>
      </c>
      <c r="AY491" s="22">
        <v>0</v>
      </c>
      <c r="AZ491" s="22">
        <v>4</v>
      </c>
      <c r="BA491" s="22">
        <v>4</v>
      </c>
      <c r="BB491" s="22">
        <v>1</v>
      </c>
      <c r="BC491" s="22">
        <v>1</v>
      </c>
      <c r="BD491" s="22">
        <v>0</v>
      </c>
      <c r="BE491" s="22">
        <v>0</v>
      </c>
    </row>
    <row r="492" spans="1:57">
      <c r="A492" s="21" t="s">
        <v>1619</v>
      </c>
      <c r="B492" s="22" t="s">
        <v>663</v>
      </c>
      <c r="C492" s="23" t="s">
        <v>822</v>
      </c>
      <c r="D492" s="23" t="s">
        <v>965</v>
      </c>
      <c r="E492" s="22" t="s">
        <v>62</v>
      </c>
      <c r="F492" s="22" t="s">
        <v>1424</v>
      </c>
      <c r="G492" s="23" t="s">
        <v>1553</v>
      </c>
      <c r="H492" s="23" t="s">
        <v>1554</v>
      </c>
      <c r="I492" s="22" t="s">
        <v>42</v>
      </c>
      <c r="J492" s="21" t="s">
        <v>1620</v>
      </c>
      <c r="K492" s="21"/>
      <c r="L492" s="21"/>
      <c r="N492" s="22" t="s">
        <v>1534</v>
      </c>
      <c r="O492" s="22" t="s">
        <v>1430</v>
      </c>
      <c r="P492" s="22">
        <v>70202</v>
      </c>
      <c r="Q492" s="22">
        <v>24</v>
      </c>
      <c r="R492" s="22">
        <v>24</v>
      </c>
      <c r="S492" s="22">
        <v>5</v>
      </c>
      <c r="T492" s="21" t="s">
        <v>160</v>
      </c>
      <c r="U492" s="21">
        <v>1</v>
      </c>
      <c r="V492" s="22">
        <v>1</v>
      </c>
      <c r="W492" s="24">
        <f t="shared" si="78"/>
        <v>1847.8899999999999</v>
      </c>
      <c r="X492" s="25">
        <f t="shared" si="79"/>
        <v>10851.84</v>
      </c>
      <c r="Y492" s="22">
        <v>1</v>
      </c>
      <c r="Z492" s="24">
        <f t="shared" si="71"/>
        <v>1847.8899999999999</v>
      </c>
      <c r="AA492" s="24">
        <f t="shared" si="72"/>
        <v>10851.84</v>
      </c>
      <c r="AF492" s="21" t="s">
        <v>247</v>
      </c>
      <c r="AJ492" s="21">
        <v>2260.7999999999997</v>
      </c>
      <c r="AK492" s="21">
        <v>24</v>
      </c>
      <c r="AL492" s="22" t="s">
        <v>1621</v>
      </c>
      <c r="AM492" s="22">
        <v>0.11</v>
      </c>
      <c r="AO492" s="22" t="s">
        <v>1529</v>
      </c>
      <c r="AP492" s="22" t="s">
        <v>1432</v>
      </c>
      <c r="AQ492" s="22" t="str">
        <f t="shared" si="73"/>
        <v>Microphytoplankton</v>
      </c>
      <c r="AR492" s="22">
        <v>0</v>
      </c>
      <c r="AS492" s="22">
        <v>0</v>
      </c>
      <c r="AT492" s="22">
        <v>0</v>
      </c>
      <c r="AU492" s="22">
        <v>0</v>
      </c>
      <c r="AV492" s="22">
        <v>0</v>
      </c>
      <c r="AW492" s="22">
        <v>0</v>
      </c>
      <c r="AX492" s="22">
        <v>1</v>
      </c>
      <c r="AY492" s="22">
        <v>0</v>
      </c>
      <c r="AZ492" s="22">
        <v>4</v>
      </c>
      <c r="BA492" s="22">
        <v>4</v>
      </c>
      <c r="BB492" s="22">
        <v>1</v>
      </c>
      <c r="BC492" s="22">
        <v>1</v>
      </c>
      <c r="BD492" s="22">
        <v>0</v>
      </c>
      <c r="BE492" s="22">
        <v>0</v>
      </c>
    </row>
    <row r="493" spans="1:57">
      <c r="A493" s="21" t="s">
        <v>1622</v>
      </c>
      <c r="B493" s="22" t="s">
        <v>663</v>
      </c>
      <c r="C493" s="23" t="s">
        <v>822</v>
      </c>
      <c r="D493" s="23" t="s">
        <v>965</v>
      </c>
      <c r="E493" s="22" t="s">
        <v>62</v>
      </c>
      <c r="F493" s="22" t="s">
        <v>1424</v>
      </c>
      <c r="G493" s="23" t="s">
        <v>1553</v>
      </c>
      <c r="H493" s="23" t="s">
        <v>1554</v>
      </c>
      <c r="I493" s="22" t="s">
        <v>42</v>
      </c>
      <c r="J493" s="21" t="s">
        <v>1623</v>
      </c>
      <c r="K493" s="21"/>
      <c r="L493" s="21"/>
      <c r="N493" s="22" t="s">
        <v>413</v>
      </c>
      <c r="O493" s="22" t="s">
        <v>1430</v>
      </c>
      <c r="P493" s="21">
        <v>70290</v>
      </c>
      <c r="Q493" s="21">
        <v>20</v>
      </c>
      <c r="R493" s="21">
        <v>20</v>
      </c>
      <c r="S493" s="21">
        <v>5</v>
      </c>
      <c r="T493" s="21" t="s">
        <v>160</v>
      </c>
      <c r="U493" s="21">
        <v>1</v>
      </c>
      <c r="V493" s="22">
        <v>1</v>
      </c>
      <c r="W493" s="24">
        <f t="shared" si="78"/>
        <v>1295.25</v>
      </c>
      <c r="X493" s="25">
        <f t="shared" si="79"/>
        <v>6280</v>
      </c>
      <c r="Y493" s="21">
        <v>1</v>
      </c>
      <c r="Z493" s="24">
        <f t="shared" si="71"/>
        <v>1295.25</v>
      </c>
      <c r="AA493" s="24">
        <f t="shared" si="72"/>
        <v>6280</v>
      </c>
      <c r="AB493" s="21"/>
      <c r="AC493" s="21"/>
      <c r="AD493" s="21"/>
      <c r="AE493" s="21"/>
      <c r="AF493" s="21" t="s">
        <v>247</v>
      </c>
      <c r="AG493" s="21"/>
      <c r="AH493" s="24"/>
      <c r="AI493" s="24"/>
      <c r="AJ493" s="21">
        <v>1570.8</v>
      </c>
      <c r="AK493" s="21">
        <v>20</v>
      </c>
      <c r="AL493" s="22" t="s">
        <v>161</v>
      </c>
      <c r="AM493" s="22">
        <v>0.11</v>
      </c>
      <c r="AO493" s="22" t="s">
        <v>1505</v>
      </c>
      <c r="AP493" s="22" t="s">
        <v>1432</v>
      </c>
      <c r="AQ493" s="22" t="str">
        <f t="shared" si="73"/>
        <v>Microphytoplankton</v>
      </c>
      <c r="AR493" s="22">
        <v>0</v>
      </c>
      <c r="AS493" s="22">
        <v>0</v>
      </c>
      <c r="AT493" s="22">
        <v>0</v>
      </c>
      <c r="AU493" s="22">
        <v>0</v>
      </c>
      <c r="AV493" s="22">
        <v>0</v>
      </c>
      <c r="AW493" s="22">
        <v>0</v>
      </c>
      <c r="AX493" s="22">
        <v>1</v>
      </c>
      <c r="AY493" s="22">
        <v>0</v>
      </c>
    </row>
    <row r="494" spans="1:57">
      <c r="A494" s="21" t="s">
        <v>1624</v>
      </c>
      <c r="B494" s="22" t="s">
        <v>663</v>
      </c>
      <c r="C494" s="23" t="s">
        <v>822</v>
      </c>
      <c r="D494" s="23" t="s">
        <v>965</v>
      </c>
      <c r="E494" s="22" t="s">
        <v>62</v>
      </c>
      <c r="F494" s="22" t="s">
        <v>1424</v>
      </c>
      <c r="G494" s="23" t="s">
        <v>1553</v>
      </c>
      <c r="H494" s="23" t="s">
        <v>1554</v>
      </c>
      <c r="I494" s="22" t="s">
        <v>42</v>
      </c>
      <c r="J494" s="21" t="s">
        <v>1625</v>
      </c>
      <c r="K494" s="21"/>
      <c r="L494" s="21"/>
      <c r="N494" s="22" t="s">
        <v>1626</v>
      </c>
      <c r="O494" s="22" t="s">
        <v>1430</v>
      </c>
      <c r="P494" s="21">
        <v>70291</v>
      </c>
      <c r="Q494" s="21">
        <v>20</v>
      </c>
      <c r="R494" s="21">
        <v>20</v>
      </c>
      <c r="S494" s="21">
        <v>5</v>
      </c>
      <c r="T494" s="21" t="s">
        <v>160</v>
      </c>
      <c r="U494" s="21">
        <v>1</v>
      </c>
      <c r="V494" s="22">
        <v>1</v>
      </c>
      <c r="W494" s="24">
        <f t="shared" si="78"/>
        <v>1295.25</v>
      </c>
      <c r="X494" s="25">
        <f t="shared" si="79"/>
        <v>6280</v>
      </c>
      <c r="Y494" s="21">
        <v>1</v>
      </c>
      <c r="Z494" s="24">
        <f t="shared" si="71"/>
        <v>1295.25</v>
      </c>
      <c r="AA494" s="24">
        <f t="shared" si="72"/>
        <v>6280</v>
      </c>
      <c r="AB494" s="21"/>
      <c r="AC494" s="21"/>
      <c r="AD494" s="21"/>
      <c r="AE494" s="21"/>
      <c r="AF494" s="21" t="s">
        <v>247</v>
      </c>
      <c r="AG494" s="21"/>
      <c r="AH494" s="24"/>
      <c r="AI494" s="24"/>
      <c r="AJ494" s="21">
        <v>1570.8</v>
      </c>
      <c r="AK494" s="21">
        <v>20</v>
      </c>
      <c r="AL494" s="22" t="s">
        <v>161</v>
      </c>
      <c r="AM494" s="22">
        <v>0.11</v>
      </c>
      <c r="AP494" s="22" t="s">
        <v>1432</v>
      </c>
      <c r="AQ494" s="22" t="str">
        <f t="shared" si="73"/>
        <v>Microphytoplankton</v>
      </c>
      <c r="AR494" s="22">
        <v>0</v>
      </c>
      <c r="AS494" s="22">
        <v>0</v>
      </c>
      <c r="AT494" s="22">
        <v>0</v>
      </c>
      <c r="AU494" s="22">
        <v>0</v>
      </c>
      <c r="AV494" s="22">
        <v>0</v>
      </c>
      <c r="AW494" s="22">
        <v>0</v>
      </c>
      <c r="AX494" s="22">
        <v>1</v>
      </c>
      <c r="AY494" s="22">
        <v>0</v>
      </c>
    </row>
    <row r="495" spans="1:57">
      <c r="A495" s="21" t="s">
        <v>1627</v>
      </c>
      <c r="B495" s="22" t="s">
        <v>663</v>
      </c>
      <c r="C495" s="23" t="s">
        <v>822</v>
      </c>
      <c r="D495" s="23" t="s">
        <v>965</v>
      </c>
      <c r="E495" s="22" t="s">
        <v>62</v>
      </c>
      <c r="F495" s="22" t="s">
        <v>1424</v>
      </c>
      <c r="G495" s="23" t="s">
        <v>1553</v>
      </c>
      <c r="H495" s="23" t="s">
        <v>1554</v>
      </c>
      <c r="I495" s="22" t="s">
        <v>42</v>
      </c>
      <c r="J495" s="21" t="s">
        <v>1628</v>
      </c>
      <c r="K495" s="21"/>
      <c r="L495" s="21"/>
      <c r="N495" s="22" t="s">
        <v>1629</v>
      </c>
      <c r="O495" s="22" t="s">
        <v>1430</v>
      </c>
      <c r="P495" s="21">
        <v>70295</v>
      </c>
      <c r="Q495" s="22">
        <v>10</v>
      </c>
      <c r="R495" s="22">
        <v>10</v>
      </c>
      <c r="S495" s="22">
        <v>4</v>
      </c>
      <c r="T495" s="21" t="s">
        <v>160</v>
      </c>
      <c r="U495" s="21">
        <v>1</v>
      </c>
      <c r="V495" s="22">
        <v>1</v>
      </c>
      <c r="W495" s="24">
        <f t="shared" si="78"/>
        <v>339.12</v>
      </c>
      <c r="X495" s="25">
        <f t="shared" si="79"/>
        <v>785</v>
      </c>
      <c r="Y495" s="22">
        <v>1</v>
      </c>
      <c r="Z495" s="24">
        <f t="shared" si="71"/>
        <v>339.12</v>
      </c>
      <c r="AA495" s="24">
        <f t="shared" si="72"/>
        <v>785</v>
      </c>
      <c r="AF495" s="21" t="s">
        <v>247</v>
      </c>
      <c r="AJ495" s="21">
        <v>314.2</v>
      </c>
      <c r="AK495" s="21">
        <v>10</v>
      </c>
      <c r="AL495" s="22" t="s">
        <v>161</v>
      </c>
      <c r="AM495" s="22">
        <v>0.11</v>
      </c>
      <c r="AO495" s="22" t="s">
        <v>1529</v>
      </c>
      <c r="AP495" s="22" t="s">
        <v>1432</v>
      </c>
      <c r="AQ495" s="22" t="str">
        <f t="shared" si="73"/>
        <v>Nanophytoplankton</v>
      </c>
      <c r="AR495" s="22">
        <v>0</v>
      </c>
      <c r="AS495" s="22">
        <v>0</v>
      </c>
      <c r="AT495" s="22">
        <v>0</v>
      </c>
      <c r="AU495" s="22">
        <v>0</v>
      </c>
      <c r="AV495" s="22">
        <v>0</v>
      </c>
      <c r="AW495" s="22">
        <v>0</v>
      </c>
      <c r="AX495" s="22">
        <v>1</v>
      </c>
      <c r="AY495" s="22">
        <v>0</v>
      </c>
      <c r="AZ495" s="22">
        <v>0</v>
      </c>
      <c r="BA495" s="22">
        <v>0</v>
      </c>
      <c r="BB495" s="22">
        <v>0</v>
      </c>
      <c r="BC495" s="22">
        <v>3</v>
      </c>
      <c r="BD495" s="22">
        <v>5</v>
      </c>
      <c r="BE495" s="22">
        <v>2</v>
      </c>
    </row>
    <row r="496" spans="1:57">
      <c r="A496" s="21" t="s">
        <v>1630</v>
      </c>
      <c r="B496" s="22" t="s">
        <v>663</v>
      </c>
      <c r="C496" s="23" t="s">
        <v>822</v>
      </c>
      <c r="D496" s="23" t="s">
        <v>965</v>
      </c>
      <c r="E496" s="22" t="s">
        <v>62</v>
      </c>
      <c r="F496" s="22" t="s">
        <v>1424</v>
      </c>
      <c r="G496" s="23" t="s">
        <v>1553</v>
      </c>
      <c r="H496" s="23" t="s">
        <v>1554</v>
      </c>
      <c r="I496" s="22" t="s">
        <v>42</v>
      </c>
      <c r="J496" s="21" t="s">
        <v>1631</v>
      </c>
      <c r="K496" s="21"/>
      <c r="L496" s="21"/>
      <c r="N496" s="22" t="s">
        <v>1482</v>
      </c>
      <c r="O496" s="22" t="s">
        <v>1430</v>
      </c>
      <c r="P496" s="21">
        <v>70210</v>
      </c>
      <c r="Q496" s="21">
        <v>6</v>
      </c>
      <c r="R496" s="21">
        <v>6</v>
      </c>
      <c r="S496" s="21">
        <v>6</v>
      </c>
      <c r="T496" s="21" t="s">
        <v>160</v>
      </c>
      <c r="U496" s="21">
        <v>1</v>
      </c>
      <c r="V496" s="22">
        <v>1</v>
      </c>
      <c r="W496" s="24">
        <f t="shared" si="78"/>
        <v>169.56</v>
      </c>
      <c r="X496" s="25">
        <f t="shared" si="79"/>
        <v>169.56</v>
      </c>
      <c r="Y496" s="21">
        <v>1</v>
      </c>
      <c r="Z496" s="24">
        <f t="shared" si="71"/>
        <v>169.56</v>
      </c>
      <c r="AA496" s="24">
        <f t="shared" si="72"/>
        <v>169.56</v>
      </c>
      <c r="AB496" s="21"/>
      <c r="AC496" s="21"/>
      <c r="AD496" s="21"/>
      <c r="AE496" s="21"/>
      <c r="AF496" s="21" t="s">
        <v>247</v>
      </c>
      <c r="AG496" s="21"/>
      <c r="AH496" s="24"/>
      <c r="AI496" s="24"/>
      <c r="AJ496" s="21">
        <v>169.6</v>
      </c>
      <c r="AK496" s="21">
        <v>6</v>
      </c>
      <c r="AL496" s="22" t="s">
        <v>161</v>
      </c>
      <c r="AM496" s="22">
        <v>0.11</v>
      </c>
      <c r="AO496" s="22" t="s">
        <v>1529</v>
      </c>
      <c r="AP496" s="22" t="s">
        <v>1432</v>
      </c>
      <c r="AQ496" s="22" t="str">
        <f t="shared" si="73"/>
        <v>Nanophytoplankton</v>
      </c>
      <c r="AR496" s="22">
        <v>0</v>
      </c>
      <c r="AS496" s="22">
        <v>0</v>
      </c>
      <c r="AT496" s="22">
        <v>0</v>
      </c>
      <c r="AU496" s="22">
        <v>0</v>
      </c>
      <c r="AV496" s="22">
        <v>0</v>
      </c>
      <c r="AW496" s="22">
        <v>0</v>
      </c>
      <c r="AX496" s="22">
        <v>1</v>
      </c>
      <c r="AY496" s="22">
        <v>0</v>
      </c>
      <c r="AZ496" s="22">
        <v>4</v>
      </c>
      <c r="BA496" s="22">
        <v>4</v>
      </c>
      <c r="BB496" s="22">
        <v>1</v>
      </c>
      <c r="BC496" s="22">
        <v>1</v>
      </c>
      <c r="BD496" s="22">
        <v>0</v>
      </c>
      <c r="BE496" s="22">
        <v>0</v>
      </c>
    </row>
    <row r="497" spans="1:57">
      <c r="A497" s="21" t="s">
        <v>1632</v>
      </c>
      <c r="B497" s="22" t="s">
        <v>663</v>
      </c>
      <c r="C497" s="23" t="s">
        <v>822</v>
      </c>
      <c r="D497" s="23" t="s">
        <v>965</v>
      </c>
      <c r="E497" s="22" t="s">
        <v>62</v>
      </c>
      <c r="F497" s="22" t="s">
        <v>1424</v>
      </c>
      <c r="G497" s="23" t="s">
        <v>1553</v>
      </c>
      <c r="H497" s="23" t="s">
        <v>1554</v>
      </c>
      <c r="I497" s="22" t="s">
        <v>42</v>
      </c>
      <c r="J497" s="21" t="s">
        <v>209</v>
      </c>
      <c r="K497" s="21"/>
      <c r="L497" s="21"/>
      <c r="N497" s="22" t="s">
        <v>1633</v>
      </c>
      <c r="O497" s="22" t="s">
        <v>1430</v>
      </c>
      <c r="P497" s="21">
        <v>70296</v>
      </c>
      <c r="Q497" s="21">
        <v>40</v>
      </c>
      <c r="R497" s="21">
        <v>40</v>
      </c>
      <c r="S497" s="21">
        <v>10</v>
      </c>
      <c r="T497" s="21" t="s">
        <v>160</v>
      </c>
      <c r="U497" s="21">
        <v>1</v>
      </c>
      <c r="V497" s="22">
        <v>1</v>
      </c>
      <c r="W497" s="24">
        <f t="shared" si="78"/>
        <v>5181</v>
      </c>
      <c r="X497" s="25">
        <f t="shared" si="79"/>
        <v>50240</v>
      </c>
      <c r="Y497" s="21">
        <v>1</v>
      </c>
      <c r="Z497" s="24">
        <f t="shared" si="71"/>
        <v>5181</v>
      </c>
      <c r="AA497" s="24">
        <f t="shared" si="72"/>
        <v>50240</v>
      </c>
      <c r="AB497" s="21"/>
      <c r="AC497" s="21"/>
      <c r="AD497" s="21"/>
      <c r="AE497" s="21"/>
      <c r="AF497" s="21" t="s">
        <v>247</v>
      </c>
      <c r="AG497" s="21"/>
      <c r="AH497" s="24"/>
      <c r="AI497" s="24"/>
      <c r="AJ497" s="21">
        <v>12566</v>
      </c>
      <c r="AK497" s="21">
        <v>40</v>
      </c>
      <c r="AL497" s="22" t="s">
        <v>161</v>
      </c>
      <c r="AM497" s="22">
        <v>0.11</v>
      </c>
      <c r="AP497" s="22" t="s">
        <v>1432</v>
      </c>
      <c r="AQ497" s="22" t="str">
        <f t="shared" si="73"/>
        <v>Microphytoplankton</v>
      </c>
      <c r="AR497" s="22">
        <v>0</v>
      </c>
      <c r="AS497" s="22">
        <v>0</v>
      </c>
      <c r="AT497" s="22">
        <v>0</v>
      </c>
      <c r="AU497" s="22">
        <v>0</v>
      </c>
      <c r="AV497" s="22">
        <v>0</v>
      </c>
      <c r="AW497" s="22">
        <v>0</v>
      </c>
      <c r="AX497" s="22">
        <v>1</v>
      </c>
      <c r="AY497" s="22">
        <v>0</v>
      </c>
      <c r="AZ497" s="22">
        <v>4</v>
      </c>
      <c r="BA497" s="22">
        <v>4</v>
      </c>
      <c r="BB497" s="22">
        <v>1</v>
      </c>
      <c r="BC497" s="22">
        <v>1</v>
      </c>
      <c r="BD497" s="22">
        <v>0</v>
      </c>
      <c r="BE497" s="22">
        <v>0</v>
      </c>
    </row>
    <row r="498" spans="1:57">
      <c r="A498" s="21" t="s">
        <v>1634</v>
      </c>
      <c r="B498" s="22" t="s">
        <v>663</v>
      </c>
      <c r="C498" s="23" t="s">
        <v>822</v>
      </c>
      <c r="D498" s="23" t="s">
        <v>965</v>
      </c>
      <c r="E498" s="22" t="s">
        <v>62</v>
      </c>
      <c r="F498" s="22" t="s">
        <v>1424</v>
      </c>
      <c r="G498" s="23" t="s">
        <v>1553</v>
      </c>
      <c r="H498" s="23" t="s">
        <v>1554</v>
      </c>
      <c r="I498" s="22" t="s">
        <v>42</v>
      </c>
      <c r="J498" s="21" t="s">
        <v>1142</v>
      </c>
      <c r="K498" s="21"/>
      <c r="L498" s="21"/>
      <c r="N498" s="22" t="s">
        <v>1635</v>
      </c>
      <c r="O498" s="22" t="s">
        <v>1430</v>
      </c>
      <c r="P498" s="21">
        <v>70297</v>
      </c>
      <c r="Q498" s="21">
        <v>20</v>
      </c>
      <c r="R498" s="21">
        <v>20</v>
      </c>
      <c r="S498" s="21">
        <v>5</v>
      </c>
      <c r="T498" s="21" t="s">
        <v>160</v>
      </c>
      <c r="U498" s="21">
        <v>1</v>
      </c>
      <c r="V498" s="22">
        <v>1</v>
      </c>
      <c r="W498" s="24">
        <f t="shared" si="78"/>
        <v>1295.25</v>
      </c>
      <c r="X498" s="25">
        <f t="shared" si="79"/>
        <v>6280</v>
      </c>
      <c r="Y498" s="21">
        <v>1</v>
      </c>
      <c r="Z498" s="24">
        <f t="shared" si="71"/>
        <v>1295.25</v>
      </c>
      <c r="AA498" s="24">
        <f t="shared" si="72"/>
        <v>6280</v>
      </c>
      <c r="AB498" s="21"/>
      <c r="AC498" s="21"/>
      <c r="AD498" s="21"/>
      <c r="AE498" s="21"/>
      <c r="AF498" s="21" t="s">
        <v>247</v>
      </c>
      <c r="AG498" s="21"/>
      <c r="AH498" s="24"/>
      <c r="AI498" s="24"/>
      <c r="AJ498" s="21">
        <v>1570</v>
      </c>
      <c r="AK498" s="21">
        <v>20</v>
      </c>
      <c r="AL498" s="22" t="s">
        <v>1636</v>
      </c>
      <c r="AM498" s="22">
        <v>0.11</v>
      </c>
      <c r="AP498" s="22" t="s">
        <v>1432</v>
      </c>
      <c r="AQ498" s="22" t="str">
        <f t="shared" si="73"/>
        <v>Microphytoplankton</v>
      </c>
      <c r="AR498" s="22">
        <v>0</v>
      </c>
      <c r="AS498" s="22">
        <v>0</v>
      </c>
      <c r="AT498" s="22">
        <v>0</v>
      </c>
      <c r="AU498" s="22">
        <v>0</v>
      </c>
      <c r="AV498" s="22">
        <v>0</v>
      </c>
      <c r="AW498" s="22">
        <v>0</v>
      </c>
      <c r="AX498" s="22">
        <v>1</v>
      </c>
      <c r="AY498" s="22">
        <v>0</v>
      </c>
      <c r="AZ498" s="22">
        <v>4</v>
      </c>
      <c r="BA498" s="22">
        <v>4</v>
      </c>
      <c r="BB498" s="22">
        <v>1</v>
      </c>
      <c r="BC498" s="22">
        <v>1</v>
      </c>
      <c r="BD498" s="22">
        <v>0</v>
      </c>
      <c r="BE498" s="22">
        <v>0</v>
      </c>
    </row>
    <row r="499" spans="1:57">
      <c r="A499" s="22" t="s">
        <v>1637</v>
      </c>
      <c r="B499" s="22" t="s">
        <v>663</v>
      </c>
      <c r="C499" s="23" t="s">
        <v>822</v>
      </c>
      <c r="D499" s="23" t="s">
        <v>965</v>
      </c>
      <c r="E499" s="22" t="s">
        <v>62</v>
      </c>
      <c r="F499" s="22" t="s">
        <v>1424</v>
      </c>
      <c r="G499" s="23" t="s">
        <v>1553</v>
      </c>
      <c r="H499" s="23" t="s">
        <v>1554</v>
      </c>
      <c r="I499" s="22" t="s">
        <v>42</v>
      </c>
      <c r="J499" s="22" t="s">
        <v>1638</v>
      </c>
      <c r="N499" s="22" t="s">
        <v>1580</v>
      </c>
      <c r="O499" s="22" t="s">
        <v>1430</v>
      </c>
      <c r="P499" s="22">
        <v>70266</v>
      </c>
      <c r="Q499" s="22">
        <v>7</v>
      </c>
      <c r="R499" s="22">
        <v>7</v>
      </c>
      <c r="S499" s="22">
        <v>3</v>
      </c>
      <c r="T499" s="21" t="s">
        <v>160</v>
      </c>
      <c r="U499" s="21">
        <v>1</v>
      </c>
      <c r="V499" s="22">
        <v>1</v>
      </c>
      <c r="W499" s="24">
        <f t="shared" si="78"/>
        <v>167.99</v>
      </c>
      <c r="X499" s="25">
        <f t="shared" si="79"/>
        <v>269.255</v>
      </c>
      <c r="Y499" s="22">
        <v>1</v>
      </c>
      <c r="Z499" s="24">
        <f t="shared" si="71"/>
        <v>167.99</v>
      </c>
      <c r="AA499" s="24">
        <f t="shared" si="72"/>
        <v>269.255</v>
      </c>
      <c r="AF499" s="21" t="s">
        <v>247</v>
      </c>
      <c r="AJ499" s="21">
        <v>115.4</v>
      </c>
      <c r="AK499" s="21">
        <v>7</v>
      </c>
      <c r="AL499" s="22" t="s">
        <v>161</v>
      </c>
      <c r="AM499" s="22">
        <v>0.11</v>
      </c>
      <c r="AO499" s="22" t="s">
        <v>1529</v>
      </c>
      <c r="AP499" s="22" t="s">
        <v>1432</v>
      </c>
      <c r="AQ499" s="22" t="str">
        <f t="shared" si="73"/>
        <v>Nanophytoplankton</v>
      </c>
      <c r="AR499" s="22">
        <v>0</v>
      </c>
      <c r="AS499" s="22">
        <v>0</v>
      </c>
      <c r="AT499" s="22">
        <v>0</v>
      </c>
      <c r="AU499" s="22">
        <v>0</v>
      </c>
      <c r="AV499" s="22">
        <v>0</v>
      </c>
      <c r="AW499" s="22">
        <v>0</v>
      </c>
      <c r="AX499" s="22">
        <v>1</v>
      </c>
      <c r="AY499" s="22">
        <v>0</v>
      </c>
      <c r="AZ499" s="22">
        <v>4</v>
      </c>
      <c r="BA499" s="22">
        <v>4</v>
      </c>
      <c r="BB499" s="22">
        <v>1</v>
      </c>
      <c r="BC499" s="22">
        <v>1</v>
      </c>
      <c r="BD499" s="22">
        <v>0</v>
      </c>
      <c r="BE499" s="22">
        <v>0</v>
      </c>
    </row>
    <row r="500" spans="1:57">
      <c r="A500" s="21" t="s">
        <v>1639</v>
      </c>
      <c r="B500" s="22" t="s">
        <v>663</v>
      </c>
      <c r="C500" s="23" t="s">
        <v>822</v>
      </c>
      <c r="D500" s="23" t="s">
        <v>965</v>
      </c>
      <c r="E500" s="22" t="s">
        <v>62</v>
      </c>
      <c r="F500" s="22" t="s">
        <v>1424</v>
      </c>
      <c r="G500" s="23" t="s">
        <v>1553</v>
      </c>
      <c r="H500" s="23" t="s">
        <v>1554</v>
      </c>
      <c r="I500" s="22" t="s">
        <v>42</v>
      </c>
      <c r="J500" s="21" t="s">
        <v>1640</v>
      </c>
      <c r="K500" s="21"/>
      <c r="L500" s="21"/>
      <c r="N500" s="22" t="s">
        <v>1641</v>
      </c>
      <c r="O500" s="22" t="s">
        <v>1430</v>
      </c>
      <c r="P500" s="21">
        <v>70240</v>
      </c>
      <c r="Q500" s="21">
        <v>20</v>
      </c>
      <c r="R500" s="21">
        <v>20</v>
      </c>
      <c r="S500" s="21">
        <v>5</v>
      </c>
      <c r="T500" s="21" t="s">
        <v>160</v>
      </c>
      <c r="U500" s="21">
        <v>1</v>
      </c>
      <c r="V500" s="22">
        <v>1</v>
      </c>
      <c r="W500" s="24">
        <f t="shared" si="78"/>
        <v>1295.25</v>
      </c>
      <c r="X500" s="25">
        <f t="shared" si="79"/>
        <v>6280</v>
      </c>
      <c r="Y500" s="21">
        <v>1</v>
      </c>
      <c r="Z500" s="24">
        <f t="shared" si="71"/>
        <v>1295.25</v>
      </c>
      <c r="AA500" s="24">
        <f t="shared" si="72"/>
        <v>6280</v>
      </c>
      <c r="AB500" s="21"/>
      <c r="AC500" s="21"/>
      <c r="AD500" s="21"/>
      <c r="AE500" s="21"/>
      <c r="AF500" s="21" t="s">
        <v>247</v>
      </c>
      <c r="AG500" s="21"/>
      <c r="AH500" s="24"/>
      <c r="AI500" s="24"/>
      <c r="AJ500" s="21">
        <v>1570.8</v>
      </c>
      <c r="AK500" s="21">
        <v>20</v>
      </c>
      <c r="AL500" s="22" t="s">
        <v>161</v>
      </c>
      <c r="AM500" s="22">
        <v>0.11</v>
      </c>
      <c r="AO500" s="22" t="s">
        <v>1529</v>
      </c>
      <c r="AP500" s="22" t="s">
        <v>1432</v>
      </c>
      <c r="AQ500" s="22" t="str">
        <f t="shared" si="73"/>
        <v>Microphytoplankton</v>
      </c>
      <c r="AR500" s="22">
        <v>0</v>
      </c>
      <c r="AS500" s="22">
        <v>0</v>
      </c>
      <c r="AT500" s="22">
        <v>0</v>
      </c>
      <c r="AU500" s="22">
        <v>0</v>
      </c>
      <c r="AV500" s="22">
        <v>0</v>
      </c>
      <c r="AW500" s="22">
        <v>0</v>
      </c>
      <c r="AX500" s="22">
        <v>1</v>
      </c>
      <c r="AY500" s="22">
        <v>0</v>
      </c>
      <c r="AZ500" s="22">
        <v>0</v>
      </c>
      <c r="BA500" s="22">
        <v>0</v>
      </c>
      <c r="BB500" s="22">
        <v>1</v>
      </c>
      <c r="BC500" s="22">
        <v>3</v>
      </c>
      <c r="BD500" s="22">
        <v>5</v>
      </c>
      <c r="BE500" s="22">
        <v>1</v>
      </c>
    </row>
    <row r="501" spans="1:57">
      <c r="A501" s="21" t="s">
        <v>1642</v>
      </c>
      <c r="B501" s="22" t="s">
        <v>663</v>
      </c>
      <c r="C501" s="23" t="s">
        <v>822</v>
      </c>
      <c r="D501" s="23" t="s">
        <v>965</v>
      </c>
      <c r="E501" s="22" t="s">
        <v>62</v>
      </c>
      <c r="F501" s="22" t="s">
        <v>1424</v>
      </c>
      <c r="G501" s="23" t="s">
        <v>1553</v>
      </c>
      <c r="H501" s="23" t="s">
        <v>1554</v>
      </c>
      <c r="I501" s="22" t="s">
        <v>42</v>
      </c>
      <c r="J501" s="21" t="s">
        <v>211</v>
      </c>
      <c r="K501" s="21"/>
      <c r="L501" s="21"/>
      <c r="M501" s="22" t="s">
        <v>1</v>
      </c>
      <c r="N501" s="22" t="s">
        <v>1643</v>
      </c>
      <c r="O501" s="22" t="s">
        <v>1430</v>
      </c>
      <c r="P501" s="21">
        <v>70200</v>
      </c>
      <c r="Q501" s="21">
        <v>5</v>
      </c>
      <c r="R501" s="21">
        <v>5</v>
      </c>
      <c r="S501" s="21">
        <v>2.5</v>
      </c>
      <c r="T501" s="21" t="s">
        <v>160</v>
      </c>
      <c r="U501" s="21">
        <v>1</v>
      </c>
      <c r="V501" s="22">
        <v>1</v>
      </c>
      <c r="W501" s="24">
        <f t="shared" si="78"/>
        <v>88.3125</v>
      </c>
      <c r="X501" s="25">
        <f t="shared" si="79"/>
        <v>98.125</v>
      </c>
      <c r="Y501" s="21">
        <v>1</v>
      </c>
      <c r="Z501" s="24">
        <f t="shared" si="71"/>
        <v>88.3125</v>
      </c>
      <c r="AA501" s="24">
        <f t="shared" si="72"/>
        <v>98.125</v>
      </c>
      <c r="AB501" s="21"/>
      <c r="AC501" s="21"/>
      <c r="AD501" s="21"/>
      <c r="AE501" s="21"/>
      <c r="AF501" s="21" t="s">
        <v>247</v>
      </c>
      <c r="AG501" s="21"/>
      <c r="AH501" s="24"/>
      <c r="AI501" s="24"/>
      <c r="AJ501" s="21">
        <v>49.1</v>
      </c>
      <c r="AK501" s="21">
        <v>5</v>
      </c>
      <c r="AL501" s="22" t="s">
        <v>161</v>
      </c>
      <c r="AM501" s="22">
        <v>0.11</v>
      </c>
      <c r="AO501" s="22" t="s">
        <v>1529</v>
      </c>
      <c r="AP501" s="22" t="s">
        <v>1432</v>
      </c>
      <c r="AQ501" s="22" t="str">
        <f t="shared" si="73"/>
        <v>Nanophytoplankton</v>
      </c>
      <c r="AR501" s="22">
        <v>0</v>
      </c>
      <c r="AS501" s="22">
        <v>0</v>
      </c>
      <c r="AT501" s="22">
        <v>0</v>
      </c>
      <c r="AU501" s="22">
        <v>0</v>
      </c>
      <c r="AV501" s="22">
        <v>0</v>
      </c>
      <c r="AW501" s="22">
        <v>0</v>
      </c>
      <c r="AX501" s="22">
        <v>1</v>
      </c>
      <c r="AY501" s="22">
        <v>0</v>
      </c>
      <c r="AZ501" s="22">
        <v>4</v>
      </c>
      <c r="BA501" s="22">
        <v>4</v>
      </c>
      <c r="BB501" s="22">
        <v>1</v>
      </c>
      <c r="BC501" s="22">
        <v>1</v>
      </c>
      <c r="BD501" s="22">
        <v>0</v>
      </c>
      <c r="BE501" s="22">
        <v>0</v>
      </c>
    </row>
    <row r="502" spans="1:57">
      <c r="A502" s="21" t="s">
        <v>1644</v>
      </c>
      <c r="B502" s="22" t="s">
        <v>663</v>
      </c>
      <c r="C502" s="23" t="s">
        <v>822</v>
      </c>
      <c r="D502" s="23" t="s">
        <v>965</v>
      </c>
      <c r="E502" s="22" t="s">
        <v>62</v>
      </c>
      <c r="F502" s="22" t="s">
        <v>1424</v>
      </c>
      <c r="G502" s="23" t="s">
        <v>1553</v>
      </c>
      <c r="H502" s="23" t="s">
        <v>1554</v>
      </c>
      <c r="I502" s="22" t="s">
        <v>42</v>
      </c>
      <c r="J502" s="21" t="s">
        <v>1645</v>
      </c>
      <c r="K502" s="21"/>
      <c r="L502" s="21"/>
      <c r="M502" s="22" t="s">
        <v>0</v>
      </c>
      <c r="N502" s="22" t="s">
        <v>1643</v>
      </c>
      <c r="O502" s="22" t="s">
        <v>1430</v>
      </c>
      <c r="P502" s="22">
        <v>70205</v>
      </c>
      <c r="Q502" s="22">
        <v>7</v>
      </c>
      <c r="R502" s="22">
        <v>7</v>
      </c>
      <c r="S502" s="22">
        <v>4</v>
      </c>
      <c r="T502" s="21" t="s">
        <v>160</v>
      </c>
      <c r="U502" s="21">
        <v>1</v>
      </c>
      <c r="V502" s="22">
        <v>1</v>
      </c>
      <c r="W502" s="24">
        <f t="shared" si="78"/>
        <v>178.98000000000002</v>
      </c>
      <c r="X502" s="25">
        <f t="shared" si="79"/>
        <v>269.255</v>
      </c>
      <c r="Y502" s="22">
        <v>1</v>
      </c>
      <c r="Z502" s="24">
        <f t="shared" si="71"/>
        <v>178.98000000000002</v>
      </c>
      <c r="AA502" s="24">
        <f t="shared" si="72"/>
        <v>269.255</v>
      </c>
      <c r="AF502" s="21" t="s">
        <v>247</v>
      </c>
      <c r="AJ502" s="21">
        <v>154</v>
      </c>
      <c r="AK502" s="21">
        <v>7</v>
      </c>
      <c r="AL502" s="22" t="s">
        <v>161</v>
      </c>
      <c r="AM502" s="22">
        <v>0.11</v>
      </c>
      <c r="AO502" s="22" t="s">
        <v>1529</v>
      </c>
      <c r="AP502" s="22" t="s">
        <v>1432</v>
      </c>
      <c r="AQ502" s="22" t="str">
        <f t="shared" si="73"/>
        <v>Nanophytoplankton</v>
      </c>
      <c r="AR502" s="22">
        <v>0</v>
      </c>
      <c r="AS502" s="22">
        <v>0</v>
      </c>
      <c r="AT502" s="22">
        <v>0</v>
      </c>
      <c r="AU502" s="22">
        <v>0</v>
      </c>
      <c r="AV502" s="22">
        <v>0</v>
      </c>
      <c r="AW502" s="22">
        <v>0</v>
      </c>
      <c r="AX502" s="22">
        <v>1</v>
      </c>
      <c r="AY502" s="22">
        <v>0</v>
      </c>
      <c r="AZ502" s="22">
        <v>4</v>
      </c>
      <c r="BA502" s="22">
        <v>4</v>
      </c>
      <c r="BB502" s="22">
        <v>1</v>
      </c>
      <c r="BC502" s="22">
        <v>1</v>
      </c>
      <c r="BD502" s="22">
        <v>0</v>
      </c>
      <c r="BE502" s="22">
        <v>0</v>
      </c>
    </row>
    <row r="503" spans="1:57">
      <c r="A503" s="21" t="s">
        <v>1646</v>
      </c>
      <c r="B503" s="22" t="s">
        <v>663</v>
      </c>
      <c r="C503" s="23" t="s">
        <v>822</v>
      </c>
      <c r="D503" s="23" t="s">
        <v>965</v>
      </c>
      <c r="E503" s="22" t="s">
        <v>62</v>
      </c>
      <c r="F503" s="22" t="s">
        <v>1424</v>
      </c>
      <c r="G503" s="23" t="s">
        <v>1553</v>
      </c>
      <c r="H503" s="23" t="s">
        <v>1554</v>
      </c>
      <c r="I503" s="22" t="s">
        <v>42</v>
      </c>
      <c r="J503" s="21" t="s">
        <v>1647</v>
      </c>
      <c r="K503" s="21"/>
      <c r="L503" s="21"/>
      <c r="M503" s="22" t="s">
        <v>0</v>
      </c>
      <c r="N503" s="22" t="s">
        <v>1643</v>
      </c>
      <c r="O503" s="22" t="s">
        <v>1430</v>
      </c>
      <c r="P503" s="22">
        <v>70206</v>
      </c>
      <c r="Q503" s="22">
        <v>9</v>
      </c>
      <c r="R503" s="22">
        <v>9</v>
      </c>
      <c r="S503" s="22">
        <v>4</v>
      </c>
      <c r="T503" s="21" t="s">
        <v>160</v>
      </c>
      <c r="U503" s="21">
        <v>1</v>
      </c>
      <c r="V503" s="22">
        <v>1</v>
      </c>
      <c r="W503" s="24">
        <f t="shared" si="78"/>
        <v>279.45999999999998</v>
      </c>
      <c r="X503" s="25">
        <f t="shared" si="79"/>
        <v>572.26499999999999</v>
      </c>
      <c r="Y503" s="22">
        <v>1</v>
      </c>
      <c r="Z503" s="24">
        <f t="shared" si="71"/>
        <v>279.45999999999998</v>
      </c>
      <c r="AA503" s="24">
        <f t="shared" si="72"/>
        <v>572.26499999999999</v>
      </c>
      <c r="AF503" s="21" t="s">
        <v>247</v>
      </c>
      <c r="AJ503" s="21">
        <v>255</v>
      </c>
      <c r="AK503" s="21">
        <v>9</v>
      </c>
      <c r="AL503" s="22" t="s">
        <v>161</v>
      </c>
      <c r="AM503" s="22">
        <v>0.11</v>
      </c>
      <c r="AO503" s="22" t="s">
        <v>1529</v>
      </c>
      <c r="AP503" s="22" t="s">
        <v>1432</v>
      </c>
      <c r="AQ503" s="22" t="str">
        <f t="shared" si="73"/>
        <v>Nanophytoplankton</v>
      </c>
      <c r="AR503" s="22">
        <v>0</v>
      </c>
      <c r="AS503" s="22">
        <v>0</v>
      </c>
      <c r="AT503" s="22">
        <v>0</v>
      </c>
      <c r="AU503" s="22">
        <v>0</v>
      </c>
      <c r="AV503" s="22">
        <v>0</v>
      </c>
      <c r="AW503" s="22">
        <v>0</v>
      </c>
      <c r="AX503" s="22">
        <v>1</v>
      </c>
      <c r="AY503" s="22">
        <v>0</v>
      </c>
      <c r="AZ503" s="22">
        <v>4</v>
      </c>
      <c r="BA503" s="22">
        <v>4</v>
      </c>
      <c r="BB503" s="22">
        <v>1</v>
      </c>
      <c r="BC503" s="22">
        <v>1</v>
      </c>
      <c r="BD503" s="22">
        <v>0</v>
      </c>
      <c r="BE503" s="22">
        <v>0</v>
      </c>
    </row>
    <row r="504" spans="1:57">
      <c r="A504" s="22" t="s">
        <v>1648</v>
      </c>
      <c r="B504" s="22" t="s">
        <v>663</v>
      </c>
      <c r="C504" s="23" t="s">
        <v>822</v>
      </c>
      <c r="D504" s="23" t="s">
        <v>965</v>
      </c>
      <c r="E504" s="22" t="s">
        <v>62</v>
      </c>
      <c r="F504" s="22" t="s">
        <v>1424</v>
      </c>
      <c r="G504" s="23" t="s">
        <v>1553</v>
      </c>
      <c r="H504" s="23" t="s">
        <v>1554</v>
      </c>
      <c r="I504" s="22" t="s">
        <v>42</v>
      </c>
      <c r="J504" s="22" t="s">
        <v>1649</v>
      </c>
      <c r="N504" s="22" t="s">
        <v>1650</v>
      </c>
      <c r="O504" s="22" t="s">
        <v>1430</v>
      </c>
      <c r="P504" s="22">
        <v>70265</v>
      </c>
      <c r="Q504" s="22">
        <v>9</v>
      </c>
      <c r="R504" s="22">
        <v>9</v>
      </c>
      <c r="S504" s="22">
        <v>3.2</v>
      </c>
      <c r="T504" s="21" t="s">
        <v>160</v>
      </c>
      <c r="U504" s="21">
        <v>1</v>
      </c>
      <c r="V504" s="22">
        <v>1</v>
      </c>
      <c r="W504" s="24">
        <f t="shared" si="78"/>
        <v>270.41680000000002</v>
      </c>
      <c r="X504" s="25">
        <f t="shared" si="79"/>
        <v>572.26499999999999</v>
      </c>
      <c r="Y504" s="22">
        <v>1</v>
      </c>
      <c r="Z504" s="24">
        <f t="shared" si="71"/>
        <v>270.41680000000002</v>
      </c>
      <c r="AA504" s="24">
        <f t="shared" si="72"/>
        <v>572.26499999999999</v>
      </c>
      <c r="AF504" s="21" t="s">
        <v>247</v>
      </c>
      <c r="AJ504" s="21">
        <v>203.6</v>
      </c>
      <c r="AK504" s="21">
        <v>9</v>
      </c>
      <c r="AL504" s="22" t="s">
        <v>161</v>
      </c>
      <c r="AM504" s="22">
        <v>0.11</v>
      </c>
      <c r="AO504" s="22" t="s">
        <v>1529</v>
      </c>
      <c r="AP504" s="22" t="s">
        <v>1432</v>
      </c>
      <c r="AQ504" s="22" t="str">
        <f t="shared" si="73"/>
        <v>Nanophytoplankton</v>
      </c>
      <c r="AR504" s="22">
        <v>0</v>
      </c>
      <c r="AS504" s="22">
        <v>0</v>
      </c>
      <c r="AT504" s="22">
        <v>0</v>
      </c>
      <c r="AU504" s="22">
        <v>0</v>
      </c>
      <c r="AV504" s="22">
        <v>0</v>
      </c>
      <c r="AW504" s="22">
        <v>0</v>
      </c>
      <c r="AX504" s="22">
        <v>1</v>
      </c>
      <c r="AY504" s="22">
        <v>0</v>
      </c>
      <c r="AZ504" s="22">
        <v>4</v>
      </c>
      <c r="BA504" s="22">
        <v>4</v>
      </c>
      <c r="BB504" s="22">
        <v>1</v>
      </c>
      <c r="BC504" s="22">
        <v>1</v>
      </c>
      <c r="BD504" s="22">
        <v>0</v>
      </c>
      <c r="BE504" s="22">
        <v>0</v>
      </c>
    </row>
    <row r="505" spans="1:57">
      <c r="A505" s="21" t="s">
        <v>1651</v>
      </c>
      <c r="B505" s="22" t="s">
        <v>663</v>
      </c>
      <c r="C505" s="23" t="s">
        <v>822</v>
      </c>
      <c r="D505" s="23" t="s">
        <v>965</v>
      </c>
      <c r="E505" s="22" t="s">
        <v>62</v>
      </c>
      <c r="F505" s="22" t="s">
        <v>1424</v>
      </c>
      <c r="G505" s="23" t="s">
        <v>1553</v>
      </c>
      <c r="H505" s="23" t="s">
        <v>1554</v>
      </c>
      <c r="I505" s="22" t="s">
        <v>42</v>
      </c>
      <c r="J505" s="21" t="s">
        <v>1652</v>
      </c>
      <c r="K505" s="21"/>
      <c r="L505" s="21"/>
      <c r="N505" s="22" t="s">
        <v>1609</v>
      </c>
      <c r="O505" s="22" t="s">
        <v>1430</v>
      </c>
      <c r="P505" s="22">
        <v>70294</v>
      </c>
      <c r="Q505" s="22">
        <v>5</v>
      </c>
      <c r="R505" s="22">
        <v>5</v>
      </c>
      <c r="S505" s="22">
        <v>2</v>
      </c>
      <c r="T505" s="21" t="s">
        <v>160</v>
      </c>
      <c r="U505" s="21">
        <v>1</v>
      </c>
      <c r="V505" s="22">
        <v>1</v>
      </c>
      <c r="W505" s="24">
        <f t="shared" si="78"/>
        <v>84.78</v>
      </c>
      <c r="X505" s="25">
        <f t="shared" si="79"/>
        <v>98.125</v>
      </c>
      <c r="Y505" s="22">
        <v>1</v>
      </c>
      <c r="Z505" s="24">
        <f t="shared" si="71"/>
        <v>84.78</v>
      </c>
      <c r="AA505" s="24">
        <f t="shared" si="72"/>
        <v>98.125</v>
      </c>
      <c r="AF505" s="21" t="s">
        <v>247</v>
      </c>
      <c r="AJ505" s="21">
        <v>39.299999999999997</v>
      </c>
      <c r="AK505" s="21">
        <v>5</v>
      </c>
      <c r="AL505" s="22" t="s">
        <v>161</v>
      </c>
      <c r="AM505" s="22">
        <v>0.11</v>
      </c>
      <c r="AO505" s="22" t="s">
        <v>1431</v>
      </c>
      <c r="AP505" s="22" t="s">
        <v>1432</v>
      </c>
      <c r="AQ505" s="22" t="str">
        <f t="shared" si="73"/>
        <v>Nanophytoplankton</v>
      </c>
      <c r="AR505" s="22">
        <v>0</v>
      </c>
      <c r="AS505" s="22">
        <v>0</v>
      </c>
      <c r="AT505" s="22">
        <v>0</v>
      </c>
      <c r="AU505" s="22">
        <v>0</v>
      </c>
      <c r="AV505" s="22">
        <v>0</v>
      </c>
      <c r="AW505" s="22">
        <v>0</v>
      </c>
      <c r="AX505" s="22">
        <v>1</v>
      </c>
      <c r="AY505" s="22">
        <v>0</v>
      </c>
      <c r="AZ505" s="22">
        <v>4</v>
      </c>
      <c r="BA505" s="22">
        <v>4</v>
      </c>
      <c r="BB505" s="22">
        <v>1</v>
      </c>
      <c r="BC505" s="22">
        <v>1</v>
      </c>
      <c r="BD505" s="22">
        <v>0</v>
      </c>
      <c r="BE505" s="22">
        <v>0</v>
      </c>
    </row>
    <row r="506" spans="1:57">
      <c r="A506" s="21" t="s">
        <v>1653</v>
      </c>
      <c r="B506" s="22" t="s">
        <v>663</v>
      </c>
      <c r="C506" s="23" t="s">
        <v>822</v>
      </c>
      <c r="D506" s="23" t="s">
        <v>965</v>
      </c>
      <c r="E506" s="22" t="s">
        <v>62</v>
      </c>
      <c r="F506" s="23" t="s">
        <v>1434</v>
      </c>
      <c r="G506" s="23" t="s">
        <v>1548</v>
      </c>
      <c r="H506" s="23" t="s">
        <v>1549</v>
      </c>
      <c r="I506" s="22" t="s">
        <v>1654</v>
      </c>
      <c r="J506" s="22" t="s">
        <v>202</v>
      </c>
      <c r="N506" s="22" t="s">
        <v>1655</v>
      </c>
      <c r="O506" s="22" t="s">
        <v>1430</v>
      </c>
      <c r="P506" s="21">
        <v>72020</v>
      </c>
      <c r="Q506" s="21">
        <v>160</v>
      </c>
      <c r="R506" s="21">
        <v>50</v>
      </c>
      <c r="S506" s="21">
        <v>15</v>
      </c>
      <c r="T506" s="22" t="s">
        <v>330</v>
      </c>
      <c r="U506" s="21">
        <v>0.6</v>
      </c>
      <c r="V506" s="21">
        <v>0.6</v>
      </c>
      <c r="W506" s="25">
        <f t="shared" ref="W506:W546" si="80">(Q506*R506*2+Q506*S506*2+R506*S506*2)/V506</f>
        <v>37166.666666666672</v>
      </c>
      <c r="X506" s="25">
        <f t="shared" ref="X506:X546" si="81">Q506*R506*S506*U506</f>
        <v>72000</v>
      </c>
      <c r="Y506" s="22">
        <v>1</v>
      </c>
      <c r="Z506" s="24">
        <f t="shared" si="71"/>
        <v>37166.666666666672</v>
      </c>
      <c r="AA506" s="24">
        <f t="shared" si="72"/>
        <v>72000</v>
      </c>
      <c r="AB506" s="21"/>
      <c r="AC506" s="21"/>
      <c r="AD506" s="21"/>
      <c r="AF506" s="21" t="s">
        <v>247</v>
      </c>
      <c r="AG506" s="21"/>
      <c r="AH506" s="24"/>
      <c r="AI506" s="24"/>
      <c r="AJ506" s="21">
        <v>72000</v>
      </c>
      <c r="AK506" s="21">
        <v>160</v>
      </c>
      <c r="AL506" s="22" t="s">
        <v>161</v>
      </c>
      <c r="AM506" s="22">
        <v>0.11</v>
      </c>
      <c r="AO506" s="22" t="s">
        <v>1447</v>
      </c>
      <c r="AP506" s="22" t="s">
        <v>1432</v>
      </c>
      <c r="AQ506" s="22" t="str">
        <f t="shared" si="73"/>
        <v>Microphytoplankton</v>
      </c>
      <c r="AR506" s="22">
        <v>1</v>
      </c>
      <c r="AS506" s="22">
        <v>0</v>
      </c>
      <c r="AT506" s="22">
        <v>1</v>
      </c>
      <c r="AU506" s="22">
        <v>0</v>
      </c>
      <c r="AV506" s="22">
        <v>0</v>
      </c>
      <c r="AW506" s="22">
        <v>0</v>
      </c>
      <c r="AX506" s="22">
        <v>1</v>
      </c>
      <c r="AY506" s="22">
        <v>0</v>
      </c>
    </row>
    <row r="507" spans="1:57">
      <c r="A507" s="21" t="s">
        <v>1656</v>
      </c>
      <c r="B507" s="22" t="s">
        <v>663</v>
      </c>
      <c r="C507" s="23" t="s">
        <v>822</v>
      </c>
      <c r="D507" s="23" t="s">
        <v>965</v>
      </c>
      <c r="E507" s="22" t="s">
        <v>62</v>
      </c>
      <c r="F507" s="23" t="s">
        <v>1434</v>
      </c>
      <c r="G507" s="23" t="s">
        <v>1548</v>
      </c>
      <c r="H507" s="23" t="s">
        <v>1549</v>
      </c>
      <c r="I507" s="22" t="s">
        <v>1654</v>
      </c>
      <c r="J507" s="22" t="s">
        <v>1657</v>
      </c>
      <c r="N507" s="22" t="s">
        <v>1655</v>
      </c>
      <c r="O507" s="22" t="s">
        <v>1430</v>
      </c>
      <c r="P507" s="21">
        <v>72010</v>
      </c>
      <c r="Q507" s="21">
        <v>90</v>
      </c>
      <c r="R507" s="21">
        <v>35</v>
      </c>
      <c r="S507" s="21">
        <v>18</v>
      </c>
      <c r="T507" s="22" t="s">
        <v>330</v>
      </c>
      <c r="U507" s="21">
        <v>0.6</v>
      </c>
      <c r="V507" s="21">
        <v>0.6</v>
      </c>
      <c r="W507" s="25">
        <f t="shared" si="80"/>
        <v>18000</v>
      </c>
      <c r="X507" s="25">
        <f t="shared" si="81"/>
        <v>34020</v>
      </c>
      <c r="Y507" s="22">
        <v>1</v>
      </c>
      <c r="Z507" s="24">
        <f t="shared" si="71"/>
        <v>18000</v>
      </c>
      <c r="AA507" s="24">
        <f t="shared" si="72"/>
        <v>34020</v>
      </c>
      <c r="AB507" s="21"/>
      <c r="AC507" s="21"/>
      <c r="AD507" s="21"/>
      <c r="AF507" s="21" t="s">
        <v>247</v>
      </c>
      <c r="AG507" s="21"/>
      <c r="AH507" s="24"/>
      <c r="AI507" s="24"/>
      <c r="AJ507" s="21">
        <v>34020</v>
      </c>
      <c r="AK507" s="21">
        <v>90</v>
      </c>
      <c r="AL507" s="22" t="s">
        <v>161</v>
      </c>
      <c r="AM507" s="22">
        <v>0.11</v>
      </c>
      <c r="AO507" s="22" t="s">
        <v>1447</v>
      </c>
      <c r="AP507" s="22" t="s">
        <v>1432</v>
      </c>
      <c r="AQ507" s="22" t="str">
        <f t="shared" si="73"/>
        <v>Microphytoplankton</v>
      </c>
      <c r="AR507" s="22">
        <v>1</v>
      </c>
      <c r="AS507" s="22">
        <v>0</v>
      </c>
      <c r="AT507" s="22">
        <v>1</v>
      </c>
      <c r="AU507" s="22">
        <v>0</v>
      </c>
      <c r="AV507" s="22">
        <v>0</v>
      </c>
      <c r="AW507" s="22">
        <v>0</v>
      </c>
      <c r="AX507" s="22">
        <v>1</v>
      </c>
      <c r="AY507" s="22">
        <v>0</v>
      </c>
    </row>
    <row r="508" spans="1:57">
      <c r="A508" s="21" t="s">
        <v>1658</v>
      </c>
      <c r="B508" s="22" t="s">
        <v>663</v>
      </c>
      <c r="C508" s="23" t="s">
        <v>822</v>
      </c>
      <c r="D508" s="23" t="s">
        <v>965</v>
      </c>
      <c r="E508" s="22" t="s">
        <v>62</v>
      </c>
      <c r="F508" s="23" t="s">
        <v>1434</v>
      </c>
      <c r="G508" s="23" t="s">
        <v>1548</v>
      </c>
      <c r="H508" s="23" t="s">
        <v>1549</v>
      </c>
      <c r="I508" s="22" t="s">
        <v>1654</v>
      </c>
      <c r="J508" s="22" t="s">
        <v>1657</v>
      </c>
      <c r="K508" s="22" t="s">
        <v>175</v>
      </c>
      <c r="L508" s="22" t="s">
        <v>1659</v>
      </c>
      <c r="N508" s="22" t="s">
        <v>1660</v>
      </c>
      <c r="O508" s="22" t="s">
        <v>1430</v>
      </c>
      <c r="P508" s="21">
        <v>72030</v>
      </c>
      <c r="Q508" s="21">
        <v>110</v>
      </c>
      <c r="R508" s="21">
        <v>40</v>
      </c>
      <c r="S508" s="21">
        <v>17</v>
      </c>
      <c r="T508" s="22" t="s">
        <v>330</v>
      </c>
      <c r="U508" s="21">
        <v>0.6</v>
      </c>
      <c r="V508" s="21">
        <v>0.6</v>
      </c>
      <c r="W508" s="25">
        <f t="shared" si="80"/>
        <v>23166.666666666668</v>
      </c>
      <c r="X508" s="25">
        <f t="shared" si="81"/>
        <v>44880</v>
      </c>
      <c r="Y508" s="22">
        <v>1</v>
      </c>
      <c r="Z508" s="24">
        <f t="shared" si="71"/>
        <v>23166.666666666668</v>
      </c>
      <c r="AA508" s="24">
        <f t="shared" si="72"/>
        <v>44880</v>
      </c>
      <c r="AB508" s="21"/>
      <c r="AC508" s="21"/>
      <c r="AD508" s="21"/>
      <c r="AF508" s="21" t="s">
        <v>247</v>
      </c>
      <c r="AG508" s="21"/>
      <c r="AH508" s="24"/>
      <c r="AI508" s="24"/>
      <c r="AJ508" s="21">
        <v>44880</v>
      </c>
      <c r="AK508" s="21">
        <v>110</v>
      </c>
      <c r="AL508" s="22" t="s">
        <v>161</v>
      </c>
      <c r="AM508" s="22">
        <v>0.11</v>
      </c>
      <c r="AO508" s="22" t="s">
        <v>1447</v>
      </c>
      <c r="AP508" s="22" t="s">
        <v>1432</v>
      </c>
      <c r="AQ508" s="22" t="str">
        <f t="shared" si="73"/>
        <v>Microphytoplankton</v>
      </c>
      <c r="AR508" s="22">
        <v>1</v>
      </c>
      <c r="AS508" s="22">
        <v>0</v>
      </c>
      <c r="AT508" s="22">
        <v>1</v>
      </c>
      <c r="AU508" s="22">
        <v>0</v>
      </c>
      <c r="AV508" s="22">
        <v>0</v>
      </c>
      <c r="AW508" s="22">
        <v>0</v>
      </c>
      <c r="AX508" s="22">
        <v>1</v>
      </c>
      <c r="AY508" s="22">
        <v>0</v>
      </c>
    </row>
    <row r="509" spans="1:57">
      <c r="A509" s="21" t="s">
        <v>1661</v>
      </c>
      <c r="B509" s="22" t="s">
        <v>663</v>
      </c>
      <c r="C509" s="23" t="s">
        <v>822</v>
      </c>
      <c r="D509" s="23" t="s">
        <v>965</v>
      </c>
      <c r="E509" s="22" t="s">
        <v>62</v>
      </c>
      <c r="F509" s="23" t="s">
        <v>1434</v>
      </c>
      <c r="G509" s="23" t="s">
        <v>1662</v>
      </c>
      <c r="H509" s="23" t="s">
        <v>1663</v>
      </c>
      <c r="I509" s="22" t="s">
        <v>1664</v>
      </c>
      <c r="J509" s="21" t="s">
        <v>166</v>
      </c>
      <c r="K509" s="21"/>
      <c r="L509" s="21"/>
      <c r="N509" s="22" t="s">
        <v>413</v>
      </c>
      <c r="O509" s="22" t="s">
        <v>1430</v>
      </c>
      <c r="P509" s="21">
        <v>71790</v>
      </c>
      <c r="Q509" s="21">
        <v>40</v>
      </c>
      <c r="R509" s="21">
        <v>8</v>
      </c>
      <c r="S509" s="21">
        <v>3</v>
      </c>
      <c r="T509" s="22" t="s">
        <v>330</v>
      </c>
      <c r="U509" s="21">
        <v>0.8</v>
      </c>
      <c r="V509" s="21">
        <v>0.8</v>
      </c>
      <c r="W509" s="25">
        <f t="shared" si="80"/>
        <v>1160</v>
      </c>
      <c r="X509" s="25">
        <f t="shared" si="81"/>
        <v>768</v>
      </c>
      <c r="Y509" s="22">
        <v>1</v>
      </c>
      <c r="Z509" s="24">
        <f t="shared" si="71"/>
        <v>1160</v>
      </c>
      <c r="AA509" s="24">
        <f t="shared" si="72"/>
        <v>768</v>
      </c>
      <c r="AB509" s="21"/>
      <c r="AC509" s="21"/>
      <c r="AD509" s="21"/>
      <c r="AF509" s="21" t="s">
        <v>247</v>
      </c>
      <c r="AG509" s="21"/>
      <c r="AH509" s="24"/>
      <c r="AI509" s="24"/>
      <c r="AJ509" s="21">
        <v>760</v>
      </c>
      <c r="AK509" s="21">
        <v>40</v>
      </c>
      <c r="AL509" s="22" t="s">
        <v>161</v>
      </c>
      <c r="AM509" s="22">
        <v>0.11</v>
      </c>
      <c r="AO509" s="22" t="s">
        <v>383</v>
      </c>
      <c r="AP509" s="22" t="s">
        <v>1432</v>
      </c>
      <c r="AQ509" s="22" t="str">
        <f t="shared" si="73"/>
        <v>Microphytoplankton</v>
      </c>
      <c r="AR509" s="22">
        <v>1</v>
      </c>
      <c r="AS509" s="22">
        <v>0</v>
      </c>
      <c r="AT509" s="22">
        <v>1</v>
      </c>
      <c r="AU509" s="22">
        <v>0</v>
      </c>
      <c r="AV509" s="22">
        <v>0</v>
      </c>
      <c r="AW509" s="22">
        <v>0</v>
      </c>
      <c r="AX509" s="22">
        <v>1</v>
      </c>
      <c r="AY509" s="22">
        <v>0</v>
      </c>
      <c r="AZ509" s="22">
        <v>0</v>
      </c>
      <c r="BA509" s="22">
        <v>4</v>
      </c>
      <c r="BB509" s="22">
        <v>5</v>
      </c>
      <c r="BC509" s="22">
        <v>1</v>
      </c>
      <c r="BD509" s="22">
        <v>0</v>
      </c>
      <c r="BE509" s="22">
        <v>0</v>
      </c>
    </row>
    <row r="510" spans="1:57">
      <c r="A510" s="21" t="s">
        <v>1665</v>
      </c>
      <c r="B510" s="22" t="s">
        <v>663</v>
      </c>
      <c r="C510" s="23" t="s">
        <v>822</v>
      </c>
      <c r="D510" s="23" t="s">
        <v>965</v>
      </c>
      <c r="E510" s="22" t="s">
        <v>62</v>
      </c>
      <c r="F510" s="23" t="s">
        <v>1434</v>
      </c>
      <c r="G510" s="23" t="s">
        <v>1662</v>
      </c>
      <c r="H510" s="23" t="s">
        <v>1663</v>
      </c>
      <c r="I510" s="22" t="s">
        <v>1664</v>
      </c>
      <c r="J510" s="21" t="s">
        <v>1666</v>
      </c>
      <c r="K510" s="21"/>
      <c r="L510" s="21"/>
      <c r="N510" s="22" t="s">
        <v>228</v>
      </c>
      <c r="O510" s="22" t="s">
        <v>1430</v>
      </c>
      <c r="P510" s="21">
        <v>71791</v>
      </c>
      <c r="Q510" s="21">
        <v>28</v>
      </c>
      <c r="R510" s="21">
        <v>6</v>
      </c>
      <c r="S510" s="21">
        <v>3.5</v>
      </c>
      <c r="T510" s="22" t="s">
        <v>330</v>
      </c>
      <c r="U510" s="21">
        <v>0.8</v>
      </c>
      <c r="V510" s="21">
        <v>0.8</v>
      </c>
      <c r="W510" s="25">
        <f t="shared" si="80"/>
        <v>717.5</v>
      </c>
      <c r="X510" s="25">
        <f t="shared" si="81"/>
        <v>470.40000000000003</v>
      </c>
      <c r="Y510" s="22">
        <v>1</v>
      </c>
      <c r="Z510" s="24">
        <f t="shared" si="71"/>
        <v>717.5</v>
      </c>
      <c r="AA510" s="24">
        <f t="shared" si="72"/>
        <v>470.40000000000003</v>
      </c>
      <c r="AB510" s="21"/>
      <c r="AC510" s="21"/>
      <c r="AD510" s="21"/>
      <c r="AF510" s="21" t="s">
        <v>247</v>
      </c>
      <c r="AG510" s="21"/>
      <c r="AH510" s="24"/>
      <c r="AI510" s="24"/>
      <c r="AJ510" s="21">
        <v>470</v>
      </c>
      <c r="AK510" s="21">
        <v>28</v>
      </c>
      <c r="AL510" s="22" t="s">
        <v>161</v>
      </c>
      <c r="AM510" s="22">
        <v>0.11</v>
      </c>
      <c r="AO510" s="22" t="s">
        <v>383</v>
      </c>
      <c r="AP510" s="22" t="s">
        <v>1432</v>
      </c>
      <c r="AQ510" s="22" t="str">
        <f t="shared" si="73"/>
        <v>Microphytoplankton</v>
      </c>
      <c r="AR510" s="22">
        <v>1</v>
      </c>
      <c r="AS510" s="22">
        <v>0</v>
      </c>
      <c r="AT510" s="22">
        <v>1</v>
      </c>
      <c r="AU510" s="22">
        <v>0</v>
      </c>
      <c r="AV510" s="22">
        <v>0</v>
      </c>
      <c r="AW510" s="22">
        <v>0</v>
      </c>
      <c r="AX510" s="22">
        <v>1</v>
      </c>
      <c r="AY510" s="22">
        <v>0</v>
      </c>
      <c r="AZ510" s="22">
        <v>0</v>
      </c>
      <c r="BA510" s="22">
        <v>4</v>
      </c>
      <c r="BB510" s="22">
        <v>5</v>
      </c>
      <c r="BC510" s="22">
        <v>1</v>
      </c>
      <c r="BD510" s="22">
        <v>0</v>
      </c>
      <c r="BE510" s="22">
        <v>0</v>
      </c>
    </row>
    <row r="511" spans="1:57">
      <c r="A511" s="21" t="s">
        <v>1667</v>
      </c>
      <c r="B511" s="22" t="s">
        <v>663</v>
      </c>
      <c r="C511" s="23" t="s">
        <v>822</v>
      </c>
      <c r="D511" s="23" t="s">
        <v>965</v>
      </c>
      <c r="E511" s="22" t="s">
        <v>62</v>
      </c>
      <c r="F511" s="23" t="s">
        <v>1434</v>
      </c>
      <c r="G511" s="23" t="s">
        <v>1662</v>
      </c>
      <c r="H511" s="23" t="s">
        <v>1663</v>
      </c>
      <c r="I511" s="22" t="s">
        <v>1664</v>
      </c>
      <c r="J511" s="21" t="s">
        <v>1668</v>
      </c>
      <c r="K511" s="21"/>
      <c r="L511" s="21"/>
      <c r="N511" s="22" t="s">
        <v>1461</v>
      </c>
      <c r="O511" s="22" t="s">
        <v>1430</v>
      </c>
      <c r="P511" s="22">
        <v>71720</v>
      </c>
      <c r="Q511" s="21">
        <v>25</v>
      </c>
      <c r="R511" s="21">
        <v>10</v>
      </c>
      <c r="S511" s="21">
        <v>2.5</v>
      </c>
      <c r="T511" s="22" t="s">
        <v>330</v>
      </c>
      <c r="U511" s="21">
        <v>0.7</v>
      </c>
      <c r="V511" s="21">
        <v>0.7</v>
      </c>
      <c r="W511" s="25">
        <f t="shared" si="80"/>
        <v>964.28571428571433</v>
      </c>
      <c r="X511" s="25">
        <f t="shared" si="81"/>
        <v>437.5</v>
      </c>
      <c r="Y511" s="22">
        <v>1</v>
      </c>
      <c r="Z511" s="24">
        <f t="shared" si="71"/>
        <v>964.28571428571433</v>
      </c>
      <c r="AA511" s="24">
        <f t="shared" si="72"/>
        <v>437.5</v>
      </c>
      <c r="AB511" s="21"/>
      <c r="AC511" s="21"/>
      <c r="AD511" s="21"/>
      <c r="AF511" s="21" t="s">
        <v>247</v>
      </c>
      <c r="AG511" s="21"/>
      <c r="AH511" s="24"/>
      <c r="AI511" s="24"/>
      <c r="AJ511" s="21">
        <v>437.5</v>
      </c>
      <c r="AK511" s="21">
        <v>25</v>
      </c>
      <c r="AL511" s="22" t="s">
        <v>161</v>
      </c>
      <c r="AM511" s="22">
        <v>0.11</v>
      </c>
      <c r="AO511" s="22" t="s">
        <v>383</v>
      </c>
      <c r="AP511" s="22" t="s">
        <v>1432</v>
      </c>
      <c r="AQ511" s="22" t="str">
        <f t="shared" si="73"/>
        <v>Microphytoplankton</v>
      </c>
      <c r="AR511" s="22">
        <v>1</v>
      </c>
      <c r="AS511" s="22">
        <v>0</v>
      </c>
      <c r="AT511" s="22">
        <v>1</v>
      </c>
      <c r="AU511" s="22">
        <v>0</v>
      </c>
      <c r="AV511" s="22">
        <v>0</v>
      </c>
      <c r="AW511" s="22">
        <v>0</v>
      </c>
      <c r="AX511" s="22">
        <v>1</v>
      </c>
      <c r="AY511" s="22">
        <v>0</v>
      </c>
    </row>
    <row r="512" spans="1:57">
      <c r="A512" s="22" t="s">
        <v>1669</v>
      </c>
      <c r="B512" s="22" t="s">
        <v>663</v>
      </c>
      <c r="C512" s="23" t="s">
        <v>822</v>
      </c>
      <c r="D512" s="23" t="s">
        <v>965</v>
      </c>
      <c r="E512" s="22" t="s">
        <v>62</v>
      </c>
      <c r="F512" s="23" t="s">
        <v>1434</v>
      </c>
      <c r="G512" s="23" t="s">
        <v>1662</v>
      </c>
      <c r="H512" s="23" t="s">
        <v>1663</v>
      </c>
      <c r="I512" s="22" t="s">
        <v>1664</v>
      </c>
      <c r="J512" s="22" t="s">
        <v>1670</v>
      </c>
      <c r="N512" s="22" t="s">
        <v>1671</v>
      </c>
      <c r="O512" s="22" t="s">
        <v>1430</v>
      </c>
      <c r="P512" s="21">
        <v>71722</v>
      </c>
      <c r="Q512" s="22">
        <v>77.5</v>
      </c>
      <c r="R512" s="22">
        <v>19</v>
      </c>
      <c r="S512" s="22">
        <v>6</v>
      </c>
      <c r="T512" s="22" t="s">
        <v>330</v>
      </c>
      <c r="U512" s="22">
        <v>0.7</v>
      </c>
      <c r="V512" s="21">
        <v>0.7</v>
      </c>
      <c r="W512" s="25">
        <f t="shared" si="80"/>
        <v>5861.4285714285716</v>
      </c>
      <c r="X512" s="25">
        <f t="shared" si="81"/>
        <v>6184.5</v>
      </c>
      <c r="Y512" s="22">
        <v>1</v>
      </c>
      <c r="Z512" s="24">
        <f t="shared" si="71"/>
        <v>5861.4285714285716</v>
      </c>
      <c r="AA512" s="24">
        <f t="shared" si="72"/>
        <v>6184.5</v>
      </c>
      <c r="AF512" s="21" t="s">
        <v>247</v>
      </c>
      <c r="AJ512" s="21">
        <v>6626</v>
      </c>
      <c r="AK512" s="21">
        <v>77.5</v>
      </c>
      <c r="AL512" s="22" t="s">
        <v>161</v>
      </c>
      <c r="AM512" s="22">
        <v>0.11</v>
      </c>
      <c r="AO512" s="22" t="s">
        <v>383</v>
      </c>
      <c r="AP512" s="22" t="s">
        <v>1432</v>
      </c>
      <c r="AQ512" s="22" t="str">
        <f t="shared" si="73"/>
        <v>Microphytoplankton</v>
      </c>
      <c r="AR512" s="22">
        <v>1</v>
      </c>
      <c r="AS512" s="22">
        <v>0</v>
      </c>
      <c r="AT512" s="22">
        <v>1</v>
      </c>
      <c r="AU512" s="22">
        <v>0</v>
      </c>
      <c r="AV512" s="22">
        <v>0</v>
      </c>
      <c r="AW512" s="22">
        <v>0</v>
      </c>
      <c r="AX512" s="22">
        <v>1</v>
      </c>
      <c r="AY512" s="22">
        <v>0</v>
      </c>
    </row>
    <row r="513" spans="1:57">
      <c r="A513" s="22" t="s">
        <v>1672</v>
      </c>
      <c r="B513" s="22" t="s">
        <v>663</v>
      </c>
      <c r="C513" s="23" t="s">
        <v>822</v>
      </c>
      <c r="D513" s="23" t="s">
        <v>965</v>
      </c>
      <c r="E513" s="22" t="s">
        <v>62</v>
      </c>
      <c r="F513" s="23" t="s">
        <v>1434</v>
      </c>
      <c r="G513" s="23" t="s">
        <v>1662</v>
      </c>
      <c r="H513" s="23" t="s">
        <v>1663</v>
      </c>
      <c r="I513" s="22" t="s">
        <v>1664</v>
      </c>
      <c r="J513" s="22" t="s">
        <v>405</v>
      </c>
      <c r="N513" s="22" t="s">
        <v>1673</v>
      </c>
      <c r="O513" s="22" t="s">
        <v>1430</v>
      </c>
      <c r="P513" s="21">
        <v>71726</v>
      </c>
      <c r="Q513" s="22">
        <v>52</v>
      </c>
      <c r="R513" s="22">
        <v>13</v>
      </c>
      <c r="S513" s="22">
        <v>4</v>
      </c>
      <c r="T513" s="22" t="s">
        <v>330</v>
      </c>
      <c r="U513" s="22">
        <v>0.5</v>
      </c>
      <c r="V513" s="21">
        <v>0.5</v>
      </c>
      <c r="W513" s="25">
        <f t="shared" si="80"/>
        <v>3744</v>
      </c>
      <c r="X513" s="25">
        <f t="shared" si="81"/>
        <v>1352</v>
      </c>
      <c r="Y513" s="22">
        <v>1</v>
      </c>
      <c r="Z513" s="24">
        <f t="shared" si="71"/>
        <v>3744</v>
      </c>
      <c r="AA513" s="24">
        <f t="shared" si="72"/>
        <v>1352</v>
      </c>
      <c r="AF513" s="21" t="s">
        <v>247</v>
      </c>
      <c r="AJ513" s="21">
        <v>1201</v>
      </c>
      <c r="AK513" s="21">
        <v>52</v>
      </c>
      <c r="AL513" s="22" t="s">
        <v>161</v>
      </c>
      <c r="AM513" s="22">
        <v>0.11</v>
      </c>
      <c r="AO513" s="22" t="s">
        <v>383</v>
      </c>
      <c r="AP513" s="22" t="s">
        <v>1432</v>
      </c>
      <c r="AQ513" s="22" t="str">
        <f t="shared" si="73"/>
        <v>Microphytoplankton</v>
      </c>
      <c r="AR513" s="22">
        <v>1</v>
      </c>
      <c r="AS513" s="22">
        <v>0</v>
      </c>
      <c r="AT513" s="22">
        <v>1</v>
      </c>
      <c r="AU513" s="22">
        <v>0</v>
      </c>
      <c r="AV513" s="22">
        <v>0</v>
      </c>
      <c r="AW513" s="22">
        <v>0</v>
      </c>
      <c r="AX513" s="22">
        <v>1</v>
      </c>
      <c r="AY513" s="22">
        <v>0</v>
      </c>
    </row>
    <row r="514" spans="1:57">
      <c r="A514" s="22" t="s">
        <v>1674</v>
      </c>
      <c r="B514" s="22" t="s">
        <v>663</v>
      </c>
      <c r="C514" s="23" t="s">
        <v>822</v>
      </c>
      <c r="D514" s="23" t="s">
        <v>965</v>
      </c>
      <c r="E514" s="22" t="s">
        <v>62</v>
      </c>
      <c r="F514" s="23" t="s">
        <v>1434</v>
      </c>
      <c r="G514" s="23" t="s">
        <v>1662</v>
      </c>
      <c r="H514" s="23" t="s">
        <v>1663</v>
      </c>
      <c r="I514" s="22" t="s">
        <v>1664</v>
      </c>
      <c r="J514" s="22" t="s">
        <v>1675</v>
      </c>
      <c r="N514" s="22" t="s">
        <v>413</v>
      </c>
      <c r="O514" s="22" t="s">
        <v>1430</v>
      </c>
      <c r="P514" s="21">
        <v>71723</v>
      </c>
      <c r="Q514" s="22">
        <v>44</v>
      </c>
      <c r="R514" s="22">
        <v>17</v>
      </c>
      <c r="S514" s="22">
        <v>4</v>
      </c>
      <c r="T514" s="22" t="s">
        <v>330</v>
      </c>
      <c r="U514" s="22">
        <v>0.7</v>
      </c>
      <c r="V514" s="21">
        <v>0.7</v>
      </c>
      <c r="W514" s="25">
        <f t="shared" si="80"/>
        <v>2834.2857142857147</v>
      </c>
      <c r="X514" s="25">
        <f t="shared" si="81"/>
        <v>2094.4</v>
      </c>
      <c r="Y514" s="22">
        <v>1</v>
      </c>
      <c r="Z514" s="24">
        <f t="shared" ref="Z514:Z577" si="82">Y514*W514</f>
        <v>2834.2857142857147</v>
      </c>
      <c r="AA514" s="24">
        <f t="shared" ref="AA514:AA577" si="83">Y514*X514</f>
        <v>2094.4</v>
      </c>
      <c r="AF514" s="21" t="s">
        <v>247</v>
      </c>
      <c r="AJ514" s="21">
        <v>2094.3999999999996</v>
      </c>
      <c r="AK514" s="21">
        <v>44</v>
      </c>
      <c r="AL514" s="22" t="s">
        <v>161</v>
      </c>
      <c r="AM514" s="22">
        <v>0.11</v>
      </c>
      <c r="AO514" s="22" t="s">
        <v>383</v>
      </c>
      <c r="AP514" s="22" t="s">
        <v>1432</v>
      </c>
      <c r="AQ514" s="22" t="str">
        <f t="shared" ref="AQ514:AQ577" si="84">IF(AND($AK514&lt;20,AJ514&lt;10000),"Nanophytoplankton","Microphytoplankton")</f>
        <v>Microphytoplankton</v>
      </c>
      <c r="AR514" s="22">
        <v>1</v>
      </c>
      <c r="AS514" s="22">
        <v>0</v>
      </c>
      <c r="AT514" s="22">
        <v>1</v>
      </c>
      <c r="AU514" s="22">
        <v>0</v>
      </c>
      <c r="AV514" s="22">
        <v>0</v>
      </c>
      <c r="AW514" s="22">
        <v>0</v>
      </c>
      <c r="AX514" s="22">
        <v>1</v>
      </c>
      <c r="AY514" s="22">
        <v>0</v>
      </c>
    </row>
    <row r="515" spans="1:57">
      <c r="A515" s="21" t="s">
        <v>1676</v>
      </c>
      <c r="B515" s="22" t="s">
        <v>663</v>
      </c>
      <c r="C515" s="23" t="s">
        <v>822</v>
      </c>
      <c r="D515" s="23" t="s">
        <v>965</v>
      </c>
      <c r="E515" s="22" t="s">
        <v>62</v>
      </c>
      <c r="F515" s="23" t="s">
        <v>1434</v>
      </c>
      <c r="G515" s="23" t="s">
        <v>1662</v>
      </c>
      <c r="H515" s="23" t="s">
        <v>1663</v>
      </c>
      <c r="I515" s="22" t="s">
        <v>1664</v>
      </c>
      <c r="J515" s="21" t="s">
        <v>1677</v>
      </c>
      <c r="K515" s="21"/>
      <c r="L515" s="21"/>
      <c r="N515" s="22" t="s">
        <v>475</v>
      </c>
      <c r="O515" s="22" t="s">
        <v>1430</v>
      </c>
      <c r="P515" s="22">
        <v>71725</v>
      </c>
      <c r="Q515" s="21">
        <v>25</v>
      </c>
      <c r="R515" s="21">
        <v>8</v>
      </c>
      <c r="S515" s="21">
        <v>2.5</v>
      </c>
      <c r="T515" s="22" t="s">
        <v>330</v>
      </c>
      <c r="U515" s="21">
        <v>0.7</v>
      </c>
      <c r="V515" s="21">
        <v>0.7</v>
      </c>
      <c r="W515" s="25">
        <f t="shared" si="80"/>
        <v>807.14285714285722</v>
      </c>
      <c r="X515" s="25">
        <f t="shared" si="81"/>
        <v>350</v>
      </c>
      <c r="Y515" s="22">
        <v>1</v>
      </c>
      <c r="Z515" s="24">
        <f t="shared" si="82"/>
        <v>807.14285714285722</v>
      </c>
      <c r="AA515" s="24">
        <f t="shared" si="83"/>
        <v>350</v>
      </c>
      <c r="AB515" s="21"/>
      <c r="AC515" s="21"/>
      <c r="AD515" s="21"/>
      <c r="AF515" s="21" t="s">
        <v>247</v>
      </c>
      <c r="AG515" s="21"/>
      <c r="AH515" s="24"/>
      <c r="AI515" s="24"/>
      <c r="AJ515" s="21">
        <v>350</v>
      </c>
      <c r="AK515" s="21">
        <v>25</v>
      </c>
      <c r="AL515" s="22" t="s">
        <v>161</v>
      </c>
      <c r="AM515" s="22">
        <v>0.11</v>
      </c>
      <c r="AN515" s="29"/>
      <c r="AO515" s="22" t="s">
        <v>383</v>
      </c>
      <c r="AP515" s="22" t="s">
        <v>1432</v>
      </c>
      <c r="AQ515" s="22" t="str">
        <f t="shared" si="84"/>
        <v>Microphytoplankton</v>
      </c>
      <c r="AR515" s="22">
        <v>1</v>
      </c>
      <c r="AS515" s="22">
        <v>0</v>
      </c>
      <c r="AT515" s="22">
        <v>1</v>
      </c>
      <c r="AU515" s="22">
        <v>0</v>
      </c>
      <c r="AV515" s="22">
        <v>0</v>
      </c>
      <c r="AW515" s="22">
        <v>0</v>
      </c>
      <c r="AX515" s="22">
        <v>1</v>
      </c>
      <c r="AY515" s="22">
        <v>0</v>
      </c>
    </row>
    <row r="516" spans="1:57">
      <c r="A516" s="21" t="s">
        <v>1678</v>
      </c>
      <c r="B516" s="22" t="s">
        <v>663</v>
      </c>
      <c r="C516" s="23" t="s">
        <v>822</v>
      </c>
      <c r="D516" s="23" t="s">
        <v>965</v>
      </c>
      <c r="E516" s="22" t="s">
        <v>62</v>
      </c>
      <c r="F516" s="23" t="s">
        <v>1434</v>
      </c>
      <c r="G516" s="23" t="s">
        <v>1662</v>
      </c>
      <c r="H516" s="23" t="s">
        <v>1663</v>
      </c>
      <c r="I516" s="22" t="s">
        <v>1664</v>
      </c>
      <c r="J516" s="21" t="s">
        <v>1613</v>
      </c>
      <c r="K516" s="21"/>
      <c r="L516" s="21"/>
      <c r="N516" s="22" t="s">
        <v>413</v>
      </c>
      <c r="O516" s="22" t="s">
        <v>1430</v>
      </c>
      <c r="P516" s="21">
        <v>71740</v>
      </c>
      <c r="Q516" s="21">
        <v>15</v>
      </c>
      <c r="R516" s="21">
        <v>5</v>
      </c>
      <c r="S516" s="21">
        <v>2</v>
      </c>
      <c r="T516" s="22" t="s">
        <v>330</v>
      </c>
      <c r="U516" s="21">
        <v>0.7</v>
      </c>
      <c r="V516" s="21">
        <v>0.7</v>
      </c>
      <c r="W516" s="25">
        <f t="shared" si="80"/>
        <v>328.57142857142861</v>
      </c>
      <c r="X516" s="25">
        <f t="shared" si="81"/>
        <v>105</v>
      </c>
      <c r="Y516" s="22">
        <v>1</v>
      </c>
      <c r="Z516" s="24">
        <f t="shared" si="82"/>
        <v>328.57142857142861</v>
      </c>
      <c r="AA516" s="24">
        <f t="shared" si="83"/>
        <v>105</v>
      </c>
      <c r="AB516" s="21"/>
      <c r="AC516" s="21"/>
      <c r="AD516" s="21"/>
      <c r="AF516" s="21" t="s">
        <v>247</v>
      </c>
      <c r="AG516" s="21"/>
      <c r="AH516" s="24"/>
      <c r="AI516" s="24"/>
      <c r="AJ516" s="21">
        <v>105</v>
      </c>
      <c r="AK516" s="21">
        <v>15</v>
      </c>
      <c r="AL516" s="22" t="s">
        <v>161</v>
      </c>
      <c r="AM516" s="22">
        <v>0.11</v>
      </c>
      <c r="AO516" s="22" t="s">
        <v>383</v>
      </c>
      <c r="AP516" s="22" t="s">
        <v>1432</v>
      </c>
      <c r="AQ516" s="22" t="str">
        <f t="shared" si="84"/>
        <v>Nanophytoplankton</v>
      </c>
      <c r="AR516" s="22">
        <v>1</v>
      </c>
      <c r="AS516" s="22">
        <v>0</v>
      </c>
      <c r="AT516" s="22">
        <v>1</v>
      </c>
      <c r="AU516" s="22">
        <v>0</v>
      </c>
      <c r="AV516" s="22">
        <v>0</v>
      </c>
      <c r="AW516" s="22">
        <v>0</v>
      </c>
      <c r="AX516" s="22">
        <v>1</v>
      </c>
      <c r="AY516" s="22">
        <v>0</v>
      </c>
      <c r="AZ516" s="22">
        <v>0</v>
      </c>
      <c r="BA516" s="22">
        <v>4</v>
      </c>
      <c r="BB516" s="22">
        <v>5</v>
      </c>
      <c r="BC516" s="22">
        <v>1</v>
      </c>
      <c r="BD516" s="22">
        <v>0</v>
      </c>
      <c r="BE516" s="22">
        <v>0</v>
      </c>
    </row>
    <row r="517" spans="1:57">
      <c r="A517" s="21" t="s">
        <v>1679</v>
      </c>
      <c r="B517" s="22" t="s">
        <v>663</v>
      </c>
      <c r="C517" s="23" t="s">
        <v>822</v>
      </c>
      <c r="D517" s="23" t="s">
        <v>965</v>
      </c>
      <c r="E517" s="22" t="s">
        <v>62</v>
      </c>
      <c r="F517" s="23" t="s">
        <v>1434</v>
      </c>
      <c r="G517" s="23" t="s">
        <v>1662</v>
      </c>
      <c r="H517" s="23" t="s">
        <v>1663</v>
      </c>
      <c r="I517" s="22" t="s">
        <v>1664</v>
      </c>
      <c r="J517" s="21" t="s">
        <v>1680</v>
      </c>
      <c r="K517" s="21"/>
      <c r="L517" s="21"/>
      <c r="N517" s="22" t="s">
        <v>413</v>
      </c>
      <c r="O517" s="22" t="s">
        <v>1430</v>
      </c>
      <c r="P517" s="21">
        <v>71780</v>
      </c>
      <c r="Q517" s="21">
        <v>70</v>
      </c>
      <c r="R517" s="21">
        <v>22</v>
      </c>
      <c r="S517" s="21">
        <v>11</v>
      </c>
      <c r="T517" s="22" t="s">
        <v>330</v>
      </c>
      <c r="U517" s="21">
        <v>0.7</v>
      </c>
      <c r="V517" s="21">
        <v>0.7</v>
      </c>
      <c r="W517" s="25">
        <f t="shared" si="80"/>
        <v>7291.4285714285716</v>
      </c>
      <c r="X517" s="25">
        <f t="shared" si="81"/>
        <v>11858</v>
      </c>
      <c r="Y517" s="22">
        <v>1</v>
      </c>
      <c r="Z517" s="24">
        <f t="shared" si="82"/>
        <v>7291.4285714285716</v>
      </c>
      <c r="AA517" s="24">
        <f t="shared" si="83"/>
        <v>11858</v>
      </c>
      <c r="AB517" s="21"/>
      <c r="AC517" s="21"/>
      <c r="AD517" s="21"/>
      <c r="AF517" s="21" t="s">
        <v>247</v>
      </c>
      <c r="AG517" s="21"/>
      <c r="AH517" s="24"/>
      <c r="AI517" s="24"/>
      <c r="AJ517" s="21">
        <v>11858</v>
      </c>
      <c r="AK517" s="21">
        <v>70</v>
      </c>
      <c r="AL517" s="22" t="s">
        <v>161</v>
      </c>
      <c r="AM517" s="22">
        <v>0.11</v>
      </c>
      <c r="AO517" s="22" t="s">
        <v>383</v>
      </c>
      <c r="AP517" s="22" t="s">
        <v>1432</v>
      </c>
      <c r="AQ517" s="22" t="str">
        <f t="shared" si="84"/>
        <v>Microphytoplankton</v>
      </c>
      <c r="AR517" s="22">
        <v>1</v>
      </c>
      <c r="AS517" s="22">
        <v>0</v>
      </c>
      <c r="AT517" s="22">
        <v>1</v>
      </c>
      <c r="AU517" s="22">
        <v>0</v>
      </c>
      <c r="AV517" s="22">
        <v>0</v>
      </c>
      <c r="AW517" s="22">
        <v>0</v>
      </c>
      <c r="AX517" s="22">
        <v>1</v>
      </c>
      <c r="AY517" s="22">
        <v>0</v>
      </c>
    </row>
    <row r="518" spans="1:57">
      <c r="A518" s="21" t="s">
        <v>1681</v>
      </c>
      <c r="B518" s="22" t="s">
        <v>663</v>
      </c>
      <c r="C518" s="23" t="s">
        <v>822</v>
      </c>
      <c r="D518" s="23" t="s">
        <v>965</v>
      </c>
      <c r="E518" s="22" t="s">
        <v>62</v>
      </c>
      <c r="F518" s="23" t="s">
        <v>1434</v>
      </c>
      <c r="G518" s="23" t="s">
        <v>1662</v>
      </c>
      <c r="H518" s="23" t="s">
        <v>1663</v>
      </c>
      <c r="I518" s="22" t="s">
        <v>1664</v>
      </c>
      <c r="J518" s="21" t="s">
        <v>1682</v>
      </c>
      <c r="K518" s="21"/>
      <c r="L518" s="21"/>
      <c r="N518" s="22" t="s">
        <v>413</v>
      </c>
      <c r="O518" s="22" t="s">
        <v>1430</v>
      </c>
      <c r="P518" s="21">
        <v>71781</v>
      </c>
      <c r="Q518" s="21">
        <v>27</v>
      </c>
      <c r="R518" s="21">
        <v>8</v>
      </c>
      <c r="S518" s="21">
        <v>4</v>
      </c>
      <c r="T518" s="22" t="s">
        <v>330</v>
      </c>
      <c r="U518" s="21">
        <v>0.7</v>
      </c>
      <c r="V518" s="21">
        <v>0.7</v>
      </c>
      <c r="W518" s="25">
        <f t="shared" si="80"/>
        <v>1017.1428571428572</v>
      </c>
      <c r="X518" s="25">
        <f t="shared" si="81"/>
        <v>604.79999999999995</v>
      </c>
      <c r="Y518" s="22">
        <v>1</v>
      </c>
      <c r="Z518" s="24">
        <f t="shared" si="82"/>
        <v>1017.1428571428572</v>
      </c>
      <c r="AA518" s="24">
        <f t="shared" si="83"/>
        <v>604.79999999999995</v>
      </c>
      <c r="AB518" s="21"/>
      <c r="AC518" s="21"/>
      <c r="AD518" s="21"/>
      <c r="AF518" s="21" t="s">
        <v>247</v>
      </c>
      <c r="AG518" s="21"/>
      <c r="AH518" s="24"/>
      <c r="AI518" s="24"/>
      <c r="AJ518" s="21">
        <v>604.79999999999995</v>
      </c>
      <c r="AK518" s="21">
        <v>27</v>
      </c>
      <c r="AL518" s="22" t="s">
        <v>161</v>
      </c>
      <c r="AM518" s="22">
        <v>0.11</v>
      </c>
      <c r="AO518" s="22" t="s">
        <v>383</v>
      </c>
      <c r="AP518" s="22" t="s">
        <v>1432</v>
      </c>
      <c r="AQ518" s="22" t="str">
        <f t="shared" si="84"/>
        <v>Microphytoplankton</v>
      </c>
      <c r="AR518" s="22">
        <v>1</v>
      </c>
      <c r="AS518" s="22">
        <v>0</v>
      </c>
      <c r="AT518" s="22">
        <v>1</v>
      </c>
      <c r="AU518" s="22">
        <v>0</v>
      </c>
      <c r="AV518" s="22">
        <v>0</v>
      </c>
      <c r="AW518" s="22">
        <v>0</v>
      </c>
      <c r="AX518" s="22">
        <v>1</v>
      </c>
      <c r="AY518" s="22">
        <v>0</v>
      </c>
    </row>
    <row r="519" spans="1:57">
      <c r="A519" s="21" t="s">
        <v>1683</v>
      </c>
      <c r="B519" s="22" t="s">
        <v>663</v>
      </c>
      <c r="C519" s="23" t="s">
        <v>822</v>
      </c>
      <c r="D519" s="23" t="s">
        <v>965</v>
      </c>
      <c r="E519" s="22" t="s">
        <v>62</v>
      </c>
      <c r="F519" s="23" t="s">
        <v>1434</v>
      </c>
      <c r="G519" s="23" t="s">
        <v>1662</v>
      </c>
      <c r="H519" s="23" t="s">
        <v>1663</v>
      </c>
      <c r="I519" s="22" t="s">
        <v>1664</v>
      </c>
      <c r="J519" s="21" t="s">
        <v>1527</v>
      </c>
      <c r="K519" s="21" t="s">
        <v>175</v>
      </c>
      <c r="L519" s="21" t="s">
        <v>1684</v>
      </c>
      <c r="N519" s="22" t="s">
        <v>1685</v>
      </c>
      <c r="O519" s="22" t="s">
        <v>1430</v>
      </c>
      <c r="P519" s="21">
        <v>71770</v>
      </c>
      <c r="Q519" s="21">
        <v>48</v>
      </c>
      <c r="R519" s="21">
        <v>13</v>
      </c>
      <c r="S519" s="21">
        <v>6.5</v>
      </c>
      <c r="T519" s="22" t="s">
        <v>330</v>
      </c>
      <c r="U519" s="21">
        <v>0.7</v>
      </c>
      <c r="V519" s="21">
        <v>0.7</v>
      </c>
      <c r="W519" s="25">
        <f t="shared" si="80"/>
        <v>2915.7142857142858</v>
      </c>
      <c r="X519" s="25">
        <f t="shared" si="81"/>
        <v>2839.2</v>
      </c>
      <c r="Y519" s="22">
        <v>1</v>
      </c>
      <c r="Z519" s="24">
        <f t="shared" si="82"/>
        <v>2915.7142857142858</v>
      </c>
      <c r="AA519" s="24">
        <f t="shared" si="83"/>
        <v>2839.2</v>
      </c>
      <c r="AB519" s="21"/>
      <c r="AC519" s="21"/>
      <c r="AD519" s="21"/>
      <c r="AF519" s="21" t="s">
        <v>247</v>
      </c>
      <c r="AG519" s="21"/>
      <c r="AH519" s="24"/>
      <c r="AI519" s="24"/>
      <c r="AJ519" s="21">
        <v>2839.2</v>
      </c>
      <c r="AK519" s="21">
        <v>48</v>
      </c>
      <c r="AL519" s="22" t="s">
        <v>161</v>
      </c>
      <c r="AM519" s="22">
        <v>0.11</v>
      </c>
      <c r="AO519" s="22" t="s">
        <v>383</v>
      </c>
      <c r="AP519" s="22" t="s">
        <v>1432</v>
      </c>
      <c r="AQ519" s="22" t="str">
        <f t="shared" si="84"/>
        <v>Microphytoplankton</v>
      </c>
      <c r="AR519" s="22">
        <v>1</v>
      </c>
      <c r="AS519" s="22">
        <v>0</v>
      </c>
      <c r="AT519" s="22">
        <v>1</v>
      </c>
      <c r="AU519" s="22">
        <v>0</v>
      </c>
      <c r="AV519" s="22">
        <v>0</v>
      </c>
      <c r="AW519" s="22">
        <v>0</v>
      </c>
      <c r="AX519" s="22">
        <v>1</v>
      </c>
      <c r="AY519" s="22">
        <v>0</v>
      </c>
    </row>
    <row r="520" spans="1:57">
      <c r="A520" s="21" t="s">
        <v>1686</v>
      </c>
      <c r="B520" s="22" t="s">
        <v>663</v>
      </c>
      <c r="C520" s="23" t="s">
        <v>822</v>
      </c>
      <c r="D520" s="23" t="s">
        <v>965</v>
      </c>
      <c r="E520" s="22" t="s">
        <v>62</v>
      </c>
      <c r="F520" s="23" t="s">
        <v>1434</v>
      </c>
      <c r="G520" s="23" t="s">
        <v>1662</v>
      </c>
      <c r="H520" s="23" t="s">
        <v>1663</v>
      </c>
      <c r="I520" s="22" t="s">
        <v>1664</v>
      </c>
      <c r="J520" s="21" t="s">
        <v>1687</v>
      </c>
      <c r="K520" s="21"/>
      <c r="L520" s="21"/>
      <c r="N520" s="22" t="s">
        <v>1688</v>
      </c>
      <c r="O520" s="22" t="s">
        <v>1430</v>
      </c>
      <c r="P520" s="21">
        <v>71721</v>
      </c>
      <c r="Q520" s="21">
        <v>25</v>
      </c>
      <c r="R520" s="21">
        <v>6</v>
      </c>
      <c r="S520" s="21">
        <v>2.5</v>
      </c>
      <c r="T520" s="22" t="s">
        <v>330</v>
      </c>
      <c r="U520" s="21">
        <v>0.7</v>
      </c>
      <c r="V520" s="21">
        <v>0.7</v>
      </c>
      <c r="W520" s="25">
        <f t="shared" si="80"/>
        <v>650</v>
      </c>
      <c r="X520" s="25">
        <f t="shared" si="81"/>
        <v>262.5</v>
      </c>
      <c r="Y520" s="22">
        <v>1</v>
      </c>
      <c r="Z520" s="24">
        <f t="shared" si="82"/>
        <v>650</v>
      </c>
      <c r="AA520" s="24">
        <f t="shared" si="83"/>
        <v>262.5</v>
      </c>
      <c r="AB520" s="21"/>
      <c r="AC520" s="21"/>
      <c r="AD520" s="21"/>
      <c r="AF520" s="21" t="s">
        <v>247</v>
      </c>
      <c r="AG520" s="21"/>
      <c r="AH520" s="24"/>
      <c r="AI520" s="24"/>
      <c r="AJ520" s="21">
        <v>262.5</v>
      </c>
      <c r="AK520" s="21">
        <v>25</v>
      </c>
      <c r="AL520" s="22" t="s">
        <v>161</v>
      </c>
      <c r="AM520" s="22">
        <v>0.11</v>
      </c>
      <c r="AO520" s="22" t="s">
        <v>383</v>
      </c>
      <c r="AP520" s="22" t="s">
        <v>1432</v>
      </c>
      <c r="AQ520" s="22" t="str">
        <f t="shared" si="84"/>
        <v>Microphytoplankton</v>
      </c>
      <c r="AR520" s="22">
        <v>1</v>
      </c>
      <c r="AS520" s="22">
        <v>0</v>
      </c>
      <c r="AT520" s="22">
        <v>1</v>
      </c>
      <c r="AU520" s="22">
        <v>0</v>
      </c>
      <c r="AV520" s="22">
        <v>0</v>
      </c>
      <c r="AW520" s="22">
        <v>0</v>
      </c>
      <c r="AX520" s="22">
        <v>1</v>
      </c>
      <c r="AY520" s="22">
        <v>0</v>
      </c>
    </row>
    <row r="521" spans="1:57">
      <c r="A521" s="21" t="s">
        <v>1689</v>
      </c>
      <c r="B521" s="22" t="s">
        <v>663</v>
      </c>
      <c r="C521" s="23" t="s">
        <v>822</v>
      </c>
      <c r="D521" s="23" t="s">
        <v>965</v>
      </c>
      <c r="E521" s="22" t="s">
        <v>62</v>
      </c>
      <c r="F521" s="23" t="s">
        <v>1434</v>
      </c>
      <c r="G521" s="23" t="s">
        <v>1662</v>
      </c>
      <c r="H521" s="23" t="s">
        <v>1663</v>
      </c>
      <c r="I521" s="22" t="s">
        <v>1664</v>
      </c>
      <c r="J521" s="21" t="s">
        <v>1463</v>
      </c>
      <c r="K521" s="21"/>
      <c r="L521" s="21"/>
      <c r="N521" s="22" t="s">
        <v>1690</v>
      </c>
      <c r="O521" s="22" t="s">
        <v>1430</v>
      </c>
      <c r="P521" s="21">
        <v>71775</v>
      </c>
      <c r="Q521" s="21">
        <v>140</v>
      </c>
      <c r="R521" s="21">
        <v>28</v>
      </c>
      <c r="S521" s="21">
        <v>9</v>
      </c>
      <c r="T521" s="22" t="s">
        <v>330</v>
      </c>
      <c r="U521" s="21">
        <v>0.7</v>
      </c>
      <c r="V521" s="21">
        <v>0.7</v>
      </c>
      <c r="W521" s="25">
        <f t="shared" si="80"/>
        <v>15520.000000000002</v>
      </c>
      <c r="X521" s="25">
        <f t="shared" si="81"/>
        <v>24696</v>
      </c>
      <c r="Y521" s="22">
        <v>1</v>
      </c>
      <c r="Z521" s="24">
        <f t="shared" si="82"/>
        <v>15520.000000000002</v>
      </c>
      <c r="AA521" s="24">
        <f t="shared" si="83"/>
        <v>24696</v>
      </c>
      <c r="AB521" s="21"/>
      <c r="AC521" s="21"/>
      <c r="AD521" s="21"/>
      <c r="AF521" s="21" t="s">
        <v>247</v>
      </c>
      <c r="AG521" s="21"/>
      <c r="AH521" s="24"/>
      <c r="AI521" s="24"/>
      <c r="AJ521" s="21">
        <v>24500</v>
      </c>
      <c r="AK521" s="21">
        <v>140</v>
      </c>
      <c r="AL521" s="22" t="s">
        <v>161</v>
      </c>
      <c r="AM521" s="22">
        <v>0.11</v>
      </c>
      <c r="AO521" s="22" t="s">
        <v>383</v>
      </c>
      <c r="AP521" s="22" t="s">
        <v>1432</v>
      </c>
      <c r="AQ521" s="22" t="str">
        <f t="shared" si="84"/>
        <v>Microphytoplankton</v>
      </c>
      <c r="AR521" s="22">
        <v>1</v>
      </c>
      <c r="AS521" s="22">
        <v>0</v>
      </c>
      <c r="AT521" s="22">
        <v>1</v>
      </c>
      <c r="AU521" s="22">
        <v>0</v>
      </c>
      <c r="AV521" s="22">
        <v>0</v>
      </c>
      <c r="AW521" s="22">
        <v>0</v>
      </c>
      <c r="AX521" s="22">
        <v>1</v>
      </c>
      <c r="AY521" s="22">
        <v>0</v>
      </c>
    </row>
    <row r="522" spans="1:57">
      <c r="A522" s="22" t="s">
        <v>1691</v>
      </c>
      <c r="B522" s="22" t="s">
        <v>663</v>
      </c>
      <c r="C522" s="23" t="s">
        <v>822</v>
      </c>
      <c r="D522" s="23" t="s">
        <v>965</v>
      </c>
      <c r="E522" s="22" t="s">
        <v>62</v>
      </c>
      <c r="F522" s="23" t="s">
        <v>1434</v>
      </c>
      <c r="G522" s="23" t="s">
        <v>1662</v>
      </c>
      <c r="H522" s="23" t="s">
        <v>1663</v>
      </c>
      <c r="I522" s="22" t="s">
        <v>1664</v>
      </c>
      <c r="J522" s="22" t="s">
        <v>1692</v>
      </c>
      <c r="N522" s="22" t="s">
        <v>1693</v>
      </c>
      <c r="O522" s="22" t="s">
        <v>1430</v>
      </c>
      <c r="P522" s="21">
        <v>71776</v>
      </c>
      <c r="Q522" s="22">
        <v>62</v>
      </c>
      <c r="R522" s="22">
        <v>20.5</v>
      </c>
      <c r="S522" s="22">
        <v>16</v>
      </c>
      <c r="T522" s="22" t="s">
        <v>330</v>
      </c>
      <c r="U522" s="22">
        <v>0.7</v>
      </c>
      <c r="V522" s="21">
        <v>0.7</v>
      </c>
      <c r="W522" s="25">
        <f t="shared" si="80"/>
        <v>7402.8571428571431</v>
      </c>
      <c r="X522" s="25">
        <f t="shared" si="81"/>
        <v>14235.199999999999</v>
      </c>
      <c r="Y522" s="22">
        <v>1</v>
      </c>
      <c r="Z522" s="24">
        <f t="shared" si="82"/>
        <v>7402.8571428571431</v>
      </c>
      <c r="AA522" s="24">
        <f t="shared" si="83"/>
        <v>14235.199999999999</v>
      </c>
      <c r="AF522" s="21" t="s">
        <v>247</v>
      </c>
      <c r="AJ522" s="21">
        <v>14349</v>
      </c>
      <c r="AK522" s="21">
        <v>62</v>
      </c>
      <c r="AL522" s="22" t="s">
        <v>161</v>
      </c>
      <c r="AM522" s="22">
        <v>0.11</v>
      </c>
      <c r="AO522" s="22" t="s">
        <v>383</v>
      </c>
      <c r="AP522" s="22" t="s">
        <v>1432</v>
      </c>
      <c r="AQ522" s="22" t="str">
        <f t="shared" si="84"/>
        <v>Microphytoplankton</v>
      </c>
      <c r="AR522" s="22">
        <v>1</v>
      </c>
      <c r="AS522" s="22">
        <v>0</v>
      </c>
      <c r="AT522" s="22">
        <v>1</v>
      </c>
      <c r="AU522" s="22">
        <v>0</v>
      </c>
      <c r="AV522" s="22">
        <v>0</v>
      </c>
      <c r="AW522" s="22">
        <v>0</v>
      </c>
      <c r="AX522" s="22">
        <v>1</v>
      </c>
      <c r="AY522" s="22">
        <v>0</v>
      </c>
    </row>
    <row r="523" spans="1:57">
      <c r="A523" s="22" t="s">
        <v>1694</v>
      </c>
      <c r="B523" s="22" t="s">
        <v>663</v>
      </c>
      <c r="C523" s="23" t="s">
        <v>822</v>
      </c>
      <c r="D523" s="23" t="s">
        <v>965</v>
      </c>
      <c r="E523" s="22" t="s">
        <v>62</v>
      </c>
      <c r="F523" s="23" t="s">
        <v>1434</v>
      </c>
      <c r="G523" s="23" t="s">
        <v>1662</v>
      </c>
      <c r="H523" s="23" t="s">
        <v>1663</v>
      </c>
      <c r="I523" s="22" t="s">
        <v>1664</v>
      </c>
      <c r="J523" s="22" t="s">
        <v>1695</v>
      </c>
      <c r="N523" s="22" t="s">
        <v>486</v>
      </c>
      <c r="O523" s="22" t="s">
        <v>1430</v>
      </c>
      <c r="P523" s="21">
        <v>71777</v>
      </c>
      <c r="Q523" s="22">
        <v>37.5</v>
      </c>
      <c r="R523" s="22">
        <v>10</v>
      </c>
      <c r="S523" s="22">
        <v>4.5</v>
      </c>
      <c r="T523" s="22" t="s">
        <v>330</v>
      </c>
      <c r="U523" s="22">
        <v>0.7</v>
      </c>
      <c r="V523" s="21">
        <v>0.7</v>
      </c>
      <c r="W523" s="25">
        <f t="shared" si="80"/>
        <v>1682.1428571428573</v>
      </c>
      <c r="X523" s="25">
        <f t="shared" si="81"/>
        <v>1181.25</v>
      </c>
      <c r="Y523" s="22">
        <v>1</v>
      </c>
      <c r="Z523" s="24">
        <f t="shared" si="82"/>
        <v>1682.1428571428573</v>
      </c>
      <c r="AA523" s="24">
        <f t="shared" si="83"/>
        <v>1181.25</v>
      </c>
      <c r="AF523" s="21" t="s">
        <v>247</v>
      </c>
      <c r="AJ523" s="21">
        <v>1162</v>
      </c>
      <c r="AK523" s="21">
        <v>37.5</v>
      </c>
      <c r="AL523" s="22" t="s">
        <v>161</v>
      </c>
      <c r="AM523" s="22">
        <v>0.11</v>
      </c>
      <c r="AO523" s="22" t="s">
        <v>383</v>
      </c>
      <c r="AP523" s="22" t="s">
        <v>1432</v>
      </c>
      <c r="AQ523" s="22" t="str">
        <f t="shared" si="84"/>
        <v>Microphytoplankton</v>
      </c>
      <c r="AR523" s="22">
        <v>1</v>
      </c>
      <c r="AS523" s="22">
        <v>0</v>
      </c>
      <c r="AT523" s="22">
        <v>1</v>
      </c>
      <c r="AU523" s="22">
        <v>0</v>
      </c>
      <c r="AV523" s="22">
        <v>0</v>
      </c>
      <c r="AW523" s="22">
        <v>0</v>
      </c>
      <c r="AX523" s="22">
        <v>1</v>
      </c>
      <c r="AY523" s="22">
        <v>0</v>
      </c>
    </row>
    <row r="524" spans="1:57">
      <c r="A524" s="21" t="s">
        <v>1696</v>
      </c>
      <c r="B524" s="22" t="s">
        <v>663</v>
      </c>
      <c r="C524" s="23" t="s">
        <v>822</v>
      </c>
      <c r="D524" s="23" t="s">
        <v>965</v>
      </c>
      <c r="E524" s="22" t="s">
        <v>62</v>
      </c>
      <c r="F524" s="23" t="s">
        <v>1434</v>
      </c>
      <c r="G524" s="23" t="s">
        <v>1662</v>
      </c>
      <c r="H524" s="23" t="s">
        <v>1663</v>
      </c>
      <c r="I524" s="22" t="s">
        <v>1664</v>
      </c>
      <c r="J524" s="21" t="s">
        <v>1697</v>
      </c>
      <c r="K524" s="21"/>
      <c r="L524" s="21"/>
      <c r="N524" s="22" t="s">
        <v>1456</v>
      </c>
      <c r="O524" s="22" t="s">
        <v>1430</v>
      </c>
      <c r="P524" s="21">
        <v>71750</v>
      </c>
      <c r="Q524" s="21">
        <v>24</v>
      </c>
      <c r="R524" s="21">
        <v>5</v>
      </c>
      <c r="S524" s="21">
        <v>2.5</v>
      </c>
      <c r="T524" s="22" t="s">
        <v>330</v>
      </c>
      <c r="U524" s="21">
        <v>0.7</v>
      </c>
      <c r="V524" s="21">
        <v>0.7</v>
      </c>
      <c r="W524" s="25">
        <f t="shared" si="80"/>
        <v>550</v>
      </c>
      <c r="X524" s="25">
        <f t="shared" si="81"/>
        <v>210</v>
      </c>
      <c r="Y524" s="22">
        <v>1</v>
      </c>
      <c r="Z524" s="24">
        <f t="shared" si="82"/>
        <v>550</v>
      </c>
      <c r="AA524" s="24">
        <f t="shared" si="83"/>
        <v>210</v>
      </c>
      <c r="AB524" s="21"/>
      <c r="AC524" s="21"/>
      <c r="AD524" s="21"/>
      <c r="AF524" s="21" t="s">
        <v>247</v>
      </c>
      <c r="AG524" s="21"/>
      <c r="AH524" s="24"/>
      <c r="AI524" s="24"/>
      <c r="AJ524" s="21">
        <v>210</v>
      </c>
      <c r="AK524" s="21">
        <v>24</v>
      </c>
      <c r="AL524" s="22" t="s">
        <v>161</v>
      </c>
      <c r="AM524" s="22">
        <v>0.11</v>
      </c>
      <c r="AO524" s="22" t="s">
        <v>383</v>
      </c>
      <c r="AP524" s="22" t="s">
        <v>1432</v>
      </c>
      <c r="AQ524" s="22" t="str">
        <f t="shared" si="84"/>
        <v>Microphytoplankton</v>
      </c>
      <c r="AR524" s="22">
        <v>1</v>
      </c>
      <c r="AS524" s="22">
        <v>0</v>
      </c>
      <c r="AT524" s="22">
        <v>1</v>
      </c>
      <c r="AU524" s="22">
        <v>0</v>
      </c>
      <c r="AV524" s="22">
        <v>0</v>
      </c>
      <c r="AW524" s="22">
        <v>0</v>
      </c>
      <c r="AX524" s="22">
        <v>1</v>
      </c>
      <c r="AY524" s="22">
        <v>0</v>
      </c>
      <c r="AZ524" s="22">
        <v>0</v>
      </c>
      <c r="BA524" s="22">
        <v>4</v>
      </c>
      <c r="BB524" s="22">
        <v>5</v>
      </c>
      <c r="BC524" s="22">
        <v>1</v>
      </c>
      <c r="BD524" s="22">
        <v>0</v>
      </c>
      <c r="BE524" s="22">
        <v>0</v>
      </c>
    </row>
    <row r="525" spans="1:57">
      <c r="A525" s="21" t="s">
        <v>1698</v>
      </c>
      <c r="B525" s="22" t="s">
        <v>663</v>
      </c>
      <c r="C525" s="23" t="s">
        <v>822</v>
      </c>
      <c r="D525" s="23" t="s">
        <v>965</v>
      </c>
      <c r="E525" s="22" t="s">
        <v>62</v>
      </c>
      <c r="F525" s="23" t="s">
        <v>1434</v>
      </c>
      <c r="G525" s="23" t="s">
        <v>1662</v>
      </c>
      <c r="H525" s="23" t="s">
        <v>1663</v>
      </c>
      <c r="I525" s="22" t="s">
        <v>1664</v>
      </c>
      <c r="J525" s="21" t="s">
        <v>586</v>
      </c>
      <c r="K525" s="21"/>
      <c r="L525" s="21"/>
      <c r="N525" s="22" t="s">
        <v>1699</v>
      </c>
      <c r="O525" s="22" t="s">
        <v>1430</v>
      </c>
      <c r="P525" s="21">
        <v>71381</v>
      </c>
      <c r="Q525" s="21">
        <v>21</v>
      </c>
      <c r="R525" s="21">
        <v>5</v>
      </c>
      <c r="S525" s="21">
        <v>1.5</v>
      </c>
      <c r="T525" s="22" t="s">
        <v>330</v>
      </c>
      <c r="U525" s="21">
        <v>0.7</v>
      </c>
      <c r="V525" s="21">
        <v>0.7</v>
      </c>
      <c r="W525" s="25">
        <f t="shared" si="80"/>
        <v>411.42857142857144</v>
      </c>
      <c r="X525" s="25">
        <f t="shared" si="81"/>
        <v>110.25</v>
      </c>
      <c r="Y525" s="22">
        <v>1</v>
      </c>
      <c r="Z525" s="24">
        <f t="shared" si="82"/>
        <v>411.42857142857144</v>
      </c>
      <c r="AA525" s="24">
        <f t="shared" si="83"/>
        <v>110.25</v>
      </c>
      <c r="AB525" s="21"/>
      <c r="AC525" s="21"/>
      <c r="AD525" s="21"/>
      <c r="AF525" s="21" t="s">
        <v>247</v>
      </c>
      <c r="AG525" s="21"/>
      <c r="AH525" s="24"/>
      <c r="AI525" s="24"/>
      <c r="AJ525" s="21">
        <v>110</v>
      </c>
      <c r="AK525" s="21">
        <v>21</v>
      </c>
      <c r="AL525" s="22" t="s">
        <v>161</v>
      </c>
      <c r="AM525" s="22">
        <v>0.11</v>
      </c>
      <c r="AO525" s="22" t="s">
        <v>383</v>
      </c>
      <c r="AP525" s="22" t="s">
        <v>1432</v>
      </c>
      <c r="AQ525" s="22" t="str">
        <f t="shared" si="84"/>
        <v>Microphytoplankton</v>
      </c>
      <c r="AR525" s="22">
        <v>1</v>
      </c>
      <c r="AS525" s="22">
        <v>0</v>
      </c>
      <c r="AT525" s="22">
        <v>1</v>
      </c>
      <c r="AU525" s="22">
        <v>1</v>
      </c>
      <c r="AV525" s="22">
        <v>0</v>
      </c>
      <c r="AW525" s="22">
        <v>0</v>
      </c>
      <c r="AX525" s="22">
        <v>1</v>
      </c>
      <c r="AY525" s="22">
        <v>0</v>
      </c>
    </row>
    <row r="526" spans="1:57">
      <c r="A526" s="21" t="s">
        <v>1700</v>
      </c>
      <c r="B526" s="22" t="s">
        <v>663</v>
      </c>
      <c r="C526" s="23" t="s">
        <v>822</v>
      </c>
      <c r="D526" s="23" t="s">
        <v>965</v>
      </c>
      <c r="E526" s="22" t="s">
        <v>62</v>
      </c>
      <c r="F526" s="23" t="s">
        <v>1434</v>
      </c>
      <c r="G526" s="23" t="s">
        <v>1662</v>
      </c>
      <c r="H526" s="23" t="s">
        <v>1663</v>
      </c>
      <c r="I526" s="22" t="s">
        <v>1664</v>
      </c>
      <c r="J526" s="21" t="s">
        <v>1701</v>
      </c>
      <c r="K526" s="21"/>
      <c r="L526" s="21"/>
      <c r="N526" s="22" t="s">
        <v>1702</v>
      </c>
      <c r="O526" s="22" t="s">
        <v>1430</v>
      </c>
      <c r="P526" s="21">
        <v>71760</v>
      </c>
      <c r="Q526" s="21">
        <v>34</v>
      </c>
      <c r="R526" s="21">
        <v>10</v>
      </c>
      <c r="S526" s="21">
        <v>3.5</v>
      </c>
      <c r="T526" s="22" t="s">
        <v>330</v>
      </c>
      <c r="U526" s="21">
        <v>0.7</v>
      </c>
      <c r="V526" s="21">
        <v>0.7</v>
      </c>
      <c r="W526" s="25">
        <f t="shared" si="80"/>
        <v>1411.4285714285716</v>
      </c>
      <c r="X526" s="25">
        <f t="shared" si="81"/>
        <v>833</v>
      </c>
      <c r="Y526" s="22">
        <v>1</v>
      </c>
      <c r="Z526" s="24">
        <f t="shared" si="82"/>
        <v>1411.4285714285716</v>
      </c>
      <c r="AA526" s="24">
        <f t="shared" si="83"/>
        <v>833</v>
      </c>
      <c r="AB526" s="21"/>
      <c r="AC526" s="21"/>
      <c r="AD526" s="21"/>
      <c r="AF526" s="21" t="s">
        <v>247</v>
      </c>
      <c r="AG526" s="21"/>
      <c r="AH526" s="24"/>
      <c r="AI526" s="24"/>
      <c r="AJ526" s="21">
        <v>833</v>
      </c>
      <c r="AK526" s="21">
        <v>34</v>
      </c>
      <c r="AL526" s="22" t="s">
        <v>161</v>
      </c>
      <c r="AM526" s="22">
        <v>0.11</v>
      </c>
      <c r="AO526" s="22" t="s">
        <v>383</v>
      </c>
      <c r="AP526" s="22" t="s">
        <v>1432</v>
      </c>
      <c r="AQ526" s="22" t="str">
        <f t="shared" si="84"/>
        <v>Microphytoplankton</v>
      </c>
      <c r="AR526" s="22">
        <v>1</v>
      </c>
      <c r="AS526" s="22">
        <v>0</v>
      </c>
      <c r="AT526" s="22">
        <v>1</v>
      </c>
      <c r="AU526" s="22">
        <v>0</v>
      </c>
      <c r="AV526" s="22">
        <v>0</v>
      </c>
      <c r="AW526" s="22">
        <v>0</v>
      </c>
      <c r="AX526" s="22">
        <v>1</v>
      </c>
      <c r="AY526" s="22">
        <v>0</v>
      </c>
      <c r="AZ526" s="22">
        <v>0</v>
      </c>
      <c r="BA526" s="22">
        <v>4</v>
      </c>
      <c r="BB526" s="22">
        <v>5</v>
      </c>
      <c r="BC526" s="22">
        <v>1</v>
      </c>
      <c r="BD526" s="22">
        <v>0</v>
      </c>
      <c r="BE526" s="22">
        <v>0</v>
      </c>
    </row>
    <row r="527" spans="1:57">
      <c r="A527" s="21" t="s">
        <v>1703</v>
      </c>
      <c r="B527" s="22" t="s">
        <v>663</v>
      </c>
      <c r="C527" s="23" t="s">
        <v>822</v>
      </c>
      <c r="D527" s="23" t="s">
        <v>965</v>
      </c>
      <c r="E527" s="22" t="s">
        <v>62</v>
      </c>
      <c r="F527" s="23" t="s">
        <v>1434</v>
      </c>
      <c r="G527" s="23" t="s">
        <v>1662</v>
      </c>
      <c r="H527" s="23" t="s">
        <v>1663</v>
      </c>
      <c r="I527" s="22" t="s">
        <v>1664</v>
      </c>
      <c r="J527" s="21" t="s">
        <v>440</v>
      </c>
      <c r="K527" s="21"/>
      <c r="L527" s="21"/>
      <c r="N527" s="22" t="s">
        <v>1704</v>
      </c>
      <c r="O527" s="22" t="s">
        <v>1430</v>
      </c>
      <c r="P527" s="21">
        <v>71761</v>
      </c>
      <c r="Q527" s="21">
        <v>31</v>
      </c>
      <c r="R527" s="21">
        <v>8.5</v>
      </c>
      <c r="S527" s="21">
        <v>3.5</v>
      </c>
      <c r="T527" s="22" t="s">
        <v>330</v>
      </c>
      <c r="U527" s="21">
        <v>0.7</v>
      </c>
      <c r="V527" s="21">
        <v>0.7</v>
      </c>
      <c r="W527" s="25">
        <f t="shared" si="80"/>
        <v>1147.8571428571429</v>
      </c>
      <c r="X527" s="25">
        <f t="shared" si="81"/>
        <v>645.57499999999993</v>
      </c>
      <c r="Y527" s="22">
        <v>1</v>
      </c>
      <c r="Z527" s="24">
        <f t="shared" si="82"/>
        <v>1147.8571428571429</v>
      </c>
      <c r="AA527" s="24">
        <f t="shared" si="83"/>
        <v>645.57499999999993</v>
      </c>
      <c r="AB527" s="21"/>
      <c r="AC527" s="21"/>
      <c r="AD527" s="21"/>
      <c r="AF527" s="21" t="s">
        <v>247</v>
      </c>
      <c r="AG527" s="21"/>
      <c r="AH527" s="24"/>
      <c r="AI527" s="24"/>
      <c r="AJ527" s="21">
        <v>645.57499999999993</v>
      </c>
      <c r="AK527" s="21">
        <v>31</v>
      </c>
      <c r="AL527" s="22" t="s">
        <v>161</v>
      </c>
      <c r="AM527" s="22">
        <v>0.11</v>
      </c>
      <c r="AO527" s="22" t="s">
        <v>383</v>
      </c>
      <c r="AP527" s="22" t="s">
        <v>1432</v>
      </c>
      <c r="AQ527" s="22" t="str">
        <f t="shared" si="84"/>
        <v>Microphytoplankton</v>
      </c>
      <c r="AR527" s="22">
        <v>1</v>
      </c>
      <c r="AS527" s="22">
        <v>0</v>
      </c>
      <c r="AT527" s="22">
        <v>1</v>
      </c>
      <c r="AU527" s="22">
        <v>0</v>
      </c>
      <c r="AV527" s="22">
        <v>0</v>
      </c>
      <c r="AW527" s="22">
        <v>0</v>
      </c>
      <c r="AX527" s="22">
        <v>1</v>
      </c>
      <c r="AY527" s="22">
        <v>0</v>
      </c>
      <c r="AZ527" s="22">
        <v>0</v>
      </c>
      <c r="BA527" s="22">
        <v>4</v>
      </c>
      <c r="BB527" s="22">
        <v>5</v>
      </c>
      <c r="BC527" s="22">
        <v>1</v>
      </c>
      <c r="BD527" s="22">
        <v>0</v>
      </c>
      <c r="BE527" s="22">
        <v>0</v>
      </c>
    </row>
    <row r="528" spans="1:57">
      <c r="A528" s="21" t="s">
        <v>1705</v>
      </c>
      <c r="B528" s="22" t="s">
        <v>663</v>
      </c>
      <c r="C528" s="23" t="s">
        <v>822</v>
      </c>
      <c r="D528" s="23" t="s">
        <v>965</v>
      </c>
      <c r="E528" s="22" t="s">
        <v>62</v>
      </c>
      <c r="F528" s="23" t="s">
        <v>1434</v>
      </c>
      <c r="G528" s="23" t="s">
        <v>1662</v>
      </c>
      <c r="H528" s="23" t="s">
        <v>1663</v>
      </c>
      <c r="I528" s="22" t="s">
        <v>1664</v>
      </c>
      <c r="J528" s="21" t="s">
        <v>1706</v>
      </c>
      <c r="K528" s="21"/>
      <c r="L528" s="21"/>
      <c r="N528" s="22" t="s">
        <v>1707</v>
      </c>
      <c r="O528" s="22" t="s">
        <v>1430</v>
      </c>
      <c r="P528" s="21">
        <v>71730</v>
      </c>
      <c r="Q528" s="22">
        <v>60</v>
      </c>
      <c r="R528" s="22">
        <v>16</v>
      </c>
      <c r="S528" s="22">
        <v>10</v>
      </c>
      <c r="T528" s="22" t="s">
        <v>330</v>
      </c>
      <c r="U528" s="22">
        <v>0.7</v>
      </c>
      <c r="V528" s="21">
        <v>0.7</v>
      </c>
      <c r="W528" s="25">
        <f t="shared" si="80"/>
        <v>4914.2857142857147</v>
      </c>
      <c r="X528" s="25">
        <f t="shared" si="81"/>
        <v>6720</v>
      </c>
      <c r="Y528" s="22">
        <v>1</v>
      </c>
      <c r="Z528" s="24">
        <f t="shared" si="82"/>
        <v>4914.2857142857147</v>
      </c>
      <c r="AA528" s="24">
        <f t="shared" si="83"/>
        <v>6720</v>
      </c>
      <c r="AF528" s="21" t="s">
        <v>247</v>
      </c>
      <c r="AJ528" s="21">
        <v>6720</v>
      </c>
      <c r="AK528" s="21">
        <v>60</v>
      </c>
      <c r="AL528" s="22" t="s">
        <v>161</v>
      </c>
      <c r="AM528" s="22">
        <v>0.11</v>
      </c>
      <c r="AO528" s="22" t="s">
        <v>383</v>
      </c>
      <c r="AP528" s="22" t="s">
        <v>1432</v>
      </c>
      <c r="AQ528" s="22" t="str">
        <f t="shared" si="84"/>
        <v>Microphytoplankton</v>
      </c>
      <c r="AR528" s="22">
        <v>1</v>
      </c>
      <c r="AS528" s="22">
        <v>0</v>
      </c>
      <c r="AT528" s="22">
        <v>1</v>
      </c>
      <c r="AU528" s="22">
        <v>1</v>
      </c>
      <c r="AV528" s="22">
        <v>0</v>
      </c>
      <c r="AW528" s="22">
        <v>0</v>
      </c>
      <c r="AX528" s="22">
        <v>1</v>
      </c>
      <c r="AY528" s="22">
        <v>0</v>
      </c>
      <c r="AZ528" s="22">
        <v>0</v>
      </c>
      <c r="BA528" s="22">
        <v>4</v>
      </c>
      <c r="BB528" s="22">
        <v>5</v>
      </c>
      <c r="BC528" s="22">
        <v>1</v>
      </c>
      <c r="BD528" s="22">
        <v>0</v>
      </c>
      <c r="BE528" s="22">
        <v>0</v>
      </c>
    </row>
    <row r="529" spans="1:57">
      <c r="A529" s="21" t="s">
        <v>1708</v>
      </c>
      <c r="B529" s="22" t="s">
        <v>663</v>
      </c>
      <c r="C529" s="23" t="s">
        <v>822</v>
      </c>
      <c r="D529" s="23" t="s">
        <v>965</v>
      </c>
      <c r="E529" s="22" t="s">
        <v>62</v>
      </c>
      <c r="F529" s="23" t="s">
        <v>1434</v>
      </c>
      <c r="G529" s="23" t="s">
        <v>1662</v>
      </c>
      <c r="H529" s="23" t="s">
        <v>1663</v>
      </c>
      <c r="I529" s="22" t="s">
        <v>1664</v>
      </c>
      <c r="J529" s="21" t="s">
        <v>211</v>
      </c>
      <c r="K529" s="21"/>
      <c r="L529" s="21"/>
      <c r="M529" s="22" t="s">
        <v>1</v>
      </c>
      <c r="N529" s="22" t="s">
        <v>1709</v>
      </c>
      <c r="O529" s="22" t="s">
        <v>1430</v>
      </c>
      <c r="P529" s="21">
        <v>71700</v>
      </c>
      <c r="Q529" s="21">
        <v>40</v>
      </c>
      <c r="R529" s="21">
        <v>18</v>
      </c>
      <c r="S529" s="21">
        <v>6</v>
      </c>
      <c r="T529" s="22" t="s">
        <v>330</v>
      </c>
      <c r="U529" s="21">
        <v>0.7</v>
      </c>
      <c r="V529" s="21">
        <v>0.7</v>
      </c>
      <c r="W529" s="25">
        <f t="shared" si="80"/>
        <v>3051.4285714285716</v>
      </c>
      <c r="X529" s="25">
        <f t="shared" si="81"/>
        <v>3024</v>
      </c>
      <c r="Y529" s="22">
        <v>1</v>
      </c>
      <c r="Z529" s="24">
        <f t="shared" si="82"/>
        <v>3051.4285714285716</v>
      </c>
      <c r="AA529" s="24">
        <f t="shared" si="83"/>
        <v>3024</v>
      </c>
      <c r="AB529" s="21"/>
      <c r="AC529" s="21"/>
      <c r="AD529" s="21"/>
      <c r="AF529" s="21" t="s">
        <v>247</v>
      </c>
      <c r="AG529" s="21"/>
      <c r="AH529" s="24"/>
      <c r="AI529" s="24"/>
      <c r="AJ529" s="21">
        <v>3024</v>
      </c>
      <c r="AK529" s="21">
        <v>40</v>
      </c>
      <c r="AL529" s="22" t="s">
        <v>161</v>
      </c>
      <c r="AM529" s="22">
        <v>0.11</v>
      </c>
      <c r="AO529" s="22" t="s">
        <v>383</v>
      </c>
      <c r="AP529" s="22" t="s">
        <v>1432</v>
      </c>
      <c r="AQ529" s="22" t="str">
        <f t="shared" si="84"/>
        <v>Microphytoplankton</v>
      </c>
      <c r="AR529" s="22">
        <v>1</v>
      </c>
      <c r="AS529" s="22">
        <v>0</v>
      </c>
      <c r="AT529" s="22">
        <v>1</v>
      </c>
      <c r="AU529" s="22">
        <v>1</v>
      </c>
      <c r="AV529" s="22">
        <v>0</v>
      </c>
      <c r="AW529" s="22">
        <v>0</v>
      </c>
      <c r="AX529" s="22">
        <v>1</v>
      </c>
      <c r="AY529" s="22">
        <v>0</v>
      </c>
      <c r="AZ529" s="22">
        <v>0</v>
      </c>
      <c r="BA529" s="22">
        <v>4</v>
      </c>
      <c r="BB529" s="22">
        <v>5</v>
      </c>
      <c r="BC529" s="22">
        <v>1</v>
      </c>
      <c r="BD529" s="22">
        <v>0</v>
      </c>
      <c r="BE529" s="22">
        <v>0</v>
      </c>
    </row>
    <row r="530" spans="1:57">
      <c r="A530" s="21" t="s">
        <v>1710</v>
      </c>
      <c r="B530" s="22" t="s">
        <v>663</v>
      </c>
      <c r="C530" s="23" t="s">
        <v>822</v>
      </c>
      <c r="D530" s="23" t="s">
        <v>965</v>
      </c>
      <c r="E530" s="22" t="s">
        <v>62</v>
      </c>
      <c r="F530" s="23" t="s">
        <v>1434</v>
      </c>
      <c r="G530" s="23" t="s">
        <v>1662</v>
      </c>
      <c r="H530" s="23" t="s">
        <v>1663</v>
      </c>
      <c r="I530" s="22" t="s">
        <v>1664</v>
      </c>
      <c r="J530" s="21" t="s">
        <v>1711</v>
      </c>
      <c r="K530" s="21"/>
      <c r="L530" s="21"/>
      <c r="N530" s="22" t="s">
        <v>1712</v>
      </c>
      <c r="O530" s="22" t="s">
        <v>1430</v>
      </c>
      <c r="P530" s="21">
        <v>71710</v>
      </c>
      <c r="Q530" s="21">
        <v>20</v>
      </c>
      <c r="R530" s="21">
        <v>7</v>
      </c>
      <c r="S530" s="21">
        <v>2.5</v>
      </c>
      <c r="T530" s="22" t="s">
        <v>330</v>
      </c>
      <c r="U530" s="21">
        <v>0.6</v>
      </c>
      <c r="V530" s="21">
        <v>0.6</v>
      </c>
      <c r="W530" s="25">
        <f t="shared" si="80"/>
        <v>691.66666666666674</v>
      </c>
      <c r="X530" s="25">
        <f t="shared" si="81"/>
        <v>210</v>
      </c>
      <c r="Y530" s="22">
        <v>1</v>
      </c>
      <c r="Z530" s="24">
        <f t="shared" si="82"/>
        <v>691.66666666666674</v>
      </c>
      <c r="AA530" s="24">
        <f t="shared" si="83"/>
        <v>210</v>
      </c>
      <c r="AB530" s="21"/>
      <c r="AC530" s="21"/>
      <c r="AD530" s="21"/>
      <c r="AF530" s="21" t="s">
        <v>247</v>
      </c>
      <c r="AG530" s="21"/>
      <c r="AH530" s="24"/>
      <c r="AI530" s="24"/>
      <c r="AJ530" s="21">
        <v>210</v>
      </c>
      <c r="AK530" s="21">
        <v>20</v>
      </c>
      <c r="AL530" s="22" t="s">
        <v>161</v>
      </c>
      <c r="AM530" s="22">
        <v>0.11</v>
      </c>
      <c r="AO530" s="22" t="s">
        <v>383</v>
      </c>
      <c r="AP530" s="22" t="s">
        <v>1432</v>
      </c>
      <c r="AQ530" s="22" t="str">
        <f t="shared" si="84"/>
        <v>Microphytoplankton</v>
      </c>
      <c r="AR530" s="22">
        <v>1</v>
      </c>
      <c r="AS530" s="22">
        <v>0</v>
      </c>
      <c r="AT530" s="22">
        <v>1</v>
      </c>
      <c r="AU530" s="22">
        <v>1</v>
      </c>
      <c r="AV530" s="22">
        <v>0</v>
      </c>
      <c r="AW530" s="22">
        <v>0</v>
      </c>
      <c r="AX530" s="22">
        <v>1</v>
      </c>
      <c r="AY530" s="22">
        <v>0</v>
      </c>
    </row>
    <row r="531" spans="1:57">
      <c r="A531" s="21" t="s">
        <v>1713</v>
      </c>
      <c r="B531" s="22" t="s">
        <v>663</v>
      </c>
      <c r="C531" s="23" t="s">
        <v>822</v>
      </c>
      <c r="D531" s="23" t="s">
        <v>965</v>
      </c>
      <c r="E531" s="22" t="s">
        <v>62</v>
      </c>
      <c r="F531" s="23" t="s">
        <v>1434</v>
      </c>
      <c r="G531" s="23" t="s">
        <v>1662</v>
      </c>
      <c r="H531" s="23" t="s">
        <v>1663</v>
      </c>
      <c r="I531" s="22" t="s">
        <v>1714</v>
      </c>
      <c r="J531" s="22" t="s">
        <v>1692</v>
      </c>
      <c r="N531" s="22" t="s">
        <v>1715</v>
      </c>
      <c r="O531" s="22" t="s">
        <v>1430</v>
      </c>
      <c r="P531" s="21">
        <v>71801</v>
      </c>
      <c r="Q531" s="21">
        <v>53</v>
      </c>
      <c r="R531" s="21">
        <v>17</v>
      </c>
      <c r="S531" s="21">
        <v>6</v>
      </c>
      <c r="T531" s="22" t="s">
        <v>330</v>
      </c>
      <c r="U531" s="21">
        <v>0.7</v>
      </c>
      <c r="V531" s="21">
        <v>0.7</v>
      </c>
      <c r="W531" s="25">
        <f t="shared" si="80"/>
        <v>3774.2857142857147</v>
      </c>
      <c r="X531" s="25">
        <f t="shared" si="81"/>
        <v>3784.2</v>
      </c>
      <c r="Y531" s="22">
        <v>1</v>
      </c>
      <c r="Z531" s="24">
        <f t="shared" si="82"/>
        <v>3774.2857142857147</v>
      </c>
      <c r="AA531" s="24">
        <f t="shared" si="83"/>
        <v>3784.2</v>
      </c>
      <c r="AB531" s="21"/>
      <c r="AC531" s="21"/>
      <c r="AD531" s="21"/>
      <c r="AF531" s="21" t="s">
        <v>247</v>
      </c>
      <c r="AG531" s="21"/>
      <c r="AH531" s="24"/>
      <c r="AI531" s="24"/>
      <c r="AJ531" s="21">
        <v>3784.2</v>
      </c>
      <c r="AK531" s="21">
        <v>53</v>
      </c>
      <c r="AL531" s="22" t="s">
        <v>161</v>
      </c>
      <c r="AM531" s="22">
        <v>0.11</v>
      </c>
      <c r="AO531" s="22" t="s">
        <v>383</v>
      </c>
      <c r="AP531" s="22" t="s">
        <v>1432</v>
      </c>
      <c r="AQ531" s="22" t="str">
        <f t="shared" si="84"/>
        <v>Microphytoplankton</v>
      </c>
      <c r="AR531" s="22">
        <v>1</v>
      </c>
      <c r="AS531" s="22">
        <v>0</v>
      </c>
      <c r="AT531" s="22">
        <v>1</v>
      </c>
      <c r="AU531" s="22">
        <v>0</v>
      </c>
      <c r="AV531" s="22">
        <v>0</v>
      </c>
      <c r="AW531" s="22">
        <v>0</v>
      </c>
      <c r="AX531" s="22">
        <v>1</v>
      </c>
      <c r="AY531" s="22">
        <v>0</v>
      </c>
    </row>
    <row r="532" spans="1:57">
      <c r="A532" s="21" t="s">
        <v>1716</v>
      </c>
      <c r="B532" s="22" t="s">
        <v>663</v>
      </c>
      <c r="C532" s="23" t="s">
        <v>822</v>
      </c>
      <c r="D532" s="23" t="s">
        <v>965</v>
      </c>
      <c r="E532" s="22" t="s">
        <v>62</v>
      </c>
      <c r="F532" s="23" t="s">
        <v>1434</v>
      </c>
      <c r="G532" s="23" t="s">
        <v>1662</v>
      </c>
      <c r="H532" s="23" t="s">
        <v>1663</v>
      </c>
      <c r="I532" s="22" t="s">
        <v>1714</v>
      </c>
      <c r="J532" s="22" t="s">
        <v>1717</v>
      </c>
      <c r="N532" s="22" t="s">
        <v>1485</v>
      </c>
      <c r="O532" s="22" t="s">
        <v>1430</v>
      </c>
      <c r="P532" s="21">
        <v>71802</v>
      </c>
      <c r="Q532" s="21">
        <v>35</v>
      </c>
      <c r="R532" s="21">
        <v>7</v>
      </c>
      <c r="S532" s="21">
        <v>6</v>
      </c>
      <c r="T532" s="22" t="s">
        <v>330</v>
      </c>
      <c r="U532" s="21">
        <v>0.7</v>
      </c>
      <c r="V532" s="21">
        <v>0.7</v>
      </c>
      <c r="W532" s="25">
        <f t="shared" si="80"/>
        <v>1420</v>
      </c>
      <c r="X532" s="25">
        <f t="shared" si="81"/>
        <v>1029</v>
      </c>
      <c r="Y532" s="22">
        <v>1</v>
      </c>
      <c r="Z532" s="24">
        <f t="shared" si="82"/>
        <v>1420</v>
      </c>
      <c r="AA532" s="24">
        <f t="shared" si="83"/>
        <v>1029</v>
      </c>
      <c r="AB532" s="21"/>
      <c r="AC532" s="21"/>
      <c r="AD532" s="21"/>
      <c r="AF532" s="21" t="s">
        <v>247</v>
      </c>
      <c r="AG532" s="21"/>
      <c r="AH532" s="24"/>
      <c r="AI532" s="24"/>
      <c r="AJ532" s="21">
        <v>1029</v>
      </c>
      <c r="AK532" s="21">
        <v>35</v>
      </c>
      <c r="AL532" s="22" t="s">
        <v>161</v>
      </c>
      <c r="AM532" s="22">
        <v>0.11</v>
      </c>
      <c r="AO532" s="22" t="s">
        <v>383</v>
      </c>
      <c r="AP532" s="22" t="s">
        <v>1432</v>
      </c>
      <c r="AQ532" s="22" t="str">
        <f t="shared" si="84"/>
        <v>Microphytoplankton</v>
      </c>
      <c r="AR532" s="22">
        <v>1</v>
      </c>
      <c r="AS532" s="22">
        <v>0</v>
      </c>
      <c r="AT532" s="22">
        <v>1</v>
      </c>
      <c r="AU532" s="22">
        <v>0</v>
      </c>
      <c r="AV532" s="22">
        <v>0</v>
      </c>
      <c r="AW532" s="22">
        <v>0</v>
      </c>
      <c r="AX532" s="22">
        <v>1</v>
      </c>
      <c r="AY532" s="22">
        <v>0</v>
      </c>
    </row>
    <row r="533" spans="1:57">
      <c r="A533" s="21" t="s">
        <v>1718</v>
      </c>
      <c r="B533" s="22" t="s">
        <v>663</v>
      </c>
      <c r="C533" s="23" t="s">
        <v>822</v>
      </c>
      <c r="D533" s="23" t="s">
        <v>965</v>
      </c>
      <c r="E533" s="22" t="s">
        <v>62</v>
      </c>
      <c r="F533" s="23" t="s">
        <v>1434</v>
      </c>
      <c r="G533" s="23" t="s">
        <v>1719</v>
      </c>
      <c r="H533" s="23" t="s">
        <v>1720</v>
      </c>
      <c r="I533" s="22" t="s">
        <v>1721</v>
      </c>
      <c r="J533" s="22" t="s">
        <v>185</v>
      </c>
      <c r="N533" s="22" t="s">
        <v>413</v>
      </c>
      <c r="O533" s="22" t="s">
        <v>1430</v>
      </c>
      <c r="P533" s="22">
        <v>73040</v>
      </c>
      <c r="Q533" s="21">
        <v>30</v>
      </c>
      <c r="R533" s="21">
        <v>5</v>
      </c>
      <c r="S533" s="21">
        <v>5</v>
      </c>
      <c r="T533" s="22" t="s">
        <v>330</v>
      </c>
      <c r="U533" s="21">
        <v>0.6</v>
      </c>
      <c r="V533" s="21">
        <v>0.6</v>
      </c>
      <c r="W533" s="25">
        <f t="shared" si="80"/>
        <v>1083.3333333333335</v>
      </c>
      <c r="X533" s="25">
        <f t="shared" si="81"/>
        <v>450</v>
      </c>
      <c r="Y533" s="22">
        <v>1</v>
      </c>
      <c r="Z533" s="24">
        <f t="shared" si="82"/>
        <v>1083.3333333333335</v>
      </c>
      <c r="AA533" s="24">
        <f t="shared" si="83"/>
        <v>450</v>
      </c>
      <c r="AB533" s="21"/>
      <c r="AC533" s="21"/>
      <c r="AD533" s="21"/>
      <c r="AF533" s="21" t="s">
        <v>247</v>
      </c>
      <c r="AG533" s="21"/>
      <c r="AH533" s="24"/>
      <c r="AI533" s="24"/>
      <c r="AJ533" s="21">
        <v>450</v>
      </c>
      <c r="AK533" s="21">
        <v>30</v>
      </c>
      <c r="AL533" s="22" t="s">
        <v>161</v>
      </c>
      <c r="AM533" s="22">
        <v>0.11</v>
      </c>
      <c r="AO533" s="22" t="s">
        <v>1447</v>
      </c>
      <c r="AP533" s="22" t="s">
        <v>1432</v>
      </c>
      <c r="AQ533" s="22" t="str">
        <f t="shared" si="84"/>
        <v>Microphytoplankton</v>
      </c>
      <c r="AR533" s="22">
        <v>1</v>
      </c>
      <c r="AS533" s="22">
        <v>0</v>
      </c>
      <c r="AT533" s="22">
        <v>1</v>
      </c>
      <c r="AU533" s="22">
        <v>0</v>
      </c>
      <c r="AV533" s="22">
        <v>0</v>
      </c>
      <c r="AW533" s="22">
        <v>0</v>
      </c>
      <c r="AX533" s="22">
        <v>1</v>
      </c>
      <c r="AY533" s="22">
        <v>0</v>
      </c>
    </row>
    <row r="534" spans="1:57">
      <c r="A534" s="21" t="s">
        <v>1722</v>
      </c>
      <c r="B534" s="22" t="s">
        <v>663</v>
      </c>
      <c r="C534" s="23" t="s">
        <v>822</v>
      </c>
      <c r="D534" s="23" t="s">
        <v>965</v>
      </c>
      <c r="E534" s="22" t="s">
        <v>62</v>
      </c>
      <c r="F534" s="23" t="s">
        <v>1499</v>
      </c>
      <c r="G534" s="23" t="s">
        <v>1500</v>
      </c>
      <c r="H534" s="23" t="s">
        <v>1501</v>
      </c>
      <c r="I534" s="22" t="s">
        <v>1723</v>
      </c>
      <c r="J534" s="22" t="s">
        <v>1680</v>
      </c>
      <c r="N534" s="22" t="s">
        <v>413</v>
      </c>
      <c r="O534" s="22" t="s">
        <v>1430</v>
      </c>
      <c r="P534" s="21">
        <v>70430</v>
      </c>
      <c r="Q534" s="21">
        <v>80</v>
      </c>
      <c r="R534" s="21">
        <v>10</v>
      </c>
      <c r="S534" s="21">
        <v>10</v>
      </c>
      <c r="T534" s="22" t="s">
        <v>330</v>
      </c>
      <c r="U534" s="21">
        <v>0.9</v>
      </c>
      <c r="V534" s="21">
        <v>0.9</v>
      </c>
      <c r="W534" s="25">
        <f t="shared" si="80"/>
        <v>3777.7777777777778</v>
      </c>
      <c r="X534" s="25">
        <f t="shared" si="81"/>
        <v>7200</v>
      </c>
      <c r="Y534" s="22">
        <v>1</v>
      </c>
      <c r="Z534" s="24">
        <f t="shared" si="82"/>
        <v>3777.7777777777778</v>
      </c>
      <c r="AA534" s="24">
        <f t="shared" si="83"/>
        <v>7200</v>
      </c>
      <c r="AB534" s="21"/>
      <c r="AC534" s="21"/>
      <c r="AD534" s="21"/>
      <c r="AF534" s="21" t="s">
        <v>247</v>
      </c>
      <c r="AG534" s="21"/>
      <c r="AH534" s="24"/>
      <c r="AI534" s="24"/>
      <c r="AJ534" s="21">
        <v>7200</v>
      </c>
      <c r="AK534" s="21">
        <v>100</v>
      </c>
      <c r="AL534" s="22" t="s">
        <v>161</v>
      </c>
      <c r="AM534" s="22">
        <v>0.11</v>
      </c>
      <c r="AO534" s="22" t="s">
        <v>383</v>
      </c>
      <c r="AP534" s="22" t="s">
        <v>1432</v>
      </c>
      <c r="AQ534" s="22" t="str">
        <f t="shared" si="84"/>
        <v>Microphytoplankton</v>
      </c>
      <c r="AR534" s="22">
        <v>0</v>
      </c>
      <c r="AS534" s="22">
        <v>0</v>
      </c>
      <c r="AT534" s="22">
        <v>0</v>
      </c>
      <c r="AU534" s="22">
        <v>1</v>
      </c>
      <c r="AV534" s="22">
        <v>0</v>
      </c>
      <c r="AW534" s="22">
        <v>0</v>
      </c>
      <c r="AX534" s="22">
        <v>1</v>
      </c>
      <c r="AY534" s="22">
        <v>0</v>
      </c>
    </row>
    <row r="535" spans="1:57">
      <c r="A535" s="22" t="s">
        <v>1724</v>
      </c>
      <c r="B535" s="22" t="s">
        <v>663</v>
      </c>
      <c r="C535" s="23" t="s">
        <v>822</v>
      </c>
      <c r="D535" s="23" t="s">
        <v>965</v>
      </c>
      <c r="E535" s="22" t="s">
        <v>62</v>
      </c>
      <c r="F535" s="23" t="s">
        <v>1499</v>
      </c>
      <c r="G535" s="23" t="s">
        <v>1500</v>
      </c>
      <c r="H535" s="23" t="s">
        <v>1501</v>
      </c>
      <c r="I535" s="22" t="s">
        <v>1723</v>
      </c>
      <c r="J535" s="22" t="s">
        <v>1725</v>
      </c>
      <c r="N535" s="22" t="s">
        <v>1726</v>
      </c>
      <c r="O535" s="22" t="s">
        <v>1430</v>
      </c>
      <c r="P535" s="21">
        <v>70431</v>
      </c>
      <c r="Q535" s="22">
        <v>71</v>
      </c>
      <c r="R535" s="22">
        <v>3.5</v>
      </c>
      <c r="S535" s="22">
        <v>2.75</v>
      </c>
      <c r="T535" s="22" t="s">
        <v>330</v>
      </c>
      <c r="U535" s="22">
        <v>0.9</v>
      </c>
      <c r="V535" s="21">
        <v>0.9</v>
      </c>
      <c r="W535" s="25">
        <f t="shared" si="80"/>
        <v>1007.5</v>
      </c>
      <c r="X535" s="25">
        <f t="shared" si="81"/>
        <v>615.03750000000002</v>
      </c>
      <c r="Y535" s="22">
        <v>1</v>
      </c>
      <c r="Z535" s="24">
        <f t="shared" si="82"/>
        <v>1007.5</v>
      </c>
      <c r="AA535" s="24">
        <f t="shared" si="83"/>
        <v>615.03750000000002</v>
      </c>
      <c r="AF535" s="21" t="s">
        <v>247</v>
      </c>
      <c r="AJ535" s="21">
        <v>615</v>
      </c>
      <c r="AK535" s="21">
        <v>71</v>
      </c>
      <c r="AL535" s="22" t="s">
        <v>161</v>
      </c>
      <c r="AM535" s="22">
        <v>0.11</v>
      </c>
      <c r="AO535" s="22" t="s">
        <v>1517</v>
      </c>
      <c r="AP535" s="22" t="s">
        <v>1432</v>
      </c>
      <c r="AQ535" s="22" t="str">
        <f t="shared" si="84"/>
        <v>Microphytoplankton</v>
      </c>
      <c r="AR535" s="22">
        <v>0</v>
      </c>
      <c r="AS535" s="22">
        <v>0</v>
      </c>
      <c r="AT535" s="22">
        <v>0</v>
      </c>
      <c r="AU535" s="22">
        <v>1</v>
      </c>
      <c r="AV535" s="22">
        <v>0</v>
      </c>
      <c r="AW535" s="22">
        <v>0</v>
      </c>
      <c r="AX535" s="22">
        <v>1</v>
      </c>
      <c r="AY535" s="22">
        <v>0</v>
      </c>
    </row>
    <row r="536" spans="1:57">
      <c r="A536" s="21" t="s">
        <v>1727</v>
      </c>
      <c r="B536" s="22" t="s">
        <v>663</v>
      </c>
      <c r="C536" s="23" t="s">
        <v>822</v>
      </c>
      <c r="D536" s="23" t="s">
        <v>965</v>
      </c>
      <c r="E536" s="22" t="s">
        <v>62</v>
      </c>
      <c r="F536" s="23" t="s">
        <v>1499</v>
      </c>
      <c r="G536" s="23" t="s">
        <v>1500</v>
      </c>
      <c r="H536" s="23" t="s">
        <v>1501</v>
      </c>
      <c r="I536" s="22" t="s">
        <v>1723</v>
      </c>
      <c r="J536" s="22" t="s">
        <v>1728</v>
      </c>
      <c r="N536" s="22" t="s">
        <v>486</v>
      </c>
      <c r="O536" s="22" t="s">
        <v>1430</v>
      </c>
      <c r="P536" s="21">
        <v>70450</v>
      </c>
      <c r="Q536" s="21">
        <v>30</v>
      </c>
      <c r="R536" s="21">
        <v>10</v>
      </c>
      <c r="S536" s="21">
        <v>3</v>
      </c>
      <c r="T536" s="22" t="s">
        <v>330</v>
      </c>
      <c r="U536" s="21">
        <v>1</v>
      </c>
      <c r="V536" s="22">
        <v>1</v>
      </c>
      <c r="W536" s="25">
        <f t="shared" si="80"/>
        <v>840</v>
      </c>
      <c r="X536" s="25">
        <f t="shared" si="81"/>
        <v>900</v>
      </c>
      <c r="Y536" s="21">
        <v>1</v>
      </c>
      <c r="Z536" s="24">
        <f t="shared" si="82"/>
        <v>840</v>
      </c>
      <c r="AA536" s="24">
        <f t="shared" si="83"/>
        <v>900</v>
      </c>
      <c r="AB536" s="21"/>
      <c r="AC536" s="21"/>
      <c r="AD536" s="21"/>
      <c r="AE536" s="21"/>
      <c r="AF536" s="21" t="s">
        <v>247</v>
      </c>
      <c r="AG536" s="21"/>
      <c r="AH536" s="24"/>
      <c r="AI536" s="24"/>
      <c r="AJ536" s="21">
        <v>900</v>
      </c>
      <c r="AK536" s="21">
        <v>30</v>
      </c>
      <c r="AL536" s="22" t="s">
        <v>161</v>
      </c>
      <c r="AM536" s="22">
        <v>0.11</v>
      </c>
      <c r="AO536" s="22" t="s">
        <v>383</v>
      </c>
      <c r="AP536" s="22" t="s">
        <v>1432</v>
      </c>
      <c r="AQ536" s="22" t="str">
        <f t="shared" si="84"/>
        <v>Microphytoplankton</v>
      </c>
      <c r="AR536" s="22">
        <v>0</v>
      </c>
      <c r="AS536" s="22">
        <v>0</v>
      </c>
      <c r="AT536" s="22">
        <v>0</v>
      </c>
      <c r="AU536" s="22">
        <v>1</v>
      </c>
      <c r="AV536" s="22">
        <v>0</v>
      </c>
      <c r="AW536" s="22">
        <v>0</v>
      </c>
      <c r="AX536" s="22">
        <v>1</v>
      </c>
      <c r="AY536" s="22">
        <v>0</v>
      </c>
    </row>
    <row r="537" spans="1:57">
      <c r="A537" s="22" t="s">
        <v>1729</v>
      </c>
      <c r="B537" s="22" t="s">
        <v>663</v>
      </c>
      <c r="C537" s="23" t="s">
        <v>822</v>
      </c>
      <c r="D537" s="23" t="s">
        <v>965</v>
      </c>
      <c r="E537" s="22" t="s">
        <v>62</v>
      </c>
      <c r="F537" s="23" t="s">
        <v>1499</v>
      </c>
      <c r="G537" s="23" t="s">
        <v>1500</v>
      </c>
      <c r="H537" s="23" t="s">
        <v>1501</v>
      </c>
      <c r="I537" s="22" t="s">
        <v>1723</v>
      </c>
      <c r="J537" s="22" t="s">
        <v>1730</v>
      </c>
      <c r="N537" s="22" t="s">
        <v>413</v>
      </c>
      <c r="O537" s="22" t="s">
        <v>1430</v>
      </c>
      <c r="P537" s="22">
        <v>70440</v>
      </c>
      <c r="Q537" s="22">
        <v>18</v>
      </c>
      <c r="R537" s="22">
        <v>5.4</v>
      </c>
      <c r="S537" s="22">
        <v>5.4</v>
      </c>
      <c r="T537" s="22" t="s">
        <v>330</v>
      </c>
      <c r="U537" s="21">
        <v>1</v>
      </c>
      <c r="V537" s="22">
        <v>1</v>
      </c>
      <c r="W537" s="25">
        <f t="shared" si="80"/>
        <v>447.12</v>
      </c>
      <c r="X537" s="25">
        <f t="shared" si="81"/>
        <v>524.88</v>
      </c>
      <c r="Y537" s="22">
        <v>1</v>
      </c>
      <c r="Z537" s="24">
        <f t="shared" si="82"/>
        <v>447.12</v>
      </c>
      <c r="AA537" s="24">
        <f t="shared" si="83"/>
        <v>524.88</v>
      </c>
      <c r="AF537" s="21" t="s">
        <v>247</v>
      </c>
      <c r="AJ537" s="21">
        <v>524.9</v>
      </c>
      <c r="AK537" s="21">
        <v>18</v>
      </c>
      <c r="AL537" s="22" t="s">
        <v>161</v>
      </c>
      <c r="AM537" s="22">
        <v>0.11</v>
      </c>
      <c r="AO537" s="22" t="s">
        <v>383</v>
      </c>
      <c r="AP537" s="22" t="s">
        <v>1432</v>
      </c>
      <c r="AQ537" s="22" t="str">
        <f t="shared" si="84"/>
        <v>Nanophytoplankton</v>
      </c>
      <c r="AR537" s="22">
        <v>0</v>
      </c>
      <c r="AS537" s="22">
        <v>0</v>
      </c>
      <c r="AT537" s="22">
        <v>0</v>
      </c>
      <c r="AU537" s="22">
        <v>1</v>
      </c>
      <c r="AV537" s="22">
        <v>0</v>
      </c>
      <c r="AW537" s="22">
        <v>0</v>
      </c>
      <c r="AX537" s="22">
        <v>1</v>
      </c>
      <c r="AY537" s="22">
        <v>0</v>
      </c>
    </row>
    <row r="538" spans="1:57">
      <c r="A538" s="21" t="s">
        <v>1731</v>
      </c>
      <c r="B538" s="22" t="s">
        <v>663</v>
      </c>
      <c r="C538" s="23" t="s">
        <v>822</v>
      </c>
      <c r="D538" s="23" t="s">
        <v>965</v>
      </c>
      <c r="E538" s="22" t="s">
        <v>62</v>
      </c>
      <c r="F538" s="23" t="s">
        <v>1499</v>
      </c>
      <c r="G538" s="23" t="s">
        <v>1500</v>
      </c>
      <c r="H538" s="23" t="s">
        <v>1501</v>
      </c>
      <c r="I538" s="22" t="s">
        <v>1723</v>
      </c>
      <c r="J538" s="22" t="s">
        <v>185</v>
      </c>
      <c r="N538" s="22" t="s">
        <v>475</v>
      </c>
      <c r="O538" s="22" t="s">
        <v>1430</v>
      </c>
      <c r="P538" s="21">
        <v>70410</v>
      </c>
      <c r="Q538" s="21">
        <v>115</v>
      </c>
      <c r="R538" s="21">
        <v>3</v>
      </c>
      <c r="S538" s="21">
        <v>3</v>
      </c>
      <c r="T538" s="22" t="s">
        <v>330</v>
      </c>
      <c r="U538" s="21">
        <v>1</v>
      </c>
      <c r="V538" s="22">
        <v>1</v>
      </c>
      <c r="W538" s="25">
        <f t="shared" si="80"/>
        <v>1398</v>
      </c>
      <c r="X538" s="25">
        <f t="shared" si="81"/>
        <v>1035</v>
      </c>
      <c r="Y538" s="21">
        <v>1</v>
      </c>
      <c r="Z538" s="24">
        <f t="shared" si="82"/>
        <v>1398</v>
      </c>
      <c r="AA538" s="24">
        <f t="shared" si="83"/>
        <v>1035</v>
      </c>
      <c r="AB538" s="21"/>
      <c r="AC538" s="21"/>
      <c r="AD538" s="21"/>
      <c r="AE538" s="21"/>
      <c r="AF538" s="21" t="s">
        <v>247</v>
      </c>
      <c r="AG538" s="21"/>
      <c r="AH538" s="24"/>
      <c r="AI538" s="24"/>
      <c r="AJ538" s="21">
        <v>1035</v>
      </c>
      <c r="AK538" s="21">
        <v>115</v>
      </c>
      <c r="AL538" s="22" t="s">
        <v>161</v>
      </c>
      <c r="AM538" s="22">
        <v>0.11</v>
      </c>
      <c r="AO538" s="22" t="s">
        <v>1517</v>
      </c>
      <c r="AP538" s="22" t="s">
        <v>1432</v>
      </c>
      <c r="AQ538" s="22" t="str">
        <f t="shared" si="84"/>
        <v>Microphytoplankton</v>
      </c>
      <c r="AR538" s="22">
        <v>0</v>
      </c>
      <c r="AS538" s="22">
        <v>0</v>
      </c>
      <c r="AT538" s="22">
        <v>0</v>
      </c>
      <c r="AU538" s="22">
        <v>1</v>
      </c>
      <c r="AV538" s="22">
        <v>0</v>
      </c>
      <c r="AW538" s="22">
        <v>0</v>
      </c>
      <c r="AX538" s="22">
        <v>1</v>
      </c>
      <c r="AY538" s="22">
        <v>0</v>
      </c>
    </row>
    <row r="539" spans="1:57">
      <c r="A539" s="21" t="s">
        <v>1732</v>
      </c>
      <c r="B539" s="22" t="s">
        <v>663</v>
      </c>
      <c r="C539" s="23" t="s">
        <v>822</v>
      </c>
      <c r="D539" s="23" t="s">
        <v>965</v>
      </c>
      <c r="E539" s="22" t="s">
        <v>62</v>
      </c>
      <c r="F539" s="23" t="s">
        <v>1499</v>
      </c>
      <c r="G539" s="23" t="s">
        <v>1500</v>
      </c>
      <c r="H539" s="23" t="s">
        <v>1501</v>
      </c>
      <c r="I539" s="22" t="s">
        <v>1723</v>
      </c>
      <c r="J539" s="22" t="s">
        <v>1733</v>
      </c>
      <c r="N539" s="22" t="s">
        <v>1734</v>
      </c>
      <c r="O539" s="22" t="s">
        <v>1430</v>
      </c>
      <c r="P539" s="21">
        <v>70420</v>
      </c>
      <c r="Q539" s="21">
        <v>45</v>
      </c>
      <c r="R539" s="21">
        <v>10</v>
      </c>
      <c r="S539" s="21">
        <v>10</v>
      </c>
      <c r="T539" s="22" t="s">
        <v>330</v>
      </c>
      <c r="U539" s="21">
        <v>0.8</v>
      </c>
      <c r="V539" s="21">
        <v>0.8</v>
      </c>
      <c r="W539" s="25">
        <f t="shared" si="80"/>
        <v>2500</v>
      </c>
      <c r="X539" s="25">
        <f t="shared" si="81"/>
        <v>3600</v>
      </c>
      <c r="Y539" s="21">
        <v>1</v>
      </c>
      <c r="Z539" s="24">
        <f t="shared" si="82"/>
        <v>2500</v>
      </c>
      <c r="AA539" s="24">
        <f t="shared" si="83"/>
        <v>3600</v>
      </c>
      <c r="AB539" s="21"/>
      <c r="AC539" s="21"/>
      <c r="AD539" s="21"/>
      <c r="AE539" s="21"/>
      <c r="AF539" s="21" t="s">
        <v>247</v>
      </c>
      <c r="AG539" s="21"/>
      <c r="AH539" s="24"/>
      <c r="AI539" s="24"/>
      <c r="AJ539" s="21">
        <v>3600</v>
      </c>
      <c r="AK539" s="21">
        <v>100</v>
      </c>
      <c r="AL539" s="22" t="s">
        <v>161</v>
      </c>
      <c r="AM539" s="22">
        <v>0.11</v>
      </c>
      <c r="AO539" s="22" t="s">
        <v>383</v>
      </c>
      <c r="AP539" s="22" t="s">
        <v>1432</v>
      </c>
      <c r="AQ539" s="22" t="str">
        <f t="shared" si="84"/>
        <v>Microphytoplankton</v>
      </c>
      <c r="AR539" s="22">
        <v>0</v>
      </c>
      <c r="AS539" s="22">
        <v>0</v>
      </c>
      <c r="AT539" s="22">
        <v>0</v>
      </c>
      <c r="AU539" s="22">
        <v>1</v>
      </c>
      <c r="AV539" s="22">
        <v>0</v>
      </c>
      <c r="AW539" s="22">
        <v>0</v>
      </c>
      <c r="AX539" s="22">
        <v>1</v>
      </c>
      <c r="AY539" s="22">
        <v>0</v>
      </c>
    </row>
    <row r="540" spans="1:57">
      <c r="A540" s="21" t="s">
        <v>1735</v>
      </c>
      <c r="B540" s="22" t="s">
        <v>663</v>
      </c>
      <c r="C540" s="23" t="s">
        <v>822</v>
      </c>
      <c r="D540" s="23" t="s">
        <v>965</v>
      </c>
      <c r="E540" s="22" t="s">
        <v>62</v>
      </c>
      <c r="F540" s="23" t="s">
        <v>1434</v>
      </c>
      <c r="G540" s="23" t="s">
        <v>1473</v>
      </c>
      <c r="H540" s="23" t="s">
        <v>1736</v>
      </c>
      <c r="I540" s="22" t="s">
        <v>1737</v>
      </c>
      <c r="J540" s="22" t="s">
        <v>202</v>
      </c>
      <c r="N540" s="22" t="s">
        <v>1738</v>
      </c>
      <c r="O540" s="22" t="s">
        <v>1430</v>
      </c>
      <c r="P540" s="21">
        <v>70815</v>
      </c>
      <c r="Q540" s="21">
        <v>26.4</v>
      </c>
      <c r="R540" s="21">
        <v>10.8</v>
      </c>
      <c r="S540" s="21">
        <v>3</v>
      </c>
      <c r="T540" s="22" t="s">
        <v>330</v>
      </c>
      <c r="U540" s="21">
        <v>0.8</v>
      </c>
      <c r="V540" s="21">
        <v>0.8</v>
      </c>
      <c r="W540" s="25">
        <f t="shared" si="80"/>
        <v>991.80000000000007</v>
      </c>
      <c r="X540" s="25">
        <f t="shared" si="81"/>
        <v>684.28800000000001</v>
      </c>
      <c r="Y540" s="21">
        <v>1</v>
      </c>
      <c r="Z540" s="24">
        <f t="shared" si="82"/>
        <v>991.80000000000007</v>
      </c>
      <c r="AA540" s="24">
        <f t="shared" si="83"/>
        <v>684.28800000000001</v>
      </c>
      <c r="AB540" s="21"/>
      <c r="AC540" s="21"/>
      <c r="AD540" s="21"/>
      <c r="AE540" s="21"/>
      <c r="AF540" s="21" t="s">
        <v>247</v>
      </c>
      <c r="AG540" s="21"/>
      <c r="AH540" s="24"/>
      <c r="AI540" s="24"/>
      <c r="AJ540" s="21">
        <v>684.3</v>
      </c>
      <c r="AK540" s="21">
        <v>26</v>
      </c>
      <c r="AL540" s="22" t="s">
        <v>161</v>
      </c>
      <c r="AM540" s="22">
        <v>0.11</v>
      </c>
      <c r="AO540" s="22" t="s">
        <v>1447</v>
      </c>
      <c r="AP540" s="22" t="s">
        <v>1432</v>
      </c>
      <c r="AQ540" s="22" t="str">
        <f t="shared" si="84"/>
        <v>Microphytoplankton</v>
      </c>
      <c r="AR540" s="22">
        <v>1</v>
      </c>
      <c r="AS540" s="22">
        <v>0</v>
      </c>
      <c r="AT540" s="22">
        <v>1</v>
      </c>
      <c r="AU540" s="22">
        <v>0</v>
      </c>
      <c r="AV540" s="22">
        <v>0</v>
      </c>
      <c r="AW540" s="22">
        <v>0</v>
      </c>
      <c r="AX540" s="22">
        <v>1</v>
      </c>
      <c r="AY540" s="22">
        <v>0</v>
      </c>
    </row>
    <row r="541" spans="1:57">
      <c r="A541" s="21" t="s">
        <v>1739</v>
      </c>
      <c r="B541" s="22" t="s">
        <v>663</v>
      </c>
      <c r="C541" s="23" t="s">
        <v>822</v>
      </c>
      <c r="D541" s="23" t="s">
        <v>965</v>
      </c>
      <c r="E541" s="22" t="s">
        <v>62</v>
      </c>
      <c r="F541" s="23" t="s">
        <v>1434</v>
      </c>
      <c r="G541" s="23" t="s">
        <v>1473</v>
      </c>
      <c r="H541" s="23" t="s">
        <v>1736</v>
      </c>
      <c r="I541" s="22" t="s">
        <v>1737</v>
      </c>
      <c r="J541" s="22" t="s">
        <v>1740</v>
      </c>
      <c r="N541" s="22" t="s">
        <v>1741</v>
      </c>
      <c r="O541" s="22" t="s">
        <v>1430</v>
      </c>
      <c r="P541" s="21">
        <v>72811</v>
      </c>
      <c r="Q541" s="22">
        <v>32</v>
      </c>
      <c r="R541" s="22">
        <v>13</v>
      </c>
      <c r="S541" s="22">
        <v>5</v>
      </c>
      <c r="T541" s="22" t="s">
        <v>330</v>
      </c>
      <c r="U541" s="22">
        <v>0.8</v>
      </c>
      <c r="V541" s="21">
        <v>0.8</v>
      </c>
      <c r="W541" s="25">
        <f t="shared" si="80"/>
        <v>1602.5</v>
      </c>
      <c r="X541" s="25">
        <f t="shared" si="81"/>
        <v>1664</v>
      </c>
      <c r="Y541" s="21">
        <v>1</v>
      </c>
      <c r="Z541" s="24">
        <f t="shared" si="82"/>
        <v>1602.5</v>
      </c>
      <c r="AA541" s="24">
        <f t="shared" si="83"/>
        <v>1664</v>
      </c>
      <c r="AE541" s="21"/>
      <c r="AF541" s="21" t="s">
        <v>247</v>
      </c>
      <c r="AJ541" s="21">
        <v>1664</v>
      </c>
      <c r="AK541" s="21">
        <v>32</v>
      </c>
      <c r="AL541" s="22" t="s">
        <v>161</v>
      </c>
      <c r="AM541" s="22">
        <v>0.11</v>
      </c>
      <c r="AO541" s="22" t="s">
        <v>1447</v>
      </c>
      <c r="AP541" s="22" t="s">
        <v>1432</v>
      </c>
      <c r="AQ541" s="22" t="str">
        <f t="shared" si="84"/>
        <v>Microphytoplankton</v>
      </c>
      <c r="AR541" s="22">
        <v>1</v>
      </c>
      <c r="AS541" s="22">
        <v>0</v>
      </c>
      <c r="AT541" s="22">
        <v>1</v>
      </c>
      <c r="AU541" s="22">
        <v>0</v>
      </c>
      <c r="AV541" s="22">
        <v>0</v>
      </c>
      <c r="AW541" s="22">
        <v>0</v>
      </c>
      <c r="AX541" s="22">
        <v>1</v>
      </c>
      <c r="AY541" s="22">
        <v>0</v>
      </c>
    </row>
    <row r="542" spans="1:57">
      <c r="A542" s="21" t="s">
        <v>1742</v>
      </c>
      <c r="B542" s="22" t="s">
        <v>663</v>
      </c>
      <c r="C542" s="23" t="s">
        <v>822</v>
      </c>
      <c r="D542" s="23" t="s">
        <v>965</v>
      </c>
      <c r="E542" s="22" t="s">
        <v>62</v>
      </c>
      <c r="F542" s="23" t="s">
        <v>1434</v>
      </c>
      <c r="G542" s="23" t="s">
        <v>1473</v>
      </c>
      <c r="H542" s="23" t="s">
        <v>1736</v>
      </c>
      <c r="I542" s="22" t="s">
        <v>1737</v>
      </c>
      <c r="J542" s="22" t="s">
        <v>586</v>
      </c>
      <c r="N542" s="22" t="s">
        <v>1743</v>
      </c>
      <c r="O542" s="22" t="s">
        <v>1430</v>
      </c>
      <c r="P542" s="21">
        <v>72814</v>
      </c>
      <c r="Q542" s="22">
        <v>12</v>
      </c>
      <c r="R542" s="22">
        <v>3.5</v>
      </c>
      <c r="S542" s="22">
        <v>2</v>
      </c>
      <c r="T542" s="22" t="s">
        <v>330</v>
      </c>
      <c r="U542" s="22">
        <v>1</v>
      </c>
      <c r="V542" s="22">
        <v>1</v>
      </c>
      <c r="W542" s="25">
        <f t="shared" si="80"/>
        <v>146</v>
      </c>
      <c r="X542" s="25">
        <f t="shared" si="81"/>
        <v>84</v>
      </c>
      <c r="Y542" s="21">
        <v>1</v>
      </c>
      <c r="Z542" s="24">
        <f t="shared" si="82"/>
        <v>146</v>
      </c>
      <c r="AA542" s="24">
        <f t="shared" si="83"/>
        <v>84</v>
      </c>
      <c r="AE542" s="21"/>
      <c r="AF542" s="21" t="s">
        <v>247</v>
      </c>
      <c r="AJ542" s="21">
        <v>84</v>
      </c>
      <c r="AK542" s="21">
        <v>12</v>
      </c>
      <c r="AL542" s="22" t="s">
        <v>161</v>
      </c>
      <c r="AM542" s="22">
        <v>0.11</v>
      </c>
      <c r="AO542" s="22" t="s">
        <v>1447</v>
      </c>
      <c r="AP542" s="22" t="s">
        <v>1432</v>
      </c>
      <c r="AQ542" s="22" t="str">
        <f t="shared" si="84"/>
        <v>Nanophytoplankton</v>
      </c>
      <c r="AR542" s="22">
        <v>1</v>
      </c>
      <c r="AS542" s="22">
        <v>0</v>
      </c>
      <c r="AT542" s="22">
        <v>1</v>
      </c>
      <c r="AU542" s="22">
        <v>0</v>
      </c>
      <c r="AV542" s="22">
        <v>0</v>
      </c>
      <c r="AW542" s="22">
        <v>0</v>
      </c>
      <c r="AX542" s="22">
        <v>1</v>
      </c>
      <c r="AY542" s="22">
        <v>0</v>
      </c>
    </row>
    <row r="543" spans="1:57">
      <c r="A543" s="21" t="s">
        <v>1744</v>
      </c>
      <c r="B543" s="22" t="s">
        <v>663</v>
      </c>
      <c r="C543" s="23" t="s">
        <v>822</v>
      </c>
      <c r="D543" s="23" t="s">
        <v>965</v>
      </c>
      <c r="E543" s="22" t="s">
        <v>62</v>
      </c>
      <c r="F543" s="23" t="s">
        <v>1434</v>
      </c>
      <c r="G543" s="23" t="s">
        <v>1473</v>
      </c>
      <c r="H543" s="23" t="s">
        <v>1736</v>
      </c>
      <c r="I543" s="22" t="s">
        <v>1737</v>
      </c>
      <c r="J543" s="22" t="s">
        <v>1745</v>
      </c>
      <c r="N543" s="22" t="s">
        <v>1746</v>
      </c>
      <c r="O543" s="22" t="s">
        <v>1430</v>
      </c>
      <c r="P543" s="21">
        <v>72813</v>
      </c>
      <c r="Q543" s="21">
        <v>16</v>
      </c>
      <c r="R543" s="21">
        <v>6</v>
      </c>
      <c r="S543" s="21">
        <v>2.5</v>
      </c>
      <c r="T543" s="22" t="s">
        <v>330</v>
      </c>
      <c r="U543" s="21">
        <v>0.8</v>
      </c>
      <c r="V543" s="21">
        <v>0.8</v>
      </c>
      <c r="W543" s="25">
        <f t="shared" si="80"/>
        <v>377.5</v>
      </c>
      <c r="X543" s="25">
        <f t="shared" si="81"/>
        <v>192</v>
      </c>
      <c r="Y543" s="21">
        <v>1</v>
      </c>
      <c r="Z543" s="24">
        <f t="shared" si="82"/>
        <v>377.5</v>
      </c>
      <c r="AA543" s="24">
        <f t="shared" si="83"/>
        <v>192</v>
      </c>
      <c r="AB543" s="21"/>
      <c r="AC543" s="21"/>
      <c r="AD543" s="21"/>
      <c r="AE543" s="21"/>
      <c r="AF543" s="21" t="s">
        <v>247</v>
      </c>
      <c r="AG543" s="21"/>
      <c r="AH543" s="24"/>
      <c r="AI543" s="24"/>
      <c r="AJ543" s="21">
        <v>192</v>
      </c>
      <c r="AK543" s="21">
        <v>16</v>
      </c>
      <c r="AL543" s="22" t="s">
        <v>161</v>
      </c>
      <c r="AM543" s="22">
        <v>0.11</v>
      </c>
      <c r="AO543" s="22" t="s">
        <v>1447</v>
      </c>
      <c r="AP543" s="22" t="s">
        <v>1432</v>
      </c>
      <c r="AQ543" s="22" t="str">
        <f t="shared" si="84"/>
        <v>Nanophytoplankton</v>
      </c>
      <c r="AR543" s="22">
        <v>1</v>
      </c>
      <c r="AS543" s="22">
        <v>0</v>
      </c>
      <c r="AT543" s="22">
        <v>1</v>
      </c>
      <c r="AU543" s="22">
        <v>0</v>
      </c>
      <c r="AV543" s="22">
        <v>0</v>
      </c>
      <c r="AW543" s="22">
        <v>0</v>
      </c>
      <c r="AX543" s="22">
        <v>1</v>
      </c>
      <c r="AY543" s="22">
        <v>0</v>
      </c>
    </row>
    <row r="544" spans="1:57">
      <c r="A544" s="21" t="s">
        <v>1747</v>
      </c>
      <c r="B544" s="22" t="s">
        <v>663</v>
      </c>
      <c r="C544" s="23" t="s">
        <v>822</v>
      </c>
      <c r="D544" s="23" t="s">
        <v>965</v>
      </c>
      <c r="E544" s="22" t="s">
        <v>62</v>
      </c>
      <c r="F544" s="23" t="s">
        <v>1434</v>
      </c>
      <c r="G544" s="23" t="s">
        <v>1473</v>
      </c>
      <c r="H544" s="23" t="s">
        <v>1736</v>
      </c>
      <c r="I544" s="22" t="s">
        <v>1737</v>
      </c>
      <c r="J544" s="22" t="s">
        <v>1748</v>
      </c>
      <c r="N544" s="22" t="s">
        <v>1749</v>
      </c>
      <c r="O544" s="22" t="s">
        <v>1430</v>
      </c>
      <c r="P544" s="21">
        <v>72812</v>
      </c>
      <c r="Q544" s="22">
        <v>16</v>
      </c>
      <c r="R544" s="22">
        <v>6</v>
      </c>
      <c r="S544" s="22">
        <v>4</v>
      </c>
      <c r="T544" s="22" t="s">
        <v>330</v>
      </c>
      <c r="U544" s="22">
        <v>0.8</v>
      </c>
      <c r="V544" s="21">
        <v>0.8</v>
      </c>
      <c r="W544" s="25">
        <f t="shared" si="80"/>
        <v>460</v>
      </c>
      <c r="X544" s="25">
        <f t="shared" si="81"/>
        <v>307.20000000000005</v>
      </c>
      <c r="Y544" s="21">
        <v>1</v>
      </c>
      <c r="Z544" s="24">
        <f t="shared" si="82"/>
        <v>460</v>
      </c>
      <c r="AA544" s="24">
        <f t="shared" si="83"/>
        <v>307.20000000000005</v>
      </c>
      <c r="AE544" s="21"/>
      <c r="AF544" s="21" t="s">
        <v>247</v>
      </c>
      <c r="AJ544" s="21">
        <v>307.2</v>
      </c>
      <c r="AK544" s="21">
        <v>16</v>
      </c>
      <c r="AL544" s="22" t="s">
        <v>161</v>
      </c>
      <c r="AM544" s="22">
        <v>0.11</v>
      </c>
      <c r="AO544" s="22" t="s">
        <v>1447</v>
      </c>
      <c r="AP544" s="22" t="s">
        <v>1432</v>
      </c>
      <c r="AQ544" s="22" t="str">
        <f t="shared" si="84"/>
        <v>Nanophytoplankton</v>
      </c>
      <c r="AR544" s="22">
        <v>1</v>
      </c>
      <c r="AS544" s="22">
        <v>0</v>
      </c>
      <c r="AT544" s="22">
        <v>1</v>
      </c>
      <c r="AU544" s="22">
        <v>0</v>
      </c>
      <c r="AV544" s="22">
        <v>0</v>
      </c>
      <c r="AW544" s="22">
        <v>0</v>
      </c>
      <c r="AX544" s="22">
        <v>1</v>
      </c>
      <c r="AY544" s="22">
        <v>0</v>
      </c>
    </row>
    <row r="545" spans="1:57">
      <c r="A545" s="21" t="s">
        <v>1750</v>
      </c>
      <c r="B545" s="22" t="s">
        <v>663</v>
      </c>
      <c r="C545" s="23" t="s">
        <v>822</v>
      </c>
      <c r="D545" s="23" t="s">
        <v>965</v>
      </c>
      <c r="E545" s="22" t="s">
        <v>62</v>
      </c>
      <c r="F545" s="23" t="s">
        <v>1434</v>
      </c>
      <c r="G545" s="23" t="s">
        <v>1473</v>
      </c>
      <c r="H545" s="23" t="s">
        <v>1736</v>
      </c>
      <c r="I545" s="22" t="s">
        <v>1737</v>
      </c>
      <c r="J545" s="22" t="s">
        <v>1492</v>
      </c>
      <c r="N545" s="22" t="s">
        <v>1751</v>
      </c>
      <c r="O545" s="22" t="s">
        <v>1430</v>
      </c>
      <c r="P545" s="22">
        <v>72810</v>
      </c>
      <c r="Q545" s="21">
        <v>30</v>
      </c>
      <c r="R545" s="21">
        <v>13</v>
      </c>
      <c r="S545" s="21">
        <v>3.5</v>
      </c>
      <c r="T545" s="22" t="s">
        <v>330</v>
      </c>
      <c r="U545" s="21">
        <v>0.7</v>
      </c>
      <c r="V545" s="21">
        <v>0.7</v>
      </c>
      <c r="W545" s="25">
        <f t="shared" si="80"/>
        <v>1544.2857142857144</v>
      </c>
      <c r="X545" s="25">
        <f t="shared" si="81"/>
        <v>955.49999999999989</v>
      </c>
      <c r="Y545" s="21">
        <v>1</v>
      </c>
      <c r="Z545" s="24">
        <f t="shared" si="82"/>
        <v>1544.2857142857144</v>
      </c>
      <c r="AA545" s="24">
        <f t="shared" si="83"/>
        <v>955.49999999999989</v>
      </c>
      <c r="AB545" s="21"/>
      <c r="AC545" s="21"/>
      <c r="AD545" s="21"/>
      <c r="AE545" s="21"/>
      <c r="AF545" s="21" t="s">
        <v>247</v>
      </c>
      <c r="AG545" s="21"/>
      <c r="AH545" s="24"/>
      <c r="AI545" s="24"/>
      <c r="AJ545" s="21">
        <v>955.5</v>
      </c>
      <c r="AK545" s="21">
        <v>30</v>
      </c>
      <c r="AL545" s="22" t="s">
        <v>161</v>
      </c>
      <c r="AM545" s="22">
        <v>0.11</v>
      </c>
      <c r="AO545" s="22" t="s">
        <v>1447</v>
      </c>
      <c r="AP545" s="22" t="s">
        <v>1432</v>
      </c>
      <c r="AQ545" s="22" t="str">
        <f t="shared" si="84"/>
        <v>Microphytoplankton</v>
      </c>
      <c r="AR545" s="22">
        <v>1</v>
      </c>
      <c r="AS545" s="22">
        <v>0</v>
      </c>
      <c r="AT545" s="22">
        <v>1</v>
      </c>
      <c r="AU545" s="22">
        <v>0</v>
      </c>
      <c r="AV545" s="22">
        <v>0</v>
      </c>
      <c r="AW545" s="22">
        <v>0</v>
      </c>
      <c r="AX545" s="22">
        <v>1</v>
      </c>
      <c r="AY545" s="22">
        <v>0</v>
      </c>
    </row>
    <row r="546" spans="1:57">
      <c r="A546" s="21" t="s">
        <v>1752</v>
      </c>
      <c r="B546" s="22" t="s">
        <v>663</v>
      </c>
      <c r="C546" s="23" t="s">
        <v>822</v>
      </c>
      <c r="D546" s="23" t="s">
        <v>965</v>
      </c>
      <c r="E546" s="22" t="s">
        <v>62</v>
      </c>
      <c r="F546" s="23" t="s">
        <v>1434</v>
      </c>
      <c r="G546" s="23" t="s">
        <v>1473</v>
      </c>
      <c r="H546" s="23" t="s">
        <v>1736</v>
      </c>
      <c r="I546" s="22" t="s">
        <v>1737</v>
      </c>
      <c r="J546" s="22" t="s">
        <v>211</v>
      </c>
      <c r="M546" s="22" t="s">
        <v>1</v>
      </c>
      <c r="N546" s="22" t="s">
        <v>1580</v>
      </c>
      <c r="O546" s="22" t="s">
        <v>1430</v>
      </c>
      <c r="P546" s="21">
        <v>72800</v>
      </c>
      <c r="Q546" s="21">
        <v>36</v>
      </c>
      <c r="R546" s="21">
        <v>15</v>
      </c>
      <c r="S546" s="21">
        <v>10</v>
      </c>
      <c r="T546" s="22" t="s">
        <v>330</v>
      </c>
      <c r="U546" s="21">
        <v>0.8</v>
      </c>
      <c r="V546" s="21">
        <v>0.8</v>
      </c>
      <c r="W546" s="25">
        <f t="shared" si="80"/>
        <v>2625</v>
      </c>
      <c r="X546" s="25">
        <f t="shared" si="81"/>
        <v>4320</v>
      </c>
      <c r="Y546" s="21">
        <v>1</v>
      </c>
      <c r="Z546" s="24">
        <f t="shared" si="82"/>
        <v>2625</v>
      </c>
      <c r="AA546" s="24">
        <f t="shared" si="83"/>
        <v>4320</v>
      </c>
      <c r="AB546" s="21"/>
      <c r="AC546" s="21"/>
      <c r="AD546" s="21"/>
      <c r="AE546" s="21"/>
      <c r="AF546" s="21" t="s">
        <v>247</v>
      </c>
      <c r="AG546" s="21"/>
      <c r="AH546" s="24"/>
      <c r="AI546" s="24"/>
      <c r="AJ546" s="21">
        <v>4320</v>
      </c>
      <c r="AK546" s="21">
        <v>36</v>
      </c>
      <c r="AL546" s="22" t="s">
        <v>161</v>
      </c>
      <c r="AM546" s="22">
        <v>0.11</v>
      </c>
      <c r="AO546" s="22" t="s">
        <v>1447</v>
      </c>
      <c r="AP546" s="22" t="s">
        <v>1432</v>
      </c>
      <c r="AQ546" s="22" t="str">
        <f t="shared" si="84"/>
        <v>Microphytoplankton</v>
      </c>
      <c r="AR546" s="22">
        <v>1</v>
      </c>
      <c r="AS546" s="22">
        <v>0</v>
      </c>
      <c r="AT546" s="22">
        <v>1</v>
      </c>
      <c r="AU546" s="22">
        <v>0</v>
      </c>
      <c r="AV546" s="22">
        <v>0</v>
      </c>
      <c r="AW546" s="22">
        <v>0</v>
      </c>
      <c r="AX546" s="22">
        <v>1</v>
      </c>
      <c r="AY546" s="22">
        <v>0</v>
      </c>
    </row>
    <row r="547" spans="1:57">
      <c r="A547" s="21" t="s">
        <v>1753</v>
      </c>
      <c r="B547" s="22" t="s">
        <v>663</v>
      </c>
      <c r="C547" s="23" t="s">
        <v>822</v>
      </c>
      <c r="D547" s="23" t="s">
        <v>965</v>
      </c>
      <c r="E547" s="22" t="s">
        <v>62</v>
      </c>
      <c r="F547" s="22" t="s">
        <v>1424</v>
      </c>
      <c r="G547" s="23" t="s">
        <v>1553</v>
      </c>
      <c r="H547" s="23" t="s">
        <v>1554</v>
      </c>
      <c r="I547" s="22" t="s">
        <v>1754</v>
      </c>
      <c r="J547" s="22" t="s">
        <v>1649</v>
      </c>
      <c r="N547" s="22" t="s">
        <v>1755</v>
      </c>
      <c r="O547" s="22" t="s">
        <v>1430</v>
      </c>
      <c r="P547" s="21">
        <v>72851</v>
      </c>
      <c r="Q547" s="22">
        <v>9</v>
      </c>
      <c r="R547" s="22">
        <v>9</v>
      </c>
      <c r="S547" s="22">
        <v>4</v>
      </c>
      <c r="T547" s="21" t="s">
        <v>160</v>
      </c>
      <c r="U547" s="21">
        <v>1</v>
      </c>
      <c r="V547" s="22">
        <v>1</v>
      </c>
      <c r="W547" s="24">
        <f>3.14*R547*Q547+2*3.14*(S547/2)^2/V547</f>
        <v>279.45999999999998</v>
      </c>
      <c r="X547" s="25">
        <f>(3.14/4*R547^2*Q547)*U547</f>
        <v>572.26499999999999</v>
      </c>
      <c r="Y547" s="22">
        <v>1</v>
      </c>
      <c r="Z547" s="24">
        <f t="shared" si="82"/>
        <v>279.45999999999998</v>
      </c>
      <c r="AA547" s="24">
        <f t="shared" si="83"/>
        <v>572.26499999999999</v>
      </c>
      <c r="AF547" s="21" t="s">
        <v>247</v>
      </c>
      <c r="AJ547" s="21">
        <v>255</v>
      </c>
      <c r="AK547" s="21">
        <v>9</v>
      </c>
      <c r="AL547" s="22" t="s">
        <v>161</v>
      </c>
      <c r="AM547" s="22">
        <v>0.11</v>
      </c>
      <c r="AO547" s="22" t="s">
        <v>1529</v>
      </c>
      <c r="AP547" s="22" t="s">
        <v>1432</v>
      </c>
      <c r="AQ547" s="22" t="str">
        <f t="shared" si="84"/>
        <v>Nanophytoplankton</v>
      </c>
      <c r="AR547" s="22">
        <v>0</v>
      </c>
      <c r="AS547" s="22">
        <v>0</v>
      </c>
      <c r="AT547" s="22">
        <v>0</v>
      </c>
      <c r="AU547" s="22">
        <v>0</v>
      </c>
      <c r="AV547" s="22">
        <v>0</v>
      </c>
      <c r="AW547" s="22">
        <v>0</v>
      </c>
      <c r="AX547" s="22">
        <v>1</v>
      </c>
      <c r="AY547" s="22">
        <v>0</v>
      </c>
      <c r="AZ547" s="22">
        <v>4</v>
      </c>
      <c r="BA547" s="22">
        <v>4</v>
      </c>
      <c r="BB547" s="22">
        <v>1</v>
      </c>
      <c r="BC547" s="22">
        <v>1</v>
      </c>
      <c r="BD547" s="22">
        <v>0</v>
      </c>
      <c r="BE547" s="22">
        <v>0</v>
      </c>
    </row>
    <row r="548" spans="1:57">
      <c r="A548" s="21" t="s">
        <v>1756</v>
      </c>
      <c r="B548" s="22" t="s">
        <v>663</v>
      </c>
      <c r="C548" s="23" t="s">
        <v>822</v>
      </c>
      <c r="D548" s="23" t="s">
        <v>965</v>
      </c>
      <c r="E548" s="22" t="s">
        <v>62</v>
      </c>
      <c r="F548" s="22" t="s">
        <v>1424</v>
      </c>
      <c r="G548" s="23" t="s">
        <v>1553</v>
      </c>
      <c r="H548" s="23" t="s">
        <v>1554</v>
      </c>
      <c r="I548" s="22" t="s">
        <v>1754</v>
      </c>
      <c r="J548" s="22" t="s">
        <v>1757</v>
      </c>
      <c r="N548" s="22" t="s">
        <v>1758</v>
      </c>
      <c r="O548" s="22" t="s">
        <v>1430</v>
      </c>
      <c r="P548" s="21">
        <v>72850</v>
      </c>
      <c r="Q548" s="21">
        <v>10</v>
      </c>
      <c r="R548" s="21">
        <v>10</v>
      </c>
      <c r="S548" s="21">
        <v>5</v>
      </c>
      <c r="T548" s="21" t="s">
        <v>160</v>
      </c>
      <c r="U548" s="21">
        <v>1</v>
      </c>
      <c r="V548" s="21">
        <v>1</v>
      </c>
      <c r="W548" s="24">
        <f>3.14*R548*Q548+2*3.14*(S548/2)^2/V548</f>
        <v>353.25</v>
      </c>
      <c r="X548" s="25">
        <f>(3.14/4*R548^2*Q548)*U548</f>
        <v>785</v>
      </c>
      <c r="Y548" s="21">
        <v>1</v>
      </c>
      <c r="Z548" s="24">
        <f t="shared" si="82"/>
        <v>353.25</v>
      </c>
      <c r="AA548" s="24">
        <f t="shared" si="83"/>
        <v>785</v>
      </c>
      <c r="AB548" s="21"/>
      <c r="AC548" s="21"/>
      <c r="AD548" s="21"/>
      <c r="AE548" s="21"/>
      <c r="AF548" s="21"/>
      <c r="AG548" s="21"/>
      <c r="AH548" s="24"/>
      <c r="AI548" s="24"/>
      <c r="AJ548" s="21">
        <v>785</v>
      </c>
      <c r="AK548" s="21">
        <v>10</v>
      </c>
      <c r="AL548" s="22" t="s">
        <v>161</v>
      </c>
      <c r="AM548" s="22">
        <v>0.11</v>
      </c>
      <c r="AO548" s="22" t="s">
        <v>1529</v>
      </c>
      <c r="AP548" s="22" t="s">
        <v>1432</v>
      </c>
      <c r="AQ548" s="22" t="str">
        <f t="shared" si="84"/>
        <v>Nanophytoplankton</v>
      </c>
      <c r="AR548" s="22">
        <v>0</v>
      </c>
      <c r="AS548" s="22">
        <v>0</v>
      </c>
      <c r="AT548" s="22">
        <v>0</v>
      </c>
      <c r="AU548" s="22">
        <v>0</v>
      </c>
      <c r="AV548" s="22">
        <v>0</v>
      </c>
      <c r="AW548" s="22">
        <v>0</v>
      </c>
      <c r="AX548" s="22">
        <v>1</v>
      </c>
      <c r="AY548" s="22">
        <v>0</v>
      </c>
    </row>
    <row r="549" spans="1:57">
      <c r="A549" s="21" t="s">
        <v>1759</v>
      </c>
      <c r="B549" s="22" t="s">
        <v>663</v>
      </c>
      <c r="C549" s="23" t="s">
        <v>822</v>
      </c>
      <c r="D549" s="23" t="s">
        <v>965</v>
      </c>
      <c r="E549" s="22" t="s">
        <v>62</v>
      </c>
      <c r="F549" s="23" t="s">
        <v>1434</v>
      </c>
      <c r="G549" s="23" t="s">
        <v>1662</v>
      </c>
      <c r="H549" s="23" t="s">
        <v>1663</v>
      </c>
      <c r="I549" s="22" t="s">
        <v>1760</v>
      </c>
      <c r="J549" s="22" t="s">
        <v>428</v>
      </c>
      <c r="N549" s="22" t="s">
        <v>1761</v>
      </c>
      <c r="O549" s="22" t="s">
        <v>1430</v>
      </c>
      <c r="P549" s="21">
        <v>71382</v>
      </c>
      <c r="Q549" s="21">
        <v>21</v>
      </c>
      <c r="R549" s="21">
        <v>5</v>
      </c>
      <c r="S549" s="21">
        <v>1.5</v>
      </c>
      <c r="T549" s="22" t="s">
        <v>330</v>
      </c>
      <c r="U549" s="21">
        <v>0.7</v>
      </c>
      <c r="V549" s="21">
        <v>0.7</v>
      </c>
      <c r="W549" s="25">
        <f t="shared" ref="W549:W587" si="85">(Q549*R549*2+Q549*S549*2+R549*S549*2)/V549</f>
        <v>411.42857142857144</v>
      </c>
      <c r="X549" s="25">
        <f t="shared" ref="X549:X587" si="86">Q549*R549*S549*U549</f>
        <v>110.25</v>
      </c>
      <c r="Y549" s="21">
        <v>1</v>
      </c>
      <c r="Z549" s="24">
        <f t="shared" si="82"/>
        <v>411.42857142857144</v>
      </c>
      <c r="AA549" s="24">
        <f t="shared" si="83"/>
        <v>110.25</v>
      </c>
      <c r="AB549" s="21"/>
      <c r="AC549" s="21"/>
      <c r="AD549" s="21"/>
      <c r="AE549" s="21"/>
      <c r="AF549" s="21" t="s">
        <v>247</v>
      </c>
      <c r="AG549" s="21"/>
      <c r="AH549" s="24"/>
      <c r="AI549" s="24"/>
      <c r="AJ549" s="21">
        <v>110</v>
      </c>
      <c r="AK549" s="21">
        <v>21</v>
      </c>
      <c r="AL549" s="22" t="s">
        <v>161</v>
      </c>
      <c r="AM549" s="22">
        <v>0.11</v>
      </c>
      <c r="AO549" s="22" t="s">
        <v>1762</v>
      </c>
      <c r="AP549" s="22" t="s">
        <v>1432</v>
      </c>
      <c r="AQ549" s="22" t="str">
        <f t="shared" si="84"/>
        <v>Microphytoplankton</v>
      </c>
      <c r="AR549" s="22">
        <v>1</v>
      </c>
      <c r="AS549" s="22">
        <v>0</v>
      </c>
      <c r="AT549" s="22">
        <v>1</v>
      </c>
      <c r="AU549" s="22">
        <v>1</v>
      </c>
      <c r="AV549" s="22">
        <v>0</v>
      </c>
      <c r="AW549" s="22">
        <v>0</v>
      </c>
      <c r="AX549" s="22">
        <v>1</v>
      </c>
      <c r="AY549" s="22">
        <v>0</v>
      </c>
    </row>
    <row r="550" spans="1:57">
      <c r="A550" s="22" t="s">
        <v>1763</v>
      </c>
      <c r="B550" s="22" t="s">
        <v>663</v>
      </c>
      <c r="C550" s="23" t="s">
        <v>822</v>
      </c>
      <c r="D550" s="23" t="s">
        <v>965</v>
      </c>
      <c r="E550" s="22" t="s">
        <v>62</v>
      </c>
      <c r="F550" s="23" t="s">
        <v>1434</v>
      </c>
      <c r="G550" s="23" t="s">
        <v>1662</v>
      </c>
      <c r="H550" s="23" t="s">
        <v>1663</v>
      </c>
      <c r="I550" s="22" t="s">
        <v>1760</v>
      </c>
      <c r="J550" s="22" t="s">
        <v>1764</v>
      </c>
      <c r="N550" s="22" t="s">
        <v>395</v>
      </c>
      <c r="O550" s="22" t="s">
        <v>1430</v>
      </c>
      <c r="P550" s="21">
        <v>71383</v>
      </c>
      <c r="Q550" s="22">
        <v>66</v>
      </c>
      <c r="R550" s="22">
        <v>20.5</v>
      </c>
      <c r="S550" s="22">
        <v>8.6999999999999993</v>
      </c>
      <c r="T550" s="22" t="s">
        <v>330</v>
      </c>
      <c r="U550" s="22">
        <v>0.7</v>
      </c>
      <c r="V550" s="21">
        <v>0.7</v>
      </c>
      <c r="W550" s="25">
        <f t="shared" si="85"/>
        <v>6015.8571428571422</v>
      </c>
      <c r="X550" s="25">
        <f t="shared" si="86"/>
        <v>8239.7699999999986</v>
      </c>
      <c r="Y550" s="21">
        <v>1</v>
      </c>
      <c r="Z550" s="24">
        <f t="shared" si="82"/>
        <v>6015.8571428571422</v>
      </c>
      <c r="AA550" s="24">
        <f t="shared" si="83"/>
        <v>8239.7699999999986</v>
      </c>
      <c r="AE550" s="21"/>
      <c r="AF550" s="21" t="s">
        <v>247</v>
      </c>
      <c r="AJ550" s="21">
        <v>8278</v>
      </c>
      <c r="AK550" s="21">
        <v>66</v>
      </c>
      <c r="AL550" s="22" t="s">
        <v>161</v>
      </c>
      <c r="AM550" s="22">
        <v>0.11</v>
      </c>
      <c r="AO550" s="22" t="s">
        <v>1762</v>
      </c>
      <c r="AP550" s="22" t="s">
        <v>1432</v>
      </c>
      <c r="AQ550" s="22" t="str">
        <f t="shared" si="84"/>
        <v>Microphytoplankton</v>
      </c>
      <c r="AR550" s="22">
        <v>1</v>
      </c>
      <c r="AS550" s="22">
        <v>0</v>
      </c>
      <c r="AT550" s="22">
        <v>1</v>
      </c>
      <c r="AU550" s="22">
        <v>1</v>
      </c>
      <c r="AV550" s="22">
        <v>0</v>
      </c>
      <c r="AW550" s="22">
        <v>0</v>
      </c>
      <c r="AX550" s="22">
        <v>1</v>
      </c>
      <c r="AY550" s="22">
        <v>0</v>
      </c>
    </row>
    <row r="551" spans="1:57">
      <c r="A551" s="22" t="s">
        <v>1765</v>
      </c>
      <c r="B551" s="22" t="s">
        <v>663</v>
      </c>
      <c r="C551" s="23" t="s">
        <v>822</v>
      </c>
      <c r="D551" s="23" t="s">
        <v>965</v>
      </c>
      <c r="E551" s="22" t="s">
        <v>62</v>
      </c>
      <c r="F551" s="23" t="s">
        <v>1434</v>
      </c>
      <c r="G551" s="23" t="s">
        <v>1662</v>
      </c>
      <c r="H551" s="23" t="s">
        <v>1663</v>
      </c>
      <c r="I551" s="22" t="s">
        <v>1760</v>
      </c>
      <c r="J551" s="22" t="s">
        <v>1766</v>
      </c>
      <c r="N551" s="22" t="s">
        <v>1767</v>
      </c>
      <c r="O551" s="22" t="s">
        <v>1430</v>
      </c>
      <c r="P551" s="21">
        <v>71387</v>
      </c>
      <c r="Q551" s="22">
        <v>10.5</v>
      </c>
      <c r="R551" s="22">
        <v>3.5</v>
      </c>
      <c r="S551" s="22">
        <v>4</v>
      </c>
      <c r="T551" s="22" t="s">
        <v>330</v>
      </c>
      <c r="U551" s="22">
        <v>0.7</v>
      </c>
      <c r="V551" s="21">
        <v>0.7</v>
      </c>
      <c r="W551" s="25">
        <f t="shared" si="85"/>
        <v>265</v>
      </c>
      <c r="X551" s="25">
        <f t="shared" si="86"/>
        <v>102.89999999999999</v>
      </c>
      <c r="Y551" s="21">
        <v>1</v>
      </c>
      <c r="Z551" s="24">
        <f t="shared" si="82"/>
        <v>265</v>
      </c>
      <c r="AA551" s="24">
        <f t="shared" si="83"/>
        <v>102.89999999999999</v>
      </c>
      <c r="AE551" s="21"/>
      <c r="AF551" s="21" t="s">
        <v>247</v>
      </c>
      <c r="AJ551" s="21">
        <v>102</v>
      </c>
      <c r="AK551" s="21">
        <v>10.5</v>
      </c>
      <c r="AL551" s="22" t="s">
        <v>161</v>
      </c>
      <c r="AM551" s="22">
        <v>0.11</v>
      </c>
      <c r="AO551" s="22" t="s">
        <v>383</v>
      </c>
      <c r="AP551" s="22" t="s">
        <v>1432</v>
      </c>
      <c r="AQ551" s="22" t="str">
        <f t="shared" si="84"/>
        <v>Nanophytoplankton</v>
      </c>
      <c r="AR551" s="22">
        <v>1</v>
      </c>
      <c r="AS551" s="22">
        <v>0</v>
      </c>
      <c r="AT551" s="22">
        <v>1</v>
      </c>
      <c r="AU551" s="22">
        <v>1</v>
      </c>
      <c r="AV551" s="22">
        <v>0</v>
      </c>
      <c r="AW551" s="22">
        <v>0</v>
      </c>
      <c r="AX551" s="22">
        <v>1</v>
      </c>
      <c r="AY551" s="22">
        <v>0</v>
      </c>
    </row>
    <row r="552" spans="1:57">
      <c r="A552" s="22" t="s">
        <v>1768</v>
      </c>
      <c r="B552" s="22" t="s">
        <v>663</v>
      </c>
      <c r="C552" s="23" t="s">
        <v>822</v>
      </c>
      <c r="D552" s="23" t="s">
        <v>965</v>
      </c>
      <c r="E552" s="22" t="s">
        <v>62</v>
      </c>
      <c r="F552" s="23" t="s">
        <v>1434</v>
      </c>
      <c r="G552" s="23" t="s">
        <v>1662</v>
      </c>
      <c r="H552" s="23" t="s">
        <v>1663</v>
      </c>
      <c r="I552" s="22" t="s">
        <v>1760</v>
      </c>
      <c r="J552" s="22" t="s">
        <v>1769</v>
      </c>
      <c r="N552" s="22" t="s">
        <v>1770</v>
      </c>
      <c r="O552" s="22" t="s">
        <v>1430</v>
      </c>
      <c r="P552" s="21">
        <v>71384</v>
      </c>
      <c r="Q552" s="22">
        <v>29</v>
      </c>
      <c r="R552" s="22">
        <v>8</v>
      </c>
      <c r="S552" s="22">
        <v>5</v>
      </c>
      <c r="T552" s="22" t="s">
        <v>330</v>
      </c>
      <c r="U552" s="22">
        <v>0.7</v>
      </c>
      <c r="V552" s="21">
        <v>0.7</v>
      </c>
      <c r="W552" s="25">
        <f t="shared" si="85"/>
        <v>1191.4285714285716</v>
      </c>
      <c r="X552" s="25">
        <f t="shared" si="86"/>
        <v>812</v>
      </c>
      <c r="Y552" s="21">
        <v>1</v>
      </c>
      <c r="Z552" s="24">
        <f t="shared" si="82"/>
        <v>1191.4285714285716</v>
      </c>
      <c r="AA552" s="24">
        <f t="shared" si="83"/>
        <v>812</v>
      </c>
      <c r="AE552" s="21"/>
      <c r="AF552" s="21" t="s">
        <v>247</v>
      </c>
      <c r="AJ552" s="21">
        <v>821</v>
      </c>
      <c r="AK552" s="21">
        <v>29</v>
      </c>
      <c r="AL552" s="22" t="s">
        <v>161</v>
      </c>
      <c r="AM552" s="22">
        <v>0.11</v>
      </c>
      <c r="AO552" s="22" t="s">
        <v>1762</v>
      </c>
      <c r="AP552" s="22" t="s">
        <v>1432</v>
      </c>
      <c r="AQ552" s="22" t="str">
        <f t="shared" si="84"/>
        <v>Microphytoplankton</v>
      </c>
      <c r="AR552" s="22">
        <v>1</v>
      </c>
      <c r="AS552" s="22">
        <v>0</v>
      </c>
      <c r="AT552" s="22">
        <v>1</v>
      </c>
      <c r="AU552" s="22">
        <v>1</v>
      </c>
      <c r="AV552" s="22">
        <v>0</v>
      </c>
      <c r="AW552" s="22">
        <v>0</v>
      </c>
      <c r="AX552" s="22">
        <v>1</v>
      </c>
      <c r="AY552" s="22">
        <v>0</v>
      </c>
    </row>
    <row r="553" spans="1:57">
      <c r="A553" s="22" t="s">
        <v>1771</v>
      </c>
      <c r="B553" s="22" t="s">
        <v>663</v>
      </c>
      <c r="C553" s="23" t="s">
        <v>822</v>
      </c>
      <c r="D553" s="23" t="s">
        <v>965</v>
      </c>
      <c r="E553" s="22" t="s">
        <v>62</v>
      </c>
      <c r="F553" s="23" t="s">
        <v>1434</v>
      </c>
      <c r="G553" s="23" t="s">
        <v>1662</v>
      </c>
      <c r="H553" s="23" t="s">
        <v>1663</v>
      </c>
      <c r="I553" s="22" t="s">
        <v>1760</v>
      </c>
      <c r="J553" s="22" t="s">
        <v>1772</v>
      </c>
      <c r="N553" s="22" t="s">
        <v>486</v>
      </c>
      <c r="O553" s="22" t="s">
        <v>1430</v>
      </c>
      <c r="P553" s="21">
        <v>71385</v>
      </c>
      <c r="Q553" s="22">
        <v>49.5</v>
      </c>
      <c r="R553" s="22">
        <v>16.5</v>
      </c>
      <c r="S553" s="22">
        <v>9</v>
      </c>
      <c r="T553" s="22" t="s">
        <v>330</v>
      </c>
      <c r="U553" s="22">
        <v>0.7</v>
      </c>
      <c r="V553" s="21">
        <v>0.7</v>
      </c>
      <c r="W553" s="25">
        <f t="shared" si="85"/>
        <v>4030.7142857142858</v>
      </c>
      <c r="X553" s="25">
        <f t="shared" si="86"/>
        <v>5145.5249999999996</v>
      </c>
      <c r="Y553" s="21">
        <v>1</v>
      </c>
      <c r="Z553" s="24">
        <f t="shared" si="82"/>
        <v>4030.7142857142858</v>
      </c>
      <c r="AA553" s="24">
        <f t="shared" si="83"/>
        <v>5145.5249999999996</v>
      </c>
      <c r="AE553" s="21"/>
      <c r="AF553" s="21" t="s">
        <v>247</v>
      </c>
      <c r="AJ553" s="21">
        <v>5165</v>
      </c>
      <c r="AK553" s="21">
        <v>49.5</v>
      </c>
      <c r="AL553" s="22" t="s">
        <v>161</v>
      </c>
      <c r="AM553" s="22">
        <v>0.11</v>
      </c>
      <c r="AO553" s="22" t="s">
        <v>383</v>
      </c>
      <c r="AP553" s="22" t="s">
        <v>1432</v>
      </c>
      <c r="AQ553" s="22" t="str">
        <f t="shared" si="84"/>
        <v>Microphytoplankton</v>
      </c>
      <c r="AR553" s="22">
        <v>1</v>
      </c>
      <c r="AS553" s="22">
        <v>0</v>
      </c>
      <c r="AT553" s="22">
        <v>1</v>
      </c>
      <c r="AU553" s="22">
        <v>1</v>
      </c>
      <c r="AV553" s="22">
        <v>0</v>
      </c>
      <c r="AW553" s="22">
        <v>0</v>
      </c>
      <c r="AX553" s="22">
        <v>1</v>
      </c>
      <c r="AY553" s="22">
        <v>0</v>
      </c>
    </row>
    <row r="554" spans="1:57">
      <c r="A554" s="30" t="s">
        <v>1773</v>
      </c>
      <c r="B554" s="22" t="s">
        <v>663</v>
      </c>
      <c r="C554" s="23" t="s">
        <v>822</v>
      </c>
      <c r="D554" s="23" t="s">
        <v>965</v>
      </c>
      <c r="E554" s="22" t="s">
        <v>62</v>
      </c>
      <c r="F554" s="23" t="s">
        <v>1434</v>
      </c>
      <c r="G554" s="23" t="s">
        <v>1662</v>
      </c>
      <c r="H554" s="23" t="s">
        <v>1663</v>
      </c>
      <c r="I554" s="22" t="s">
        <v>1774</v>
      </c>
      <c r="J554" s="22" t="s">
        <v>1697</v>
      </c>
      <c r="N554" s="22" t="s">
        <v>1715</v>
      </c>
      <c r="O554" s="22" t="s">
        <v>1430</v>
      </c>
      <c r="P554" s="21">
        <v>71386</v>
      </c>
      <c r="Q554" s="21">
        <v>24</v>
      </c>
      <c r="R554" s="21">
        <v>5</v>
      </c>
      <c r="S554" s="21">
        <v>2.5</v>
      </c>
      <c r="T554" s="22" t="s">
        <v>330</v>
      </c>
      <c r="U554" s="21">
        <v>0.7</v>
      </c>
      <c r="V554" s="21">
        <v>0.7</v>
      </c>
      <c r="W554" s="25">
        <f t="shared" si="85"/>
        <v>550</v>
      </c>
      <c r="X554" s="25">
        <f t="shared" si="86"/>
        <v>210</v>
      </c>
      <c r="Y554" s="21">
        <v>1</v>
      </c>
      <c r="Z554" s="24">
        <f t="shared" si="82"/>
        <v>550</v>
      </c>
      <c r="AA554" s="24">
        <f t="shared" si="83"/>
        <v>210</v>
      </c>
      <c r="AB554" s="21"/>
      <c r="AC554" s="21"/>
      <c r="AD554" s="21"/>
      <c r="AE554" s="21"/>
      <c r="AF554" s="21" t="s">
        <v>247</v>
      </c>
      <c r="AG554" s="21"/>
      <c r="AH554" s="24"/>
      <c r="AI554" s="24"/>
      <c r="AJ554" s="21">
        <v>210</v>
      </c>
      <c r="AK554" s="21">
        <v>24</v>
      </c>
      <c r="AL554" s="22" t="s">
        <v>161</v>
      </c>
      <c r="AM554" s="22">
        <v>0.11</v>
      </c>
      <c r="AO554" s="22" t="s">
        <v>383</v>
      </c>
      <c r="AP554" s="22" t="s">
        <v>1432</v>
      </c>
      <c r="AQ554" s="22" t="str">
        <f t="shared" si="84"/>
        <v>Microphytoplankton</v>
      </c>
      <c r="AR554" s="22">
        <v>1</v>
      </c>
      <c r="AS554" s="22">
        <v>0</v>
      </c>
      <c r="AT554" s="22">
        <v>1</v>
      </c>
      <c r="AU554" s="22">
        <v>1</v>
      </c>
      <c r="AV554" s="22">
        <v>0</v>
      </c>
      <c r="AW554" s="22">
        <v>0</v>
      </c>
      <c r="AX554" s="22">
        <v>1</v>
      </c>
      <c r="AY554" s="22">
        <v>0</v>
      </c>
    </row>
    <row r="555" spans="1:57">
      <c r="A555" s="21" t="s">
        <v>1775</v>
      </c>
      <c r="B555" s="22" t="s">
        <v>663</v>
      </c>
      <c r="C555" s="23" t="s">
        <v>822</v>
      </c>
      <c r="D555" s="23" t="s">
        <v>965</v>
      </c>
      <c r="E555" s="22" t="s">
        <v>62</v>
      </c>
      <c r="F555" s="23" t="s">
        <v>1434</v>
      </c>
      <c r="G555" s="23" t="s">
        <v>1473</v>
      </c>
      <c r="H555" s="23" t="s">
        <v>1545</v>
      </c>
      <c r="I555" s="22" t="s">
        <v>1776</v>
      </c>
      <c r="J555" s="21" t="s">
        <v>216</v>
      </c>
      <c r="K555" s="21"/>
      <c r="L555" s="21"/>
      <c r="N555" s="22" t="s">
        <v>1456</v>
      </c>
      <c r="O555" s="22" t="s">
        <v>1430</v>
      </c>
      <c r="P555" s="21">
        <v>71388</v>
      </c>
      <c r="Q555" s="22">
        <v>8.3000000000000007</v>
      </c>
      <c r="R555" s="22">
        <v>4.5</v>
      </c>
      <c r="S555" s="22">
        <v>2</v>
      </c>
      <c r="T555" s="22" t="s">
        <v>330</v>
      </c>
      <c r="U555" s="22">
        <v>1</v>
      </c>
      <c r="V555" s="22">
        <v>1</v>
      </c>
      <c r="W555" s="25">
        <f t="shared" si="85"/>
        <v>125.9</v>
      </c>
      <c r="X555" s="25">
        <f t="shared" si="86"/>
        <v>74.7</v>
      </c>
      <c r="Y555" s="21">
        <v>1</v>
      </c>
      <c r="Z555" s="24">
        <f t="shared" si="82"/>
        <v>125.9</v>
      </c>
      <c r="AA555" s="24">
        <f t="shared" si="83"/>
        <v>74.7</v>
      </c>
      <c r="AE555" s="21"/>
      <c r="AF555" s="21" t="s">
        <v>247</v>
      </c>
      <c r="AJ555" s="21">
        <v>75</v>
      </c>
      <c r="AK555" s="21">
        <v>8.3000000000000007</v>
      </c>
      <c r="AL555" s="22" t="s">
        <v>161</v>
      </c>
      <c r="AM555" s="22">
        <v>0.11</v>
      </c>
      <c r="AO555" s="22" t="s">
        <v>1447</v>
      </c>
      <c r="AP555" s="22" t="s">
        <v>1432</v>
      </c>
      <c r="AQ555" s="22" t="str">
        <f t="shared" si="84"/>
        <v>Nanophytoplankton</v>
      </c>
      <c r="AR555" s="22">
        <v>1</v>
      </c>
      <c r="AS555" s="22">
        <v>0</v>
      </c>
      <c r="AT555" s="22">
        <v>1</v>
      </c>
      <c r="AU555" s="22">
        <v>0</v>
      </c>
      <c r="AV555" s="22">
        <v>0</v>
      </c>
      <c r="AW555" s="22">
        <v>0</v>
      </c>
      <c r="AX555" s="22">
        <v>1</v>
      </c>
      <c r="AY555" s="22">
        <v>0</v>
      </c>
    </row>
    <row r="556" spans="1:57">
      <c r="A556" s="21" t="s">
        <v>1777</v>
      </c>
      <c r="B556" s="22" t="s">
        <v>663</v>
      </c>
      <c r="C556" s="23" t="s">
        <v>822</v>
      </c>
      <c r="D556" s="23" t="s">
        <v>965</v>
      </c>
      <c r="E556" s="22" t="s">
        <v>62</v>
      </c>
      <c r="F556" s="23" t="s">
        <v>1434</v>
      </c>
      <c r="G556" s="23" t="s">
        <v>1778</v>
      </c>
      <c r="H556" s="23" t="s">
        <v>1779</v>
      </c>
      <c r="I556" s="22" t="s">
        <v>1780</v>
      </c>
      <c r="J556" s="22" t="s">
        <v>1781</v>
      </c>
      <c r="N556" s="22" t="s">
        <v>1643</v>
      </c>
      <c r="O556" s="22" t="s">
        <v>1430</v>
      </c>
      <c r="P556" s="21">
        <v>73500</v>
      </c>
      <c r="Q556" s="21">
        <v>50</v>
      </c>
      <c r="R556" s="21">
        <v>20</v>
      </c>
      <c r="S556" s="21">
        <v>4</v>
      </c>
      <c r="T556" s="22" t="s">
        <v>330</v>
      </c>
      <c r="U556" s="21">
        <v>0.8</v>
      </c>
      <c r="V556" s="21">
        <v>0.8</v>
      </c>
      <c r="W556" s="25">
        <f t="shared" si="85"/>
        <v>3200</v>
      </c>
      <c r="X556" s="25">
        <f t="shared" si="86"/>
        <v>3200</v>
      </c>
      <c r="Y556" s="21">
        <v>1</v>
      </c>
      <c r="Z556" s="24">
        <f t="shared" si="82"/>
        <v>3200</v>
      </c>
      <c r="AA556" s="24">
        <f t="shared" si="83"/>
        <v>3200</v>
      </c>
      <c r="AB556" s="21"/>
      <c r="AC556" s="21"/>
      <c r="AD556" s="21"/>
      <c r="AE556" s="21"/>
      <c r="AF556" s="21" t="s">
        <v>247</v>
      </c>
      <c r="AG556" s="21"/>
      <c r="AH556" s="24"/>
      <c r="AI556" s="24"/>
      <c r="AJ556" s="21">
        <v>3200</v>
      </c>
      <c r="AK556" s="21">
        <v>52</v>
      </c>
      <c r="AL556" s="22" t="s">
        <v>161</v>
      </c>
      <c r="AM556" s="22">
        <v>0.11</v>
      </c>
      <c r="AO556" s="22" t="s">
        <v>1447</v>
      </c>
      <c r="AP556" s="22" t="s">
        <v>1432</v>
      </c>
      <c r="AQ556" s="22" t="str">
        <f t="shared" si="84"/>
        <v>Microphytoplankton</v>
      </c>
      <c r="AR556" s="22">
        <v>1</v>
      </c>
      <c r="AS556" s="22">
        <v>0</v>
      </c>
      <c r="AT556" s="22">
        <v>1</v>
      </c>
      <c r="AU556" s="22">
        <v>0</v>
      </c>
      <c r="AV556" s="22">
        <v>0</v>
      </c>
      <c r="AW556" s="22">
        <v>0</v>
      </c>
      <c r="AX556" s="22">
        <v>1</v>
      </c>
      <c r="AY556" s="22">
        <v>0</v>
      </c>
    </row>
    <row r="557" spans="1:57">
      <c r="A557" s="21" t="s">
        <v>1782</v>
      </c>
      <c r="B557" s="22" t="s">
        <v>663</v>
      </c>
      <c r="C557" s="23" t="s">
        <v>822</v>
      </c>
      <c r="D557" s="23" t="s">
        <v>965</v>
      </c>
      <c r="E557" s="22" t="s">
        <v>62</v>
      </c>
      <c r="F557" s="23" t="s">
        <v>1434</v>
      </c>
      <c r="G557" s="23" t="s">
        <v>1778</v>
      </c>
      <c r="H557" s="23" t="s">
        <v>1779</v>
      </c>
      <c r="I557" s="22" t="s">
        <v>1780</v>
      </c>
      <c r="J557" s="22" t="s">
        <v>211</v>
      </c>
      <c r="M557" s="22" t="s">
        <v>1</v>
      </c>
      <c r="N557" s="22" t="s">
        <v>1056</v>
      </c>
      <c r="O557" s="22" t="s">
        <v>1430</v>
      </c>
      <c r="P557" s="21">
        <v>73510</v>
      </c>
      <c r="Q557" s="21">
        <v>63</v>
      </c>
      <c r="R557" s="21">
        <v>22.7</v>
      </c>
      <c r="S557" s="21">
        <v>22.7</v>
      </c>
      <c r="T557" s="22" t="s">
        <v>330</v>
      </c>
      <c r="U557" s="21">
        <v>1</v>
      </c>
      <c r="V557" s="22">
        <v>1</v>
      </c>
      <c r="W557" s="25">
        <f t="shared" si="85"/>
        <v>6750.98</v>
      </c>
      <c r="X557" s="25">
        <f t="shared" si="86"/>
        <v>32463.269999999997</v>
      </c>
      <c r="Y557" s="21">
        <v>1</v>
      </c>
      <c r="Z557" s="24">
        <f t="shared" si="82"/>
        <v>6750.98</v>
      </c>
      <c r="AA557" s="24">
        <f t="shared" si="83"/>
        <v>32463.269999999997</v>
      </c>
      <c r="AB557" s="21"/>
      <c r="AC557" s="21"/>
      <c r="AD557" s="21"/>
      <c r="AE557" s="21"/>
      <c r="AF557" s="21" t="s">
        <v>247</v>
      </c>
      <c r="AG557" s="21"/>
      <c r="AH557" s="24"/>
      <c r="AI557" s="24"/>
      <c r="AJ557" s="21">
        <v>32463.3</v>
      </c>
      <c r="AK557" s="21">
        <v>63</v>
      </c>
      <c r="AL557" s="22" t="s">
        <v>161</v>
      </c>
      <c r="AM557" s="22">
        <v>0.11</v>
      </c>
      <c r="AO557" s="22" t="s">
        <v>383</v>
      </c>
      <c r="AP557" s="22" t="s">
        <v>1432</v>
      </c>
      <c r="AQ557" s="22" t="str">
        <f t="shared" si="84"/>
        <v>Microphytoplankton</v>
      </c>
      <c r="AR557" s="22">
        <v>1</v>
      </c>
      <c r="AS557" s="22">
        <v>0</v>
      </c>
      <c r="AT557" s="22">
        <v>1</v>
      </c>
      <c r="AU557" s="22">
        <v>0</v>
      </c>
      <c r="AV557" s="22">
        <v>0</v>
      </c>
      <c r="AW557" s="22">
        <v>0</v>
      </c>
      <c r="AX557" s="22">
        <v>1</v>
      </c>
      <c r="AY557" s="22">
        <v>0</v>
      </c>
    </row>
    <row r="558" spans="1:57">
      <c r="A558" s="21" t="s">
        <v>1783</v>
      </c>
      <c r="B558" s="22" t="s">
        <v>663</v>
      </c>
      <c r="C558" s="23" t="s">
        <v>822</v>
      </c>
      <c r="D558" s="23" t="s">
        <v>965</v>
      </c>
      <c r="E558" s="22" t="s">
        <v>62</v>
      </c>
      <c r="F558" s="23" t="s">
        <v>1434</v>
      </c>
      <c r="G558" s="23" t="s">
        <v>1784</v>
      </c>
      <c r="H558" s="23" t="s">
        <v>1785</v>
      </c>
      <c r="I558" s="22" t="s">
        <v>1786</v>
      </c>
      <c r="J558" s="22" t="s">
        <v>1787</v>
      </c>
      <c r="N558" s="22" t="s">
        <v>694</v>
      </c>
      <c r="O558" s="22" t="s">
        <v>1430</v>
      </c>
      <c r="P558" s="21">
        <v>74030</v>
      </c>
      <c r="Q558" s="22">
        <v>34</v>
      </c>
      <c r="R558" s="22">
        <v>7</v>
      </c>
      <c r="S558" s="22">
        <v>2.5</v>
      </c>
      <c r="T558" s="22" t="s">
        <v>330</v>
      </c>
      <c r="U558" s="22">
        <v>0.8</v>
      </c>
      <c r="V558" s="21">
        <v>0.8</v>
      </c>
      <c r="W558" s="25">
        <f t="shared" si="85"/>
        <v>851.25</v>
      </c>
      <c r="X558" s="25">
        <f t="shared" si="86"/>
        <v>476</v>
      </c>
      <c r="Y558" s="21">
        <v>1</v>
      </c>
      <c r="Z558" s="24">
        <f t="shared" si="82"/>
        <v>851.25</v>
      </c>
      <c r="AA558" s="24">
        <f t="shared" si="83"/>
        <v>476</v>
      </c>
      <c r="AE558" s="21"/>
      <c r="AF558" s="21" t="s">
        <v>247</v>
      </c>
      <c r="AJ558" s="21">
        <v>476</v>
      </c>
      <c r="AK558" s="21">
        <v>30</v>
      </c>
      <c r="AL558" s="22" t="s">
        <v>161</v>
      </c>
      <c r="AM558" s="22">
        <v>0.11</v>
      </c>
      <c r="AO558" s="22" t="s">
        <v>383</v>
      </c>
      <c r="AP558" s="22" t="s">
        <v>1432</v>
      </c>
      <c r="AQ558" s="22" t="str">
        <f t="shared" si="84"/>
        <v>Microphytoplankton</v>
      </c>
      <c r="AR558" s="22">
        <v>1</v>
      </c>
      <c r="AS558" s="22">
        <v>0</v>
      </c>
      <c r="AT558" s="22">
        <v>1</v>
      </c>
      <c r="AU558" s="22">
        <v>1</v>
      </c>
      <c r="AV558" s="22">
        <v>0</v>
      </c>
      <c r="AW558" s="22">
        <v>0</v>
      </c>
      <c r="AX558" s="22">
        <v>1</v>
      </c>
      <c r="AY558" s="22">
        <v>0</v>
      </c>
    </row>
    <row r="559" spans="1:57">
      <c r="A559" s="21" t="s">
        <v>1788</v>
      </c>
      <c r="B559" s="22" t="s">
        <v>663</v>
      </c>
      <c r="C559" s="23" t="s">
        <v>822</v>
      </c>
      <c r="D559" s="23" t="s">
        <v>965</v>
      </c>
      <c r="E559" s="22" t="s">
        <v>62</v>
      </c>
      <c r="F559" s="23" t="s">
        <v>1434</v>
      </c>
      <c r="G559" s="23" t="s">
        <v>1784</v>
      </c>
      <c r="H559" s="23" t="s">
        <v>1785</v>
      </c>
      <c r="I559" s="22" t="s">
        <v>1786</v>
      </c>
      <c r="J559" s="22" t="s">
        <v>1789</v>
      </c>
      <c r="N559" s="22" t="s">
        <v>1790</v>
      </c>
      <c r="O559" s="22" t="s">
        <v>1430</v>
      </c>
      <c r="P559" s="21">
        <v>74040</v>
      </c>
      <c r="Q559" s="22">
        <v>60</v>
      </c>
      <c r="R559" s="22">
        <v>4</v>
      </c>
      <c r="S559" s="22">
        <v>3</v>
      </c>
      <c r="T559" s="22" t="s">
        <v>330</v>
      </c>
      <c r="U559" s="22">
        <v>0.8</v>
      </c>
      <c r="V559" s="21">
        <v>0.8</v>
      </c>
      <c r="W559" s="25">
        <f t="shared" si="85"/>
        <v>1080</v>
      </c>
      <c r="X559" s="25">
        <f t="shared" si="86"/>
        <v>576</v>
      </c>
      <c r="Y559" s="21">
        <v>1</v>
      </c>
      <c r="Z559" s="24">
        <f t="shared" si="82"/>
        <v>1080</v>
      </c>
      <c r="AA559" s="24">
        <f t="shared" si="83"/>
        <v>576</v>
      </c>
      <c r="AE559" s="21"/>
      <c r="AF559" s="21" t="s">
        <v>247</v>
      </c>
      <c r="AJ559" s="21">
        <v>576</v>
      </c>
      <c r="AK559" s="21">
        <v>60</v>
      </c>
      <c r="AL559" s="22" t="s">
        <v>161</v>
      </c>
      <c r="AM559" s="22">
        <v>0.11</v>
      </c>
      <c r="AO559" s="22" t="s">
        <v>383</v>
      </c>
      <c r="AP559" s="22" t="s">
        <v>1432</v>
      </c>
      <c r="AQ559" s="22" t="str">
        <f t="shared" si="84"/>
        <v>Microphytoplankton</v>
      </c>
      <c r="AR559" s="22">
        <v>1</v>
      </c>
      <c r="AS559" s="22">
        <v>0</v>
      </c>
      <c r="AT559" s="22">
        <v>1</v>
      </c>
      <c r="AU559" s="22">
        <v>1</v>
      </c>
      <c r="AV559" s="22">
        <v>0</v>
      </c>
      <c r="AW559" s="22">
        <v>0</v>
      </c>
      <c r="AX559" s="22">
        <v>1</v>
      </c>
      <c r="AY559" s="22">
        <v>0</v>
      </c>
    </row>
    <row r="560" spans="1:57">
      <c r="A560" s="21" t="s">
        <v>1791</v>
      </c>
      <c r="B560" s="22" t="s">
        <v>663</v>
      </c>
      <c r="C560" s="23" t="s">
        <v>822</v>
      </c>
      <c r="D560" s="23" t="s">
        <v>965</v>
      </c>
      <c r="E560" s="22" t="s">
        <v>62</v>
      </c>
      <c r="F560" s="23" t="s">
        <v>1434</v>
      </c>
      <c r="G560" s="23" t="s">
        <v>1784</v>
      </c>
      <c r="H560" s="23" t="s">
        <v>1785</v>
      </c>
      <c r="I560" s="22" t="s">
        <v>1786</v>
      </c>
      <c r="J560" s="22" t="s">
        <v>1455</v>
      </c>
      <c r="N560" s="22" t="s">
        <v>1792</v>
      </c>
      <c r="O560" s="22" t="s">
        <v>1430</v>
      </c>
      <c r="P560" s="21">
        <v>74000</v>
      </c>
      <c r="Q560" s="22">
        <v>18</v>
      </c>
      <c r="R560" s="22">
        <v>4</v>
      </c>
      <c r="S560" s="22">
        <v>2.2000000000000002</v>
      </c>
      <c r="T560" s="22" t="s">
        <v>330</v>
      </c>
      <c r="U560" s="22">
        <v>0.8</v>
      </c>
      <c r="V560" s="21">
        <v>0.8</v>
      </c>
      <c r="W560" s="25">
        <f t="shared" si="85"/>
        <v>300.99999999999994</v>
      </c>
      <c r="X560" s="25">
        <f t="shared" si="86"/>
        <v>126.72000000000001</v>
      </c>
      <c r="Y560" s="21">
        <v>1</v>
      </c>
      <c r="Z560" s="24">
        <f t="shared" si="82"/>
        <v>300.99999999999994</v>
      </c>
      <c r="AA560" s="24">
        <f t="shared" si="83"/>
        <v>126.72000000000001</v>
      </c>
      <c r="AE560" s="21"/>
      <c r="AF560" s="21" t="s">
        <v>247</v>
      </c>
      <c r="AJ560" s="21">
        <v>130</v>
      </c>
      <c r="AK560" s="21">
        <v>18</v>
      </c>
      <c r="AL560" s="22" t="s">
        <v>161</v>
      </c>
      <c r="AM560" s="22">
        <v>0.11</v>
      </c>
      <c r="AO560" s="22" t="s">
        <v>383</v>
      </c>
      <c r="AP560" s="22" t="s">
        <v>1432</v>
      </c>
      <c r="AQ560" s="22" t="str">
        <f t="shared" si="84"/>
        <v>Nanophytoplankton</v>
      </c>
      <c r="AR560" s="22">
        <v>1</v>
      </c>
      <c r="AS560" s="22">
        <v>0</v>
      </c>
      <c r="AT560" s="22">
        <v>1</v>
      </c>
      <c r="AU560" s="22">
        <v>1</v>
      </c>
      <c r="AV560" s="22">
        <v>0</v>
      </c>
      <c r="AW560" s="22">
        <v>0</v>
      </c>
      <c r="AX560" s="22">
        <v>1</v>
      </c>
      <c r="AY560" s="22">
        <v>0</v>
      </c>
    </row>
    <row r="561" spans="1:51">
      <c r="A561" s="22" t="s">
        <v>1793</v>
      </c>
      <c r="B561" s="22" t="s">
        <v>663</v>
      </c>
      <c r="C561" s="23" t="s">
        <v>822</v>
      </c>
      <c r="D561" s="23" t="s">
        <v>965</v>
      </c>
      <c r="E561" s="22" t="s">
        <v>62</v>
      </c>
      <c r="F561" s="23" t="s">
        <v>1434</v>
      </c>
      <c r="G561" s="23" t="s">
        <v>1784</v>
      </c>
      <c r="H561" s="23" t="s">
        <v>1785</v>
      </c>
      <c r="I561" s="22" t="s">
        <v>1786</v>
      </c>
      <c r="J561" s="22" t="s">
        <v>1294</v>
      </c>
      <c r="N561" s="22" t="s">
        <v>1496</v>
      </c>
      <c r="O561" s="22" t="s">
        <v>1430</v>
      </c>
      <c r="P561" s="21">
        <v>74001</v>
      </c>
      <c r="Q561" s="22">
        <v>40</v>
      </c>
      <c r="R561" s="22">
        <v>6.5</v>
      </c>
      <c r="S561" s="22">
        <v>3.6</v>
      </c>
      <c r="T561" s="22" t="s">
        <v>330</v>
      </c>
      <c r="U561" s="22">
        <v>0.8</v>
      </c>
      <c r="V561" s="21">
        <v>0.8</v>
      </c>
      <c r="W561" s="25">
        <f t="shared" si="85"/>
        <v>1068.4999999999998</v>
      </c>
      <c r="X561" s="25">
        <f t="shared" si="86"/>
        <v>748.80000000000007</v>
      </c>
      <c r="Y561" s="21">
        <v>1</v>
      </c>
      <c r="Z561" s="24">
        <f t="shared" si="82"/>
        <v>1068.4999999999998</v>
      </c>
      <c r="AA561" s="24">
        <f t="shared" si="83"/>
        <v>748.80000000000007</v>
      </c>
      <c r="AE561" s="21"/>
      <c r="AF561" s="21" t="s">
        <v>247</v>
      </c>
      <c r="AJ561" s="21">
        <v>755</v>
      </c>
      <c r="AK561" s="21">
        <v>40</v>
      </c>
      <c r="AL561" s="22" t="s">
        <v>161</v>
      </c>
      <c r="AM561" s="22">
        <v>0.11</v>
      </c>
      <c r="AO561" s="22" t="s">
        <v>383</v>
      </c>
      <c r="AP561" s="22" t="s">
        <v>1432</v>
      </c>
      <c r="AQ561" s="22" t="str">
        <f t="shared" si="84"/>
        <v>Microphytoplankton</v>
      </c>
      <c r="AR561" s="22">
        <v>1</v>
      </c>
      <c r="AS561" s="22">
        <v>0</v>
      </c>
      <c r="AT561" s="22">
        <v>1</v>
      </c>
      <c r="AU561" s="22">
        <v>1</v>
      </c>
      <c r="AV561" s="22">
        <v>0</v>
      </c>
      <c r="AW561" s="22">
        <v>0</v>
      </c>
      <c r="AX561" s="22">
        <v>1</v>
      </c>
      <c r="AY561" s="22">
        <v>0</v>
      </c>
    </row>
    <row r="562" spans="1:51">
      <c r="A562" s="22" t="s">
        <v>1794</v>
      </c>
      <c r="B562" s="22" t="s">
        <v>663</v>
      </c>
      <c r="C562" s="23" t="s">
        <v>822</v>
      </c>
      <c r="D562" s="23" t="s">
        <v>965</v>
      </c>
      <c r="E562" s="22" t="s">
        <v>62</v>
      </c>
      <c r="F562" s="23" t="s">
        <v>1434</v>
      </c>
      <c r="G562" s="23" t="s">
        <v>1784</v>
      </c>
      <c r="H562" s="23" t="s">
        <v>1785</v>
      </c>
      <c r="I562" s="22" t="s">
        <v>1786</v>
      </c>
      <c r="J562" s="22" t="s">
        <v>1795</v>
      </c>
      <c r="N562" s="22" t="s">
        <v>1796</v>
      </c>
      <c r="O562" s="22" t="s">
        <v>1430</v>
      </c>
      <c r="P562" s="21">
        <v>74002</v>
      </c>
      <c r="Q562" s="22">
        <v>200</v>
      </c>
      <c r="R562" s="22">
        <v>2.5</v>
      </c>
      <c r="S562" s="22">
        <v>2.2000000000000002</v>
      </c>
      <c r="T562" s="22" t="s">
        <v>330</v>
      </c>
      <c r="U562" s="22">
        <v>0.8</v>
      </c>
      <c r="V562" s="21">
        <v>0.8</v>
      </c>
      <c r="W562" s="25">
        <f t="shared" si="85"/>
        <v>2363.75</v>
      </c>
      <c r="X562" s="25">
        <f t="shared" si="86"/>
        <v>880</v>
      </c>
      <c r="Y562" s="21">
        <v>1</v>
      </c>
      <c r="Z562" s="24">
        <f t="shared" si="82"/>
        <v>2363.75</v>
      </c>
      <c r="AA562" s="24">
        <f t="shared" si="83"/>
        <v>880</v>
      </c>
      <c r="AE562" s="21"/>
      <c r="AF562" s="21" t="s">
        <v>247</v>
      </c>
      <c r="AJ562" s="21">
        <v>880.00000000000011</v>
      </c>
      <c r="AK562" s="21">
        <v>200</v>
      </c>
      <c r="AL562" s="22" t="s">
        <v>161</v>
      </c>
      <c r="AM562" s="22">
        <v>0.11</v>
      </c>
      <c r="AO562" s="22" t="s">
        <v>383</v>
      </c>
      <c r="AP562" s="22" t="s">
        <v>1432</v>
      </c>
      <c r="AQ562" s="22" t="str">
        <f t="shared" si="84"/>
        <v>Microphytoplankton</v>
      </c>
      <c r="AR562" s="22">
        <v>1</v>
      </c>
      <c r="AS562" s="22">
        <v>0</v>
      </c>
      <c r="AT562" s="22">
        <v>1</v>
      </c>
      <c r="AU562" s="22">
        <v>1</v>
      </c>
      <c r="AV562" s="22">
        <v>0</v>
      </c>
      <c r="AW562" s="22">
        <v>0</v>
      </c>
      <c r="AX562" s="22">
        <v>1</v>
      </c>
      <c r="AY562" s="22">
        <v>0</v>
      </c>
    </row>
    <row r="563" spans="1:51">
      <c r="A563" s="21" t="s">
        <v>1797</v>
      </c>
      <c r="B563" s="22" t="s">
        <v>663</v>
      </c>
      <c r="C563" s="23" t="s">
        <v>822</v>
      </c>
      <c r="D563" s="23" t="s">
        <v>965</v>
      </c>
      <c r="E563" s="22" t="s">
        <v>62</v>
      </c>
      <c r="F563" s="23" t="s">
        <v>1434</v>
      </c>
      <c r="G563" s="23" t="s">
        <v>1784</v>
      </c>
      <c r="H563" s="23" t="s">
        <v>1785</v>
      </c>
      <c r="I563" s="22" t="s">
        <v>1786</v>
      </c>
      <c r="J563" s="22" t="s">
        <v>1798</v>
      </c>
      <c r="N563" s="22" t="s">
        <v>694</v>
      </c>
      <c r="O563" s="22" t="s">
        <v>1430</v>
      </c>
      <c r="P563" s="21">
        <v>74010</v>
      </c>
      <c r="Q563" s="21">
        <v>34</v>
      </c>
      <c r="R563" s="21">
        <v>7</v>
      </c>
      <c r="S563" s="21">
        <v>7</v>
      </c>
      <c r="T563" s="22" t="s">
        <v>330</v>
      </c>
      <c r="U563" s="21">
        <v>0.8</v>
      </c>
      <c r="V563" s="21">
        <v>0.8</v>
      </c>
      <c r="W563" s="25">
        <f t="shared" si="85"/>
        <v>1312.5</v>
      </c>
      <c r="X563" s="25">
        <f t="shared" si="86"/>
        <v>1332.8000000000002</v>
      </c>
      <c r="Y563" s="21">
        <v>1</v>
      </c>
      <c r="Z563" s="24">
        <f t="shared" si="82"/>
        <v>1312.5</v>
      </c>
      <c r="AA563" s="24">
        <f t="shared" si="83"/>
        <v>1332.8000000000002</v>
      </c>
      <c r="AB563" s="21"/>
      <c r="AC563" s="21"/>
      <c r="AD563" s="21"/>
      <c r="AE563" s="21"/>
      <c r="AF563" s="21" t="s">
        <v>247</v>
      </c>
      <c r="AG563" s="21"/>
      <c r="AH563" s="24"/>
      <c r="AI563" s="24"/>
      <c r="AJ563" s="21">
        <v>1332.8</v>
      </c>
      <c r="AK563" s="21">
        <v>34</v>
      </c>
      <c r="AL563" s="22" t="s">
        <v>161</v>
      </c>
      <c r="AM563" s="22">
        <v>0.11</v>
      </c>
      <c r="AO563" s="22" t="s">
        <v>383</v>
      </c>
      <c r="AP563" s="22" t="s">
        <v>1432</v>
      </c>
      <c r="AQ563" s="22" t="str">
        <f t="shared" si="84"/>
        <v>Microphytoplankton</v>
      </c>
      <c r="AR563" s="22">
        <v>1</v>
      </c>
      <c r="AS563" s="22">
        <v>0</v>
      </c>
      <c r="AT563" s="22">
        <v>1</v>
      </c>
      <c r="AU563" s="22">
        <v>1</v>
      </c>
      <c r="AV563" s="22">
        <v>0</v>
      </c>
      <c r="AW563" s="22">
        <v>0</v>
      </c>
      <c r="AX563" s="22">
        <v>1</v>
      </c>
      <c r="AY563" s="22">
        <v>0</v>
      </c>
    </row>
    <row r="564" spans="1:51">
      <c r="A564" s="21" t="s">
        <v>1799</v>
      </c>
      <c r="B564" s="22" t="s">
        <v>663</v>
      </c>
      <c r="C564" s="23" t="s">
        <v>822</v>
      </c>
      <c r="D564" s="23" t="s">
        <v>965</v>
      </c>
      <c r="E564" s="22" t="s">
        <v>62</v>
      </c>
      <c r="F564" s="23" t="s">
        <v>1434</v>
      </c>
      <c r="G564" s="23" t="s">
        <v>1784</v>
      </c>
      <c r="H564" s="23" t="s">
        <v>1785</v>
      </c>
      <c r="I564" s="22" t="s">
        <v>1786</v>
      </c>
      <c r="J564" s="22" t="s">
        <v>1800</v>
      </c>
      <c r="K564" s="22" t="s">
        <v>175</v>
      </c>
      <c r="L564" s="22" t="s">
        <v>1801</v>
      </c>
      <c r="N564" s="22" t="s">
        <v>1802</v>
      </c>
      <c r="O564" s="22" t="s">
        <v>1430</v>
      </c>
      <c r="P564" s="21">
        <v>74020</v>
      </c>
      <c r="Q564" s="21">
        <v>65.8</v>
      </c>
      <c r="R564" s="21">
        <v>30.7</v>
      </c>
      <c r="S564" s="21">
        <v>15</v>
      </c>
      <c r="T564" s="22" t="s">
        <v>330</v>
      </c>
      <c r="U564" s="21">
        <v>0.6</v>
      </c>
      <c r="V564" s="21">
        <v>0.6</v>
      </c>
      <c r="W564" s="25">
        <f t="shared" si="85"/>
        <v>11558.533333333333</v>
      </c>
      <c r="X564" s="25">
        <f t="shared" si="86"/>
        <v>18180.539999999997</v>
      </c>
      <c r="Y564" s="21">
        <v>1</v>
      </c>
      <c r="Z564" s="24">
        <f t="shared" si="82"/>
        <v>11558.533333333333</v>
      </c>
      <c r="AA564" s="24">
        <f t="shared" si="83"/>
        <v>18180.539999999997</v>
      </c>
      <c r="AB564" s="21"/>
      <c r="AC564" s="21"/>
      <c r="AD564" s="21"/>
      <c r="AE564" s="21"/>
      <c r="AF564" s="21" t="s">
        <v>247</v>
      </c>
      <c r="AG564" s="21"/>
      <c r="AH564" s="24"/>
      <c r="AI564" s="24"/>
      <c r="AJ564" s="21">
        <v>18181</v>
      </c>
      <c r="AK564" s="21">
        <v>65.8</v>
      </c>
      <c r="AL564" s="22" t="s">
        <v>161</v>
      </c>
      <c r="AM564" s="22">
        <v>0.11</v>
      </c>
      <c r="AO564" s="22" t="s">
        <v>383</v>
      </c>
      <c r="AP564" s="22" t="s">
        <v>1432</v>
      </c>
      <c r="AQ564" s="22" t="str">
        <f t="shared" si="84"/>
        <v>Microphytoplankton</v>
      </c>
      <c r="AR564" s="22">
        <v>1</v>
      </c>
      <c r="AS564" s="22">
        <v>0</v>
      </c>
      <c r="AT564" s="22">
        <v>1</v>
      </c>
      <c r="AU564" s="22">
        <v>1</v>
      </c>
      <c r="AV564" s="22">
        <v>0</v>
      </c>
      <c r="AW564" s="22">
        <v>0</v>
      </c>
      <c r="AX564" s="22">
        <v>1</v>
      </c>
      <c r="AY564" s="22">
        <v>0</v>
      </c>
    </row>
    <row r="565" spans="1:51">
      <c r="A565" s="21" t="s">
        <v>1803</v>
      </c>
      <c r="B565" s="22" t="s">
        <v>663</v>
      </c>
      <c r="C565" s="23" t="s">
        <v>822</v>
      </c>
      <c r="D565" s="23" t="s">
        <v>965</v>
      </c>
      <c r="E565" s="22" t="s">
        <v>62</v>
      </c>
      <c r="F565" s="23" t="s">
        <v>1434</v>
      </c>
      <c r="G565" s="23" t="s">
        <v>1784</v>
      </c>
      <c r="H565" s="23" t="s">
        <v>1785</v>
      </c>
      <c r="I565" s="22" t="s">
        <v>1786</v>
      </c>
      <c r="J565" s="22" t="s">
        <v>211</v>
      </c>
      <c r="M565" s="22" t="s">
        <v>1</v>
      </c>
      <c r="N565" s="22" t="s">
        <v>1580</v>
      </c>
      <c r="O565" s="22" t="s">
        <v>1430</v>
      </c>
      <c r="P565" s="21">
        <v>74050</v>
      </c>
      <c r="Q565" s="21">
        <v>47</v>
      </c>
      <c r="R565" s="21">
        <v>5.5</v>
      </c>
      <c r="S565" s="21">
        <v>5.5</v>
      </c>
      <c r="T565" s="22" t="s">
        <v>330</v>
      </c>
      <c r="U565" s="21">
        <v>0.8</v>
      </c>
      <c r="V565" s="21">
        <v>0.8</v>
      </c>
      <c r="W565" s="25">
        <f t="shared" si="85"/>
        <v>1368.125</v>
      </c>
      <c r="X565" s="25">
        <f t="shared" si="86"/>
        <v>1137.4000000000001</v>
      </c>
      <c r="Y565" s="21">
        <v>1</v>
      </c>
      <c r="Z565" s="24">
        <f t="shared" si="82"/>
        <v>1368.125</v>
      </c>
      <c r="AA565" s="24">
        <f t="shared" si="83"/>
        <v>1137.4000000000001</v>
      </c>
      <c r="AB565" s="21"/>
      <c r="AC565" s="21"/>
      <c r="AD565" s="21"/>
      <c r="AE565" s="21"/>
      <c r="AF565" s="21" t="s">
        <v>247</v>
      </c>
      <c r="AG565" s="21"/>
      <c r="AH565" s="24"/>
      <c r="AI565" s="24"/>
      <c r="AJ565" s="21">
        <v>1137.4000000000001</v>
      </c>
      <c r="AK565" s="21">
        <v>47</v>
      </c>
      <c r="AL565" s="22" t="s">
        <v>161</v>
      </c>
      <c r="AM565" s="22">
        <v>0.11</v>
      </c>
      <c r="AO565" s="22" t="s">
        <v>383</v>
      </c>
      <c r="AP565" s="22" t="s">
        <v>1432</v>
      </c>
      <c r="AQ565" s="22" t="str">
        <f t="shared" si="84"/>
        <v>Microphytoplankton</v>
      </c>
      <c r="AR565" s="22">
        <v>1</v>
      </c>
      <c r="AS565" s="22">
        <v>0</v>
      </c>
      <c r="AT565" s="22">
        <v>1</v>
      </c>
      <c r="AU565" s="22">
        <v>1</v>
      </c>
      <c r="AV565" s="22">
        <v>0</v>
      </c>
      <c r="AW565" s="22">
        <v>0</v>
      </c>
      <c r="AX565" s="22">
        <v>1</v>
      </c>
      <c r="AY565" s="22">
        <v>0</v>
      </c>
    </row>
    <row r="566" spans="1:51">
      <c r="A566" s="21" t="s">
        <v>1804</v>
      </c>
      <c r="B566" s="22" t="s">
        <v>663</v>
      </c>
      <c r="C566" s="23" t="s">
        <v>822</v>
      </c>
      <c r="D566" s="23" t="s">
        <v>965</v>
      </c>
      <c r="E566" s="22" t="s">
        <v>62</v>
      </c>
      <c r="F566" s="23" t="s">
        <v>1499</v>
      </c>
      <c r="G566" s="23" t="s">
        <v>1500</v>
      </c>
      <c r="H566" s="23" t="s">
        <v>1501</v>
      </c>
      <c r="I566" s="22" t="s">
        <v>1805</v>
      </c>
      <c r="J566" s="21" t="s">
        <v>1787</v>
      </c>
      <c r="K566" s="21"/>
      <c r="L566" s="21"/>
      <c r="N566" s="22" t="s">
        <v>1806</v>
      </c>
      <c r="O566" s="22" t="s">
        <v>1430</v>
      </c>
      <c r="P566" s="21">
        <v>72910</v>
      </c>
      <c r="Q566" s="21">
        <v>80</v>
      </c>
      <c r="R566" s="21">
        <v>5</v>
      </c>
      <c r="S566" s="21">
        <v>3</v>
      </c>
      <c r="T566" s="22" t="s">
        <v>330</v>
      </c>
      <c r="U566" s="21">
        <v>0.6</v>
      </c>
      <c r="V566" s="21">
        <v>0.6</v>
      </c>
      <c r="W566" s="25">
        <f t="shared" si="85"/>
        <v>2183.3333333333335</v>
      </c>
      <c r="X566" s="25">
        <f t="shared" si="86"/>
        <v>720</v>
      </c>
      <c r="Y566" s="21">
        <v>1</v>
      </c>
      <c r="Z566" s="24">
        <f t="shared" si="82"/>
        <v>2183.3333333333335</v>
      </c>
      <c r="AA566" s="24">
        <f t="shared" si="83"/>
        <v>720</v>
      </c>
      <c r="AB566" s="21"/>
      <c r="AC566" s="21"/>
      <c r="AD566" s="21"/>
      <c r="AE566" s="21"/>
      <c r="AF566" s="21" t="s">
        <v>247</v>
      </c>
      <c r="AG566" s="21"/>
      <c r="AH566" s="24"/>
      <c r="AI566" s="24"/>
      <c r="AJ566" s="21">
        <v>720</v>
      </c>
      <c r="AK566" s="21">
        <v>80</v>
      </c>
      <c r="AL566" s="22" t="s">
        <v>161</v>
      </c>
      <c r="AM566" s="22">
        <v>0.11</v>
      </c>
      <c r="AO566" s="22" t="s">
        <v>383</v>
      </c>
      <c r="AP566" s="22" t="s">
        <v>1432</v>
      </c>
      <c r="AQ566" s="22" t="str">
        <f t="shared" si="84"/>
        <v>Microphytoplankton</v>
      </c>
      <c r="AR566" s="22">
        <v>0</v>
      </c>
      <c r="AS566" s="22">
        <v>0</v>
      </c>
      <c r="AT566" s="22">
        <v>0</v>
      </c>
      <c r="AU566" s="22">
        <v>1</v>
      </c>
      <c r="AV566" s="22">
        <v>0</v>
      </c>
      <c r="AW566" s="22">
        <v>0</v>
      </c>
      <c r="AX566" s="22">
        <v>1</v>
      </c>
      <c r="AY566" s="22">
        <v>0</v>
      </c>
    </row>
    <row r="567" spans="1:51">
      <c r="A567" s="21" t="s">
        <v>1807</v>
      </c>
      <c r="B567" s="22" t="s">
        <v>663</v>
      </c>
      <c r="C567" s="23" t="s">
        <v>822</v>
      </c>
      <c r="D567" s="23" t="s">
        <v>965</v>
      </c>
      <c r="E567" s="22" t="s">
        <v>62</v>
      </c>
      <c r="F567" s="23" t="s">
        <v>1499</v>
      </c>
      <c r="G567" s="23" t="s">
        <v>1500</v>
      </c>
      <c r="H567" s="23" t="s">
        <v>1501</v>
      </c>
      <c r="I567" s="22" t="s">
        <v>1805</v>
      </c>
      <c r="J567" s="21" t="s">
        <v>1808</v>
      </c>
      <c r="K567" s="21"/>
      <c r="L567" s="21"/>
      <c r="N567" s="22" t="s">
        <v>1809</v>
      </c>
      <c r="O567" s="22" t="s">
        <v>1430</v>
      </c>
      <c r="P567" s="21">
        <v>70670</v>
      </c>
      <c r="Q567" s="21">
        <v>72</v>
      </c>
      <c r="R567" s="21">
        <v>7</v>
      </c>
      <c r="S567" s="21">
        <v>7</v>
      </c>
      <c r="T567" s="22" t="s">
        <v>330</v>
      </c>
      <c r="U567" s="21">
        <v>0.8</v>
      </c>
      <c r="V567" s="21">
        <v>0.8</v>
      </c>
      <c r="W567" s="25">
        <f t="shared" si="85"/>
        <v>2642.5</v>
      </c>
      <c r="X567" s="25">
        <f t="shared" si="86"/>
        <v>2822.4</v>
      </c>
      <c r="Y567" s="21">
        <v>1</v>
      </c>
      <c r="Z567" s="24">
        <f t="shared" si="82"/>
        <v>2642.5</v>
      </c>
      <c r="AA567" s="24">
        <f t="shared" si="83"/>
        <v>2822.4</v>
      </c>
      <c r="AB567" s="21"/>
      <c r="AC567" s="21"/>
      <c r="AD567" s="21"/>
      <c r="AE567" s="21"/>
      <c r="AF567" s="21" t="s">
        <v>247</v>
      </c>
      <c r="AG567" s="21"/>
      <c r="AH567" s="24"/>
      <c r="AI567" s="24"/>
      <c r="AJ567" s="21">
        <v>2822</v>
      </c>
      <c r="AK567" s="21">
        <v>72</v>
      </c>
      <c r="AL567" s="22" t="s">
        <v>161</v>
      </c>
      <c r="AM567" s="22">
        <v>0.11</v>
      </c>
      <c r="AO567" s="22" t="s">
        <v>383</v>
      </c>
      <c r="AP567" s="22" t="s">
        <v>1432</v>
      </c>
      <c r="AQ567" s="22" t="str">
        <f t="shared" si="84"/>
        <v>Microphytoplankton</v>
      </c>
      <c r="AR567" s="22">
        <v>0</v>
      </c>
      <c r="AS567" s="22">
        <v>0</v>
      </c>
      <c r="AT567" s="22">
        <v>0</v>
      </c>
      <c r="AU567" s="22">
        <v>1</v>
      </c>
      <c r="AV567" s="22">
        <v>0</v>
      </c>
      <c r="AW567" s="22">
        <v>0</v>
      </c>
      <c r="AX567" s="22">
        <v>1</v>
      </c>
      <c r="AY567" s="22">
        <v>0</v>
      </c>
    </row>
    <row r="568" spans="1:51">
      <c r="A568" s="21" t="s">
        <v>1810</v>
      </c>
      <c r="B568" s="22" t="s">
        <v>663</v>
      </c>
      <c r="C568" s="23" t="s">
        <v>822</v>
      </c>
      <c r="D568" s="23" t="s">
        <v>965</v>
      </c>
      <c r="E568" s="22" t="s">
        <v>62</v>
      </c>
      <c r="F568" s="23" t="s">
        <v>1499</v>
      </c>
      <c r="G568" s="23" t="s">
        <v>1500</v>
      </c>
      <c r="H568" s="23" t="s">
        <v>1501</v>
      </c>
      <c r="I568" s="22" t="s">
        <v>1805</v>
      </c>
      <c r="J568" s="21" t="s">
        <v>1811</v>
      </c>
      <c r="K568" s="21"/>
      <c r="L568" s="21"/>
      <c r="N568" s="22" t="s">
        <v>1456</v>
      </c>
      <c r="O568" s="22" t="s">
        <v>1430</v>
      </c>
      <c r="P568" s="21">
        <v>70660</v>
      </c>
      <c r="Q568" s="21">
        <v>17.5</v>
      </c>
      <c r="R568" s="21">
        <v>7.5</v>
      </c>
      <c r="S568" s="21">
        <v>5</v>
      </c>
      <c r="T568" s="22" t="s">
        <v>330</v>
      </c>
      <c r="U568" s="21">
        <v>0.8</v>
      </c>
      <c r="V568" s="21">
        <v>0.8</v>
      </c>
      <c r="W568" s="25">
        <f t="shared" si="85"/>
        <v>640.625</v>
      </c>
      <c r="X568" s="25">
        <f t="shared" si="86"/>
        <v>525</v>
      </c>
      <c r="Y568" s="21">
        <v>1</v>
      </c>
      <c r="Z568" s="24">
        <f t="shared" si="82"/>
        <v>640.625</v>
      </c>
      <c r="AA568" s="24">
        <f t="shared" si="83"/>
        <v>525</v>
      </c>
      <c r="AB568" s="21"/>
      <c r="AC568" s="21"/>
      <c r="AD568" s="21"/>
      <c r="AE568" s="21"/>
      <c r="AF568" s="21" t="s">
        <v>247</v>
      </c>
      <c r="AG568" s="21"/>
      <c r="AH568" s="24"/>
      <c r="AI568" s="24"/>
      <c r="AJ568" s="21">
        <v>525</v>
      </c>
      <c r="AK568" s="21">
        <v>17.5</v>
      </c>
      <c r="AL568" s="22" t="s">
        <v>161</v>
      </c>
      <c r="AM568" s="22">
        <v>0.11</v>
      </c>
      <c r="AO568" s="22" t="s">
        <v>383</v>
      </c>
      <c r="AP568" s="22" t="s">
        <v>1432</v>
      </c>
      <c r="AQ568" s="22" t="str">
        <f t="shared" si="84"/>
        <v>Nanophytoplankton</v>
      </c>
      <c r="AR568" s="22">
        <v>0</v>
      </c>
      <c r="AS568" s="22">
        <v>0</v>
      </c>
      <c r="AT568" s="22">
        <v>0</v>
      </c>
      <c r="AU568" s="22">
        <v>1</v>
      </c>
      <c r="AV568" s="22">
        <v>0</v>
      </c>
      <c r="AW568" s="22">
        <v>0</v>
      </c>
      <c r="AX568" s="22">
        <v>1</v>
      </c>
      <c r="AY568" s="22">
        <v>0</v>
      </c>
    </row>
    <row r="569" spans="1:51">
      <c r="A569" s="21" t="s">
        <v>1812</v>
      </c>
      <c r="B569" s="22" t="s">
        <v>663</v>
      </c>
      <c r="C569" s="23" t="s">
        <v>822</v>
      </c>
      <c r="D569" s="23" t="s">
        <v>965</v>
      </c>
      <c r="E569" s="22" t="s">
        <v>62</v>
      </c>
      <c r="F569" s="23" t="s">
        <v>1499</v>
      </c>
      <c r="G569" s="23" t="s">
        <v>1500</v>
      </c>
      <c r="H569" s="23" t="s">
        <v>1501</v>
      </c>
      <c r="I569" s="22" t="s">
        <v>1805</v>
      </c>
      <c r="J569" s="21" t="s">
        <v>1813</v>
      </c>
      <c r="K569" s="21"/>
      <c r="L569" s="21"/>
      <c r="N569" s="22" t="s">
        <v>1814</v>
      </c>
      <c r="O569" s="22" t="s">
        <v>1430</v>
      </c>
      <c r="P569" s="21">
        <v>70610</v>
      </c>
      <c r="Q569" s="21">
        <v>32</v>
      </c>
      <c r="R569" s="21">
        <v>3</v>
      </c>
      <c r="S569" s="21">
        <v>3</v>
      </c>
      <c r="T569" s="22" t="s">
        <v>330</v>
      </c>
      <c r="U569" s="21">
        <v>0.6</v>
      </c>
      <c r="V569" s="21">
        <v>0.6</v>
      </c>
      <c r="W569" s="25">
        <f t="shared" si="85"/>
        <v>670</v>
      </c>
      <c r="X569" s="25">
        <f t="shared" si="86"/>
        <v>172.79999999999998</v>
      </c>
      <c r="Y569" s="21">
        <v>1</v>
      </c>
      <c r="Z569" s="24">
        <f t="shared" si="82"/>
        <v>670</v>
      </c>
      <c r="AA569" s="24">
        <f t="shared" si="83"/>
        <v>172.79999999999998</v>
      </c>
      <c r="AB569" s="21"/>
      <c r="AC569" s="21"/>
      <c r="AD569" s="21"/>
      <c r="AE569" s="21"/>
      <c r="AF569" s="21" t="s">
        <v>247</v>
      </c>
      <c r="AG569" s="21"/>
      <c r="AH569" s="24"/>
      <c r="AI569" s="24"/>
      <c r="AJ569" s="21">
        <v>172.8</v>
      </c>
      <c r="AK569" s="21">
        <v>100</v>
      </c>
      <c r="AL569" s="22" t="s">
        <v>161</v>
      </c>
      <c r="AM569" s="22">
        <v>0.11</v>
      </c>
      <c r="AO569" s="22" t="s">
        <v>383</v>
      </c>
      <c r="AP569" s="22" t="s">
        <v>1432</v>
      </c>
      <c r="AQ569" s="22" t="str">
        <f t="shared" si="84"/>
        <v>Microphytoplankton</v>
      </c>
      <c r="AR569" s="22">
        <v>0</v>
      </c>
      <c r="AS569" s="22">
        <v>0</v>
      </c>
      <c r="AT569" s="22">
        <v>0</v>
      </c>
      <c r="AU569" s="22">
        <v>1</v>
      </c>
      <c r="AV569" s="22">
        <v>0</v>
      </c>
      <c r="AW569" s="22">
        <v>0</v>
      </c>
      <c r="AX569" s="22">
        <v>1</v>
      </c>
      <c r="AY569" s="22">
        <v>0</v>
      </c>
    </row>
    <row r="570" spans="1:51">
      <c r="A570" s="21" t="s">
        <v>1815</v>
      </c>
      <c r="B570" s="22" t="s">
        <v>663</v>
      </c>
      <c r="C570" s="23" t="s">
        <v>822</v>
      </c>
      <c r="D570" s="23" t="s">
        <v>965</v>
      </c>
      <c r="E570" s="22" t="s">
        <v>62</v>
      </c>
      <c r="F570" s="23" t="s">
        <v>1499</v>
      </c>
      <c r="G570" s="23" t="s">
        <v>1500</v>
      </c>
      <c r="H570" s="23" t="s">
        <v>1501</v>
      </c>
      <c r="I570" s="22" t="s">
        <v>1805</v>
      </c>
      <c r="J570" s="35" t="s">
        <v>1813</v>
      </c>
      <c r="K570" s="21" t="s">
        <v>175</v>
      </c>
      <c r="L570" s="21" t="s">
        <v>1816</v>
      </c>
      <c r="N570" s="22" t="s">
        <v>1817</v>
      </c>
      <c r="O570" s="22" t="s">
        <v>1430</v>
      </c>
      <c r="P570" s="21">
        <v>70840</v>
      </c>
      <c r="Q570" s="21">
        <v>100</v>
      </c>
      <c r="R570" s="21">
        <v>3</v>
      </c>
      <c r="S570" s="21">
        <v>2</v>
      </c>
      <c r="T570" s="22" t="s">
        <v>330</v>
      </c>
      <c r="U570" s="21">
        <v>0.6</v>
      </c>
      <c r="V570" s="21">
        <v>0.6</v>
      </c>
      <c r="W570" s="25">
        <f t="shared" si="85"/>
        <v>1686.6666666666667</v>
      </c>
      <c r="X570" s="25">
        <f t="shared" si="86"/>
        <v>360</v>
      </c>
      <c r="Y570" s="21">
        <v>1</v>
      </c>
      <c r="Z570" s="24">
        <f t="shared" si="82"/>
        <v>1686.6666666666667</v>
      </c>
      <c r="AA570" s="24">
        <f t="shared" si="83"/>
        <v>360</v>
      </c>
      <c r="AB570" s="21"/>
      <c r="AC570" s="21"/>
      <c r="AD570" s="21"/>
      <c r="AE570" s="21"/>
      <c r="AF570" s="21" t="s">
        <v>247</v>
      </c>
      <c r="AG570" s="21"/>
      <c r="AH570" s="24"/>
      <c r="AI570" s="24"/>
      <c r="AJ570" s="21">
        <v>360</v>
      </c>
      <c r="AK570" s="21">
        <v>100</v>
      </c>
      <c r="AL570" s="22" t="s">
        <v>161</v>
      </c>
      <c r="AM570" s="22">
        <v>0.11</v>
      </c>
      <c r="AO570" s="22" t="s">
        <v>383</v>
      </c>
      <c r="AP570" s="22" t="s">
        <v>1432</v>
      </c>
      <c r="AQ570" s="22" t="str">
        <f t="shared" si="84"/>
        <v>Microphytoplankton</v>
      </c>
      <c r="AR570" s="22">
        <v>0</v>
      </c>
      <c r="AS570" s="22">
        <v>0</v>
      </c>
      <c r="AT570" s="22">
        <v>0</v>
      </c>
      <c r="AU570" s="22">
        <v>1</v>
      </c>
      <c r="AV570" s="22">
        <v>0</v>
      </c>
      <c r="AW570" s="22">
        <v>0</v>
      </c>
      <c r="AX570" s="22">
        <v>1</v>
      </c>
      <c r="AY570" s="22">
        <v>0</v>
      </c>
    </row>
    <row r="571" spans="1:51">
      <c r="A571" s="35" t="s">
        <v>1818</v>
      </c>
      <c r="B571" s="22" t="s">
        <v>663</v>
      </c>
      <c r="C571" s="23" t="s">
        <v>822</v>
      </c>
      <c r="D571" s="23" t="s">
        <v>965</v>
      </c>
      <c r="E571" s="22" t="s">
        <v>62</v>
      </c>
      <c r="F571" s="23" t="s">
        <v>1499</v>
      </c>
      <c r="G571" s="23" t="s">
        <v>1500</v>
      </c>
      <c r="H571" s="23" t="s">
        <v>1501</v>
      </c>
      <c r="I571" s="22" t="s">
        <v>1805</v>
      </c>
      <c r="J571" s="35" t="s">
        <v>1813</v>
      </c>
      <c r="K571" s="35" t="s">
        <v>175</v>
      </c>
      <c r="L571" s="35" t="s">
        <v>1819</v>
      </c>
      <c r="N571" s="22" t="s">
        <v>1820</v>
      </c>
      <c r="O571" s="22" t="s">
        <v>1430</v>
      </c>
      <c r="P571" s="21">
        <v>70611</v>
      </c>
      <c r="Q571" s="21">
        <v>30</v>
      </c>
      <c r="R571" s="21">
        <v>4.5</v>
      </c>
      <c r="S571" s="21">
        <v>3</v>
      </c>
      <c r="T571" s="22" t="s">
        <v>330</v>
      </c>
      <c r="U571" s="21">
        <v>0.7</v>
      </c>
      <c r="V571" s="21">
        <v>0.7</v>
      </c>
      <c r="W571" s="25">
        <f t="shared" si="85"/>
        <v>681.42857142857144</v>
      </c>
      <c r="X571" s="25">
        <f t="shared" si="86"/>
        <v>283.5</v>
      </c>
      <c r="Y571" s="21">
        <v>1</v>
      </c>
      <c r="Z571" s="24">
        <f t="shared" si="82"/>
        <v>681.42857142857144</v>
      </c>
      <c r="AA571" s="24">
        <f t="shared" si="83"/>
        <v>283.5</v>
      </c>
      <c r="AB571" s="21"/>
      <c r="AC571" s="21"/>
      <c r="AD571" s="21"/>
      <c r="AE571" s="21"/>
      <c r="AF571" s="21" t="s">
        <v>247</v>
      </c>
      <c r="AG571" s="21"/>
      <c r="AH571" s="24"/>
      <c r="AI571" s="24"/>
      <c r="AJ571" s="21">
        <v>283.5</v>
      </c>
      <c r="AK571" s="21">
        <v>30</v>
      </c>
      <c r="AL571" s="22" t="s">
        <v>161</v>
      </c>
      <c r="AM571" s="22">
        <v>0.11</v>
      </c>
      <c r="AO571" s="22" t="s">
        <v>383</v>
      </c>
      <c r="AP571" s="22" t="s">
        <v>1432</v>
      </c>
      <c r="AQ571" s="22" t="str">
        <f t="shared" si="84"/>
        <v>Microphytoplankton</v>
      </c>
      <c r="AR571" s="22">
        <v>0</v>
      </c>
      <c r="AS571" s="22">
        <v>0</v>
      </c>
      <c r="AT571" s="22">
        <v>0</v>
      </c>
      <c r="AU571" s="22">
        <v>1</v>
      </c>
      <c r="AV571" s="22">
        <v>0</v>
      </c>
      <c r="AW571" s="22">
        <v>0</v>
      </c>
      <c r="AX571" s="22">
        <v>1</v>
      </c>
      <c r="AY571" s="22">
        <v>0</v>
      </c>
    </row>
    <row r="572" spans="1:51">
      <c r="A572" s="35" t="s">
        <v>1821</v>
      </c>
      <c r="B572" s="22" t="s">
        <v>663</v>
      </c>
      <c r="C572" s="23" t="s">
        <v>822</v>
      </c>
      <c r="D572" s="23" t="s">
        <v>965</v>
      </c>
      <c r="E572" s="22" t="s">
        <v>62</v>
      </c>
      <c r="F572" s="23" t="s">
        <v>1499</v>
      </c>
      <c r="G572" s="23" t="s">
        <v>1500</v>
      </c>
      <c r="H572" s="23" t="s">
        <v>1501</v>
      </c>
      <c r="I572" s="22" t="s">
        <v>1805</v>
      </c>
      <c r="J572" s="35" t="s">
        <v>1822</v>
      </c>
      <c r="K572" s="35"/>
      <c r="L572" s="35"/>
      <c r="N572" s="22" t="s">
        <v>1823</v>
      </c>
      <c r="O572" s="22" t="s">
        <v>1430</v>
      </c>
      <c r="P572" s="21">
        <v>70617</v>
      </c>
      <c r="Q572" s="21">
        <v>23.5</v>
      </c>
      <c r="R572" s="21">
        <v>3.5</v>
      </c>
      <c r="S572" s="21">
        <v>3</v>
      </c>
      <c r="T572" s="22" t="s">
        <v>330</v>
      </c>
      <c r="U572" s="21">
        <v>0.7</v>
      </c>
      <c r="V572" s="21">
        <v>0.7</v>
      </c>
      <c r="W572" s="25">
        <f t="shared" si="85"/>
        <v>466.42857142857144</v>
      </c>
      <c r="X572" s="25">
        <f t="shared" si="86"/>
        <v>172.72499999999999</v>
      </c>
      <c r="Y572" s="21">
        <v>1</v>
      </c>
      <c r="Z572" s="24">
        <f t="shared" si="82"/>
        <v>466.42857142857144</v>
      </c>
      <c r="AA572" s="24">
        <f t="shared" si="83"/>
        <v>172.72499999999999</v>
      </c>
      <c r="AB572" s="21"/>
      <c r="AC572" s="21"/>
      <c r="AD572" s="21"/>
      <c r="AE572" s="21"/>
      <c r="AF572" s="21"/>
      <c r="AG572" s="21"/>
      <c r="AH572" s="24"/>
      <c r="AI572" s="24"/>
      <c r="AJ572" s="21">
        <v>172.72499999999999</v>
      </c>
      <c r="AK572" s="21">
        <v>23.5</v>
      </c>
      <c r="AL572" s="22" t="s">
        <v>161</v>
      </c>
      <c r="AM572" s="22">
        <v>0.11</v>
      </c>
      <c r="AO572" s="22" t="s">
        <v>383</v>
      </c>
      <c r="AP572" s="22" t="s">
        <v>1432</v>
      </c>
      <c r="AQ572" s="22" t="str">
        <f t="shared" si="84"/>
        <v>Microphytoplankton</v>
      </c>
      <c r="AR572" s="22">
        <v>0</v>
      </c>
      <c r="AS572" s="22">
        <v>0</v>
      </c>
      <c r="AT572" s="22">
        <v>0</v>
      </c>
      <c r="AU572" s="22">
        <v>0</v>
      </c>
      <c r="AV572" s="22">
        <v>0</v>
      </c>
      <c r="AW572" s="22">
        <v>0</v>
      </c>
      <c r="AX572" s="22">
        <v>1</v>
      </c>
      <c r="AY572" s="22">
        <v>0</v>
      </c>
    </row>
    <row r="573" spans="1:51">
      <c r="A573" s="22" t="s">
        <v>1824</v>
      </c>
      <c r="B573" s="22" t="s">
        <v>663</v>
      </c>
      <c r="C573" s="23" t="s">
        <v>822</v>
      </c>
      <c r="D573" s="23" t="s">
        <v>965</v>
      </c>
      <c r="E573" s="22" t="s">
        <v>62</v>
      </c>
      <c r="F573" s="23" t="s">
        <v>1499</v>
      </c>
      <c r="G573" s="23" t="s">
        <v>1500</v>
      </c>
      <c r="H573" s="23" t="s">
        <v>1501</v>
      </c>
      <c r="I573" s="22" t="s">
        <v>1805</v>
      </c>
      <c r="J573" s="22" t="s">
        <v>1825</v>
      </c>
      <c r="N573" s="22" t="s">
        <v>1826</v>
      </c>
      <c r="O573" s="22" t="s">
        <v>1430</v>
      </c>
      <c r="P573" s="21">
        <v>70612</v>
      </c>
      <c r="Q573" s="22">
        <v>100</v>
      </c>
      <c r="R573" s="22">
        <v>3</v>
      </c>
      <c r="S573" s="22">
        <v>2</v>
      </c>
      <c r="T573" s="22" t="s">
        <v>330</v>
      </c>
      <c r="U573" s="22">
        <v>0.7</v>
      </c>
      <c r="V573" s="21">
        <v>0.7</v>
      </c>
      <c r="W573" s="25">
        <f t="shared" si="85"/>
        <v>1445.7142857142858</v>
      </c>
      <c r="X573" s="25">
        <f t="shared" si="86"/>
        <v>420</v>
      </c>
      <c r="Y573" s="21">
        <v>1</v>
      </c>
      <c r="Z573" s="24">
        <f t="shared" si="82"/>
        <v>1445.7142857142858</v>
      </c>
      <c r="AA573" s="24">
        <f t="shared" si="83"/>
        <v>420</v>
      </c>
      <c r="AE573" s="21"/>
      <c r="AF573" s="21" t="s">
        <v>247</v>
      </c>
      <c r="AJ573" s="21">
        <v>420</v>
      </c>
      <c r="AK573" s="21">
        <v>100</v>
      </c>
      <c r="AL573" s="22" t="s">
        <v>161</v>
      </c>
      <c r="AM573" s="22">
        <v>0.11</v>
      </c>
      <c r="AO573" s="22" t="s">
        <v>1517</v>
      </c>
      <c r="AP573" s="22" t="s">
        <v>1432</v>
      </c>
      <c r="AQ573" s="22" t="str">
        <f t="shared" si="84"/>
        <v>Microphytoplankton</v>
      </c>
      <c r="AR573" s="22">
        <v>0</v>
      </c>
      <c r="AS573" s="22">
        <v>0</v>
      </c>
      <c r="AT573" s="22">
        <v>0</v>
      </c>
      <c r="AU573" s="22">
        <v>1</v>
      </c>
      <c r="AV573" s="22">
        <v>0</v>
      </c>
      <c r="AW573" s="22">
        <v>0</v>
      </c>
      <c r="AX573" s="22">
        <v>1</v>
      </c>
      <c r="AY573" s="22">
        <v>0</v>
      </c>
    </row>
    <row r="574" spans="1:51">
      <c r="A574" s="22" t="s">
        <v>1827</v>
      </c>
      <c r="B574" s="22" t="s">
        <v>663</v>
      </c>
      <c r="C574" s="23" t="s">
        <v>822</v>
      </c>
      <c r="D574" s="23" t="s">
        <v>965</v>
      </c>
      <c r="E574" s="22" t="s">
        <v>62</v>
      </c>
      <c r="F574" s="23" t="s">
        <v>1499</v>
      </c>
      <c r="G574" s="23" t="s">
        <v>1500</v>
      </c>
      <c r="H574" s="23" t="s">
        <v>1501</v>
      </c>
      <c r="I574" s="22" t="s">
        <v>1805</v>
      </c>
      <c r="J574" s="22" t="s">
        <v>209</v>
      </c>
      <c r="N574" s="22" t="s">
        <v>1828</v>
      </c>
      <c r="O574" s="22" t="s">
        <v>1430</v>
      </c>
      <c r="P574" s="21">
        <v>70613</v>
      </c>
      <c r="Q574" s="22">
        <v>15</v>
      </c>
      <c r="R574" s="22">
        <v>4</v>
      </c>
      <c r="S574" s="22">
        <v>2.2000000000000002</v>
      </c>
      <c r="T574" s="22" t="s">
        <v>330</v>
      </c>
      <c r="U574" s="22">
        <v>0.7</v>
      </c>
      <c r="V574" s="21">
        <v>0.7</v>
      </c>
      <c r="W574" s="25">
        <f t="shared" si="85"/>
        <v>290.85714285714289</v>
      </c>
      <c r="X574" s="25">
        <f t="shared" si="86"/>
        <v>92.399999999999991</v>
      </c>
      <c r="Y574" s="21">
        <v>1</v>
      </c>
      <c r="Z574" s="24">
        <f t="shared" si="82"/>
        <v>290.85714285714289</v>
      </c>
      <c r="AA574" s="24">
        <f t="shared" si="83"/>
        <v>92.399999999999991</v>
      </c>
      <c r="AE574" s="21"/>
      <c r="AF574" s="21" t="s">
        <v>247</v>
      </c>
      <c r="AJ574" s="21">
        <v>92.4</v>
      </c>
      <c r="AK574" s="21">
        <v>15</v>
      </c>
      <c r="AL574" s="22" t="s">
        <v>161</v>
      </c>
      <c r="AM574" s="22">
        <v>0.11</v>
      </c>
      <c r="AO574" s="22" t="s">
        <v>1762</v>
      </c>
      <c r="AP574" s="22" t="s">
        <v>1432</v>
      </c>
      <c r="AQ574" s="22" t="str">
        <f t="shared" si="84"/>
        <v>Nanophytoplankton</v>
      </c>
      <c r="AR574" s="22">
        <v>0</v>
      </c>
      <c r="AS574" s="22">
        <v>0</v>
      </c>
      <c r="AT574" s="22">
        <v>0</v>
      </c>
      <c r="AU574" s="22">
        <v>1</v>
      </c>
      <c r="AV574" s="22">
        <v>0</v>
      </c>
      <c r="AW574" s="22">
        <v>0</v>
      </c>
      <c r="AX574" s="22">
        <v>1</v>
      </c>
      <c r="AY574" s="22">
        <v>0</v>
      </c>
    </row>
    <row r="575" spans="1:51">
      <c r="A575" s="22" t="s">
        <v>1829</v>
      </c>
      <c r="B575" s="22" t="s">
        <v>663</v>
      </c>
      <c r="C575" s="23" t="s">
        <v>822</v>
      </c>
      <c r="D575" s="23" t="s">
        <v>965</v>
      </c>
      <c r="E575" s="22" t="s">
        <v>62</v>
      </c>
      <c r="F575" s="23" t="s">
        <v>1499</v>
      </c>
      <c r="G575" s="23" t="s">
        <v>1500</v>
      </c>
      <c r="H575" s="23" t="s">
        <v>1501</v>
      </c>
      <c r="I575" s="22" t="s">
        <v>1805</v>
      </c>
      <c r="J575" s="22" t="s">
        <v>1830</v>
      </c>
      <c r="N575" s="22" t="s">
        <v>1831</v>
      </c>
      <c r="O575" s="22" t="s">
        <v>1430</v>
      </c>
      <c r="P575" s="21">
        <v>70614</v>
      </c>
      <c r="Q575" s="22">
        <v>19.5</v>
      </c>
      <c r="R575" s="22">
        <v>7</v>
      </c>
      <c r="S575" s="22">
        <v>4.5</v>
      </c>
      <c r="T575" s="22" t="s">
        <v>330</v>
      </c>
      <c r="U575" s="22">
        <v>0.7</v>
      </c>
      <c r="V575" s="21">
        <v>0.7</v>
      </c>
      <c r="W575" s="25">
        <f t="shared" si="85"/>
        <v>730.71428571428578</v>
      </c>
      <c r="X575" s="25">
        <f t="shared" si="86"/>
        <v>429.97499999999997</v>
      </c>
      <c r="Y575" s="21">
        <v>1</v>
      </c>
      <c r="Z575" s="24">
        <f t="shared" si="82"/>
        <v>730.71428571428578</v>
      </c>
      <c r="AA575" s="24">
        <f t="shared" si="83"/>
        <v>429.97499999999997</v>
      </c>
      <c r="AE575" s="21"/>
      <c r="AF575" s="21" t="s">
        <v>247</v>
      </c>
      <c r="AJ575" s="21">
        <v>441</v>
      </c>
      <c r="AK575" s="21">
        <v>19.5</v>
      </c>
      <c r="AL575" s="22" t="s">
        <v>161</v>
      </c>
      <c r="AM575" s="22">
        <v>0.11</v>
      </c>
      <c r="AO575" s="22" t="s">
        <v>383</v>
      </c>
      <c r="AP575" s="22" t="s">
        <v>1432</v>
      </c>
      <c r="AQ575" s="22" t="str">
        <f t="shared" si="84"/>
        <v>Nanophytoplankton</v>
      </c>
      <c r="AR575" s="22">
        <v>0</v>
      </c>
      <c r="AS575" s="22">
        <v>0</v>
      </c>
      <c r="AT575" s="22">
        <v>0</v>
      </c>
      <c r="AU575" s="22">
        <v>1</v>
      </c>
      <c r="AV575" s="22">
        <v>1</v>
      </c>
      <c r="AW575" s="22">
        <v>0</v>
      </c>
      <c r="AX575" s="22">
        <v>1</v>
      </c>
      <c r="AY575" s="22">
        <v>0</v>
      </c>
    </row>
    <row r="576" spans="1:51">
      <c r="A576" s="22" t="s">
        <v>1832</v>
      </c>
      <c r="B576" s="22" t="s">
        <v>663</v>
      </c>
      <c r="C576" s="23" t="s">
        <v>822</v>
      </c>
      <c r="D576" s="23" t="s">
        <v>965</v>
      </c>
      <c r="E576" s="22" t="s">
        <v>62</v>
      </c>
      <c r="F576" s="23" t="s">
        <v>1499</v>
      </c>
      <c r="G576" s="23" t="s">
        <v>1500</v>
      </c>
      <c r="H576" s="23" t="s">
        <v>1501</v>
      </c>
      <c r="I576" s="22" t="s">
        <v>1805</v>
      </c>
      <c r="J576" s="22" t="s">
        <v>1830</v>
      </c>
      <c r="K576" s="22" t="s">
        <v>184</v>
      </c>
      <c r="L576" s="22" t="s">
        <v>1833</v>
      </c>
      <c r="N576" s="22" t="s">
        <v>1834</v>
      </c>
      <c r="O576" s="22" t="s">
        <v>1430</v>
      </c>
      <c r="P576" s="21">
        <v>70616</v>
      </c>
      <c r="Q576" s="22">
        <v>19.5</v>
      </c>
      <c r="R576" s="22">
        <v>7</v>
      </c>
      <c r="S576" s="22">
        <v>3.5</v>
      </c>
      <c r="T576" s="22" t="s">
        <v>330</v>
      </c>
      <c r="U576" s="22">
        <v>0.7</v>
      </c>
      <c r="V576" s="21">
        <v>0.7</v>
      </c>
      <c r="W576" s="25">
        <f t="shared" si="85"/>
        <v>655</v>
      </c>
      <c r="X576" s="25">
        <f t="shared" si="86"/>
        <v>334.42499999999995</v>
      </c>
      <c r="Y576" s="21">
        <v>1</v>
      </c>
      <c r="Z576" s="24">
        <f t="shared" si="82"/>
        <v>655</v>
      </c>
      <c r="AA576" s="24">
        <f t="shared" si="83"/>
        <v>334.42499999999995</v>
      </c>
      <c r="AE576" s="21"/>
      <c r="AF576" s="21" t="s">
        <v>247</v>
      </c>
      <c r="AJ576" s="21">
        <v>315</v>
      </c>
      <c r="AK576" s="21">
        <v>19.5</v>
      </c>
      <c r="AL576" s="22" t="s">
        <v>161</v>
      </c>
      <c r="AM576" s="22">
        <v>0.11</v>
      </c>
      <c r="AO576" s="22" t="s">
        <v>383</v>
      </c>
      <c r="AP576" s="22" t="s">
        <v>1432</v>
      </c>
      <c r="AQ576" s="22" t="str">
        <f t="shared" si="84"/>
        <v>Nanophytoplankton</v>
      </c>
      <c r="AR576" s="22">
        <v>0</v>
      </c>
      <c r="AS576" s="22">
        <v>0</v>
      </c>
      <c r="AT576" s="22">
        <v>0</v>
      </c>
      <c r="AU576" s="22">
        <v>1</v>
      </c>
      <c r="AV576" s="22">
        <v>1</v>
      </c>
      <c r="AW576" s="22">
        <v>0</v>
      </c>
      <c r="AX576" s="22">
        <v>1</v>
      </c>
      <c r="AY576" s="22">
        <v>0</v>
      </c>
    </row>
    <row r="577" spans="1:57">
      <c r="A577" s="21" t="s">
        <v>1835</v>
      </c>
      <c r="B577" s="22" t="s">
        <v>663</v>
      </c>
      <c r="C577" s="23" t="s">
        <v>822</v>
      </c>
      <c r="D577" s="23" t="s">
        <v>965</v>
      </c>
      <c r="E577" s="22" t="s">
        <v>62</v>
      </c>
      <c r="F577" s="23" t="s">
        <v>1499</v>
      </c>
      <c r="G577" s="23" t="s">
        <v>1500</v>
      </c>
      <c r="H577" s="23" t="s">
        <v>1501</v>
      </c>
      <c r="I577" s="22" t="s">
        <v>1805</v>
      </c>
      <c r="J577" s="21" t="s">
        <v>1830</v>
      </c>
      <c r="K577" s="21" t="s">
        <v>184</v>
      </c>
      <c r="L577" s="21" t="s">
        <v>1836</v>
      </c>
      <c r="N577" s="22" t="s">
        <v>1837</v>
      </c>
      <c r="O577" s="22" t="s">
        <v>1430</v>
      </c>
      <c r="P577" s="22">
        <v>70640</v>
      </c>
      <c r="Q577" s="21">
        <v>19</v>
      </c>
      <c r="R577" s="21">
        <v>4</v>
      </c>
      <c r="S577" s="21">
        <v>3</v>
      </c>
      <c r="T577" s="22" t="s">
        <v>330</v>
      </c>
      <c r="U577" s="21">
        <v>0.8</v>
      </c>
      <c r="V577" s="21">
        <v>0.8</v>
      </c>
      <c r="W577" s="25">
        <f t="shared" si="85"/>
        <v>362.5</v>
      </c>
      <c r="X577" s="25">
        <f t="shared" si="86"/>
        <v>182.4</v>
      </c>
      <c r="Y577" s="21">
        <v>1</v>
      </c>
      <c r="Z577" s="24">
        <f t="shared" si="82"/>
        <v>362.5</v>
      </c>
      <c r="AA577" s="24">
        <f t="shared" si="83"/>
        <v>182.4</v>
      </c>
      <c r="AB577" s="21"/>
      <c r="AC577" s="21"/>
      <c r="AD577" s="21"/>
      <c r="AE577" s="21"/>
      <c r="AF577" s="21" t="s">
        <v>247</v>
      </c>
      <c r="AG577" s="21"/>
      <c r="AH577" s="24"/>
      <c r="AI577" s="24"/>
      <c r="AJ577" s="21">
        <v>182.4</v>
      </c>
      <c r="AK577" s="21">
        <v>19</v>
      </c>
      <c r="AL577" s="22" t="s">
        <v>161</v>
      </c>
      <c r="AM577" s="22">
        <v>0.11</v>
      </c>
      <c r="AO577" s="22" t="s">
        <v>383</v>
      </c>
      <c r="AP577" s="22" t="s">
        <v>1432</v>
      </c>
      <c r="AQ577" s="22" t="str">
        <f t="shared" si="84"/>
        <v>Nanophytoplankton</v>
      </c>
      <c r="AR577" s="22">
        <v>0</v>
      </c>
      <c r="AS577" s="22">
        <v>0</v>
      </c>
      <c r="AT577" s="22">
        <v>0</v>
      </c>
      <c r="AU577" s="22">
        <v>1</v>
      </c>
      <c r="AV577" s="22">
        <v>1</v>
      </c>
      <c r="AW577" s="22">
        <v>0</v>
      </c>
      <c r="AX577" s="22">
        <v>1</v>
      </c>
      <c r="AY577" s="22">
        <v>0</v>
      </c>
    </row>
    <row r="578" spans="1:57">
      <c r="A578" s="21" t="s">
        <v>1838</v>
      </c>
      <c r="B578" s="22" t="s">
        <v>663</v>
      </c>
      <c r="C578" s="23" t="s">
        <v>822</v>
      </c>
      <c r="D578" s="23" t="s">
        <v>965</v>
      </c>
      <c r="E578" s="22" t="s">
        <v>62</v>
      </c>
      <c r="F578" s="23" t="s">
        <v>1499</v>
      </c>
      <c r="G578" s="23" t="s">
        <v>1500</v>
      </c>
      <c r="H578" s="23" t="s">
        <v>1501</v>
      </c>
      <c r="I578" s="22" t="s">
        <v>1805</v>
      </c>
      <c r="J578" s="21" t="s">
        <v>1839</v>
      </c>
      <c r="K578" s="21"/>
      <c r="L578" s="21"/>
      <c r="N578" s="22" t="s">
        <v>1840</v>
      </c>
      <c r="O578" s="22" t="s">
        <v>1430</v>
      </c>
      <c r="P578" s="21">
        <v>70620</v>
      </c>
      <c r="Q578" s="21">
        <v>90</v>
      </c>
      <c r="R578" s="21">
        <v>3</v>
      </c>
      <c r="S578" s="21">
        <v>2</v>
      </c>
      <c r="T578" s="22" t="s">
        <v>330</v>
      </c>
      <c r="U578" s="21">
        <v>0.8</v>
      </c>
      <c r="V578" s="21">
        <v>0.8</v>
      </c>
      <c r="W578" s="25">
        <f t="shared" si="85"/>
        <v>1140</v>
      </c>
      <c r="X578" s="25">
        <f t="shared" si="86"/>
        <v>432</v>
      </c>
      <c r="Y578" s="21">
        <v>1</v>
      </c>
      <c r="Z578" s="24">
        <f t="shared" ref="Z578:Z641" si="87">Y578*W578</f>
        <v>1140</v>
      </c>
      <c r="AA578" s="24">
        <f t="shared" ref="AA578:AA641" si="88">Y578*X578</f>
        <v>432</v>
      </c>
      <c r="AB578" s="21"/>
      <c r="AC578" s="21"/>
      <c r="AD578" s="21"/>
      <c r="AE578" s="21"/>
      <c r="AF578" s="21" t="s">
        <v>247</v>
      </c>
      <c r="AG578" s="21"/>
      <c r="AH578" s="24"/>
      <c r="AI578" s="24"/>
      <c r="AJ578" s="21">
        <v>432</v>
      </c>
      <c r="AK578" s="21">
        <v>100</v>
      </c>
      <c r="AL578" s="22" t="s">
        <v>161</v>
      </c>
      <c r="AM578" s="22">
        <v>0.11</v>
      </c>
      <c r="AN578" s="22" t="s">
        <v>1517</v>
      </c>
      <c r="AO578" s="22" t="s">
        <v>1517</v>
      </c>
      <c r="AP578" s="22" t="s">
        <v>1432</v>
      </c>
      <c r="AQ578" s="22" t="str">
        <f t="shared" ref="AQ578:AQ641" si="89">IF(AND($AK578&lt;20,AJ578&lt;10000),"Nanophytoplankton","Microphytoplankton")</f>
        <v>Microphytoplankton</v>
      </c>
      <c r="AR578" s="22">
        <v>0</v>
      </c>
      <c r="AS578" s="22">
        <v>0</v>
      </c>
      <c r="AT578" s="22">
        <v>0</v>
      </c>
      <c r="AU578" s="22">
        <v>1</v>
      </c>
      <c r="AV578" s="22">
        <v>1</v>
      </c>
      <c r="AW578" s="22">
        <v>0</v>
      </c>
      <c r="AX578" s="22">
        <v>1</v>
      </c>
      <c r="AY578" s="22">
        <v>0</v>
      </c>
      <c r="AZ578" s="22">
        <v>0</v>
      </c>
      <c r="BA578" s="22">
        <v>4</v>
      </c>
      <c r="BB578" s="22">
        <v>3</v>
      </c>
      <c r="BC578" s="22">
        <v>2</v>
      </c>
      <c r="BD578" s="22">
        <v>1</v>
      </c>
      <c r="BE578" s="22">
        <v>0</v>
      </c>
    </row>
    <row r="579" spans="1:57">
      <c r="A579" s="21" t="s">
        <v>1841</v>
      </c>
      <c r="B579" s="22" t="s">
        <v>663</v>
      </c>
      <c r="C579" s="23" t="s">
        <v>822</v>
      </c>
      <c r="D579" s="23" t="s">
        <v>965</v>
      </c>
      <c r="E579" s="22" t="s">
        <v>62</v>
      </c>
      <c r="F579" s="23" t="s">
        <v>1499</v>
      </c>
      <c r="G579" s="23" t="s">
        <v>1500</v>
      </c>
      <c r="H579" s="23" t="s">
        <v>1501</v>
      </c>
      <c r="I579" s="22" t="s">
        <v>1805</v>
      </c>
      <c r="J579" s="21" t="s">
        <v>1842</v>
      </c>
      <c r="K579" s="21"/>
      <c r="L579" s="21"/>
      <c r="N579" s="22" t="s">
        <v>1843</v>
      </c>
      <c r="O579" s="22" t="s">
        <v>1430</v>
      </c>
      <c r="P579" s="21">
        <v>70625</v>
      </c>
      <c r="Q579" s="21">
        <v>31.7</v>
      </c>
      <c r="R579" s="21">
        <v>4.0999999999999996</v>
      </c>
      <c r="S579" s="21">
        <v>2</v>
      </c>
      <c r="T579" s="22" t="s">
        <v>330</v>
      </c>
      <c r="U579" s="21">
        <v>0.9</v>
      </c>
      <c r="V579" s="21">
        <v>0.9</v>
      </c>
      <c r="W579" s="25">
        <f t="shared" si="85"/>
        <v>447.93333333333328</v>
      </c>
      <c r="X579" s="25">
        <f t="shared" si="86"/>
        <v>233.946</v>
      </c>
      <c r="Y579" s="21">
        <v>1</v>
      </c>
      <c r="Z579" s="24">
        <f t="shared" si="87"/>
        <v>447.93333333333328</v>
      </c>
      <c r="AA579" s="24">
        <f t="shared" si="88"/>
        <v>233.946</v>
      </c>
      <c r="AB579" s="21"/>
      <c r="AC579" s="21"/>
      <c r="AD579" s="21"/>
      <c r="AE579" s="21"/>
      <c r="AF579" s="21" t="s">
        <v>247</v>
      </c>
      <c r="AG579" s="21"/>
      <c r="AH579" s="24"/>
      <c r="AI579" s="24"/>
      <c r="AJ579" s="21">
        <v>235</v>
      </c>
      <c r="AK579" s="21">
        <v>32</v>
      </c>
      <c r="AL579" s="22" t="s">
        <v>161</v>
      </c>
      <c r="AM579" s="22">
        <v>0.11</v>
      </c>
      <c r="AO579" s="22" t="s">
        <v>1762</v>
      </c>
      <c r="AP579" s="22" t="s">
        <v>1432</v>
      </c>
      <c r="AQ579" s="22" t="str">
        <f t="shared" si="89"/>
        <v>Microphytoplankton</v>
      </c>
      <c r="AR579" s="22">
        <v>0</v>
      </c>
      <c r="AS579" s="22">
        <v>0</v>
      </c>
      <c r="AT579" s="22">
        <v>0</v>
      </c>
      <c r="AU579" s="22">
        <v>1</v>
      </c>
      <c r="AV579" s="22">
        <v>0</v>
      </c>
      <c r="AW579" s="22">
        <v>0</v>
      </c>
      <c r="AX579" s="22">
        <v>1</v>
      </c>
      <c r="AY579" s="22">
        <v>0</v>
      </c>
    </row>
    <row r="580" spans="1:57">
      <c r="A580" s="21" t="s">
        <v>1844</v>
      </c>
      <c r="B580" s="22" t="s">
        <v>663</v>
      </c>
      <c r="C580" s="23" t="s">
        <v>822</v>
      </c>
      <c r="D580" s="23" t="s">
        <v>965</v>
      </c>
      <c r="E580" s="22" t="s">
        <v>62</v>
      </c>
      <c r="F580" s="23" t="s">
        <v>1499</v>
      </c>
      <c r="G580" s="23" t="s">
        <v>1500</v>
      </c>
      <c r="H580" s="23" t="s">
        <v>1501</v>
      </c>
      <c r="I580" s="22" t="s">
        <v>1805</v>
      </c>
      <c r="J580" s="21" t="s">
        <v>1845</v>
      </c>
      <c r="K580" s="21"/>
      <c r="L580" s="21"/>
      <c r="N580" s="22" t="s">
        <v>1846</v>
      </c>
      <c r="O580" s="22" t="s">
        <v>1430</v>
      </c>
      <c r="P580" s="21">
        <v>70880</v>
      </c>
      <c r="Q580" s="21">
        <v>190</v>
      </c>
      <c r="R580" s="21">
        <v>9</v>
      </c>
      <c r="S580" s="21">
        <v>6</v>
      </c>
      <c r="T580" s="22" t="s">
        <v>330</v>
      </c>
      <c r="U580" s="21">
        <v>0.8</v>
      </c>
      <c r="V580" s="21">
        <v>0.8</v>
      </c>
      <c r="W580" s="25">
        <f t="shared" si="85"/>
        <v>7260</v>
      </c>
      <c r="X580" s="25">
        <f t="shared" si="86"/>
        <v>8208</v>
      </c>
      <c r="Y580" s="21">
        <v>1</v>
      </c>
      <c r="Z580" s="24">
        <f t="shared" si="87"/>
        <v>7260</v>
      </c>
      <c r="AA580" s="24">
        <f t="shared" si="88"/>
        <v>8208</v>
      </c>
      <c r="AB580" s="21"/>
      <c r="AC580" s="21"/>
      <c r="AD580" s="21"/>
      <c r="AE580" s="21"/>
      <c r="AF580" s="21" t="s">
        <v>247</v>
      </c>
      <c r="AG580" s="21"/>
      <c r="AH580" s="24"/>
      <c r="AI580" s="24"/>
      <c r="AJ580" s="21">
        <v>8208</v>
      </c>
      <c r="AK580" s="21">
        <v>190</v>
      </c>
      <c r="AL580" s="22" t="s">
        <v>161</v>
      </c>
      <c r="AM580" s="22">
        <v>0.11</v>
      </c>
      <c r="AO580" s="22" t="s">
        <v>383</v>
      </c>
      <c r="AP580" s="22" t="s">
        <v>1432</v>
      </c>
      <c r="AQ580" s="22" t="str">
        <f t="shared" si="89"/>
        <v>Microphytoplankton</v>
      </c>
      <c r="AR580" s="22">
        <v>0</v>
      </c>
      <c r="AS580" s="22">
        <v>0</v>
      </c>
      <c r="AT580" s="22">
        <v>0</v>
      </c>
      <c r="AU580" s="22">
        <v>1</v>
      </c>
      <c r="AV580" s="22">
        <v>0</v>
      </c>
      <c r="AW580" s="22">
        <v>0</v>
      </c>
      <c r="AX580" s="22">
        <v>1</v>
      </c>
      <c r="AY580" s="22">
        <v>0</v>
      </c>
    </row>
    <row r="581" spans="1:57">
      <c r="A581" s="21" t="s">
        <v>1847</v>
      </c>
      <c r="B581" s="22" t="s">
        <v>663</v>
      </c>
      <c r="C581" s="23" t="s">
        <v>822</v>
      </c>
      <c r="D581" s="23" t="s">
        <v>965</v>
      </c>
      <c r="E581" s="22" t="s">
        <v>62</v>
      </c>
      <c r="F581" s="23" t="s">
        <v>1499</v>
      </c>
      <c r="G581" s="23" t="s">
        <v>1500</v>
      </c>
      <c r="H581" s="23" t="s">
        <v>1501</v>
      </c>
      <c r="I581" s="22" t="s">
        <v>1805</v>
      </c>
      <c r="J581" s="21" t="s">
        <v>1463</v>
      </c>
      <c r="K581" s="21"/>
      <c r="L581" s="21"/>
      <c r="N581" s="22" t="s">
        <v>1848</v>
      </c>
      <c r="O581" s="22" t="s">
        <v>1430</v>
      </c>
      <c r="P581" s="21">
        <v>70850</v>
      </c>
      <c r="Q581" s="21">
        <v>100</v>
      </c>
      <c r="R581" s="21">
        <v>7</v>
      </c>
      <c r="S581" s="21">
        <v>4</v>
      </c>
      <c r="T581" s="22" t="s">
        <v>330</v>
      </c>
      <c r="U581" s="21">
        <v>0.8</v>
      </c>
      <c r="V581" s="21">
        <v>0.8</v>
      </c>
      <c r="W581" s="25">
        <f t="shared" si="85"/>
        <v>2820</v>
      </c>
      <c r="X581" s="25">
        <f t="shared" si="86"/>
        <v>2240</v>
      </c>
      <c r="Y581" s="21">
        <v>1</v>
      </c>
      <c r="Z581" s="24">
        <f t="shared" si="87"/>
        <v>2820</v>
      </c>
      <c r="AA581" s="24">
        <f t="shared" si="88"/>
        <v>2240</v>
      </c>
      <c r="AB581" s="21"/>
      <c r="AC581" s="21"/>
      <c r="AD581" s="21"/>
      <c r="AE581" s="21"/>
      <c r="AF581" s="21" t="s">
        <v>247</v>
      </c>
      <c r="AG581" s="21"/>
      <c r="AH581" s="24"/>
      <c r="AI581" s="24"/>
      <c r="AJ581" s="21">
        <v>2240</v>
      </c>
      <c r="AK581" s="21">
        <v>100</v>
      </c>
      <c r="AL581" s="22" t="s">
        <v>161</v>
      </c>
      <c r="AM581" s="22">
        <v>0.11</v>
      </c>
      <c r="AO581" s="22" t="s">
        <v>383</v>
      </c>
      <c r="AP581" s="22" t="s">
        <v>1432</v>
      </c>
      <c r="AQ581" s="22" t="str">
        <f t="shared" si="89"/>
        <v>Microphytoplankton</v>
      </c>
      <c r="AR581" s="22">
        <v>0</v>
      </c>
      <c r="AS581" s="22">
        <v>0</v>
      </c>
      <c r="AT581" s="22">
        <v>0</v>
      </c>
      <c r="AU581" s="22">
        <v>1</v>
      </c>
      <c r="AV581" s="22">
        <v>0</v>
      </c>
      <c r="AW581" s="22">
        <v>0</v>
      </c>
      <c r="AX581" s="22">
        <v>1</v>
      </c>
      <c r="AY581" s="22">
        <v>0</v>
      </c>
    </row>
    <row r="582" spans="1:57">
      <c r="A582" s="21" t="s">
        <v>1849</v>
      </c>
      <c r="B582" s="22" t="s">
        <v>663</v>
      </c>
      <c r="C582" s="23" t="s">
        <v>822</v>
      </c>
      <c r="D582" s="23" t="s">
        <v>965</v>
      </c>
      <c r="E582" s="22" t="s">
        <v>62</v>
      </c>
      <c r="F582" s="23" t="s">
        <v>1499</v>
      </c>
      <c r="G582" s="23" t="s">
        <v>1500</v>
      </c>
      <c r="H582" s="23" t="s">
        <v>1501</v>
      </c>
      <c r="I582" s="22" t="s">
        <v>1805</v>
      </c>
      <c r="J582" s="21" t="s">
        <v>1850</v>
      </c>
      <c r="K582" s="21"/>
      <c r="L582" s="21"/>
      <c r="N582" s="22" t="s">
        <v>1542</v>
      </c>
      <c r="O582" s="22" t="s">
        <v>1430</v>
      </c>
      <c r="P582" s="21">
        <v>70855</v>
      </c>
      <c r="Q582" s="21">
        <v>43.4</v>
      </c>
      <c r="R582" s="21">
        <v>2</v>
      </c>
      <c r="S582" s="21">
        <v>2</v>
      </c>
      <c r="T582" s="22" t="s">
        <v>330</v>
      </c>
      <c r="U582" s="21">
        <v>0.8</v>
      </c>
      <c r="V582" s="21">
        <v>0.8</v>
      </c>
      <c r="W582" s="25">
        <f t="shared" si="85"/>
        <v>443.99999999999994</v>
      </c>
      <c r="X582" s="25">
        <f t="shared" si="86"/>
        <v>138.88</v>
      </c>
      <c r="Y582" s="21">
        <v>1</v>
      </c>
      <c r="Z582" s="24">
        <f t="shared" si="87"/>
        <v>443.99999999999994</v>
      </c>
      <c r="AA582" s="24">
        <f t="shared" si="88"/>
        <v>138.88</v>
      </c>
      <c r="AB582" s="21"/>
      <c r="AC582" s="21"/>
      <c r="AD582" s="21"/>
      <c r="AE582" s="21"/>
      <c r="AF582" s="21" t="s">
        <v>247</v>
      </c>
      <c r="AG582" s="21"/>
      <c r="AH582" s="24"/>
      <c r="AI582" s="24"/>
      <c r="AJ582" s="21">
        <v>138.9</v>
      </c>
      <c r="AK582" s="21">
        <v>45</v>
      </c>
      <c r="AL582" s="22" t="s">
        <v>161</v>
      </c>
      <c r="AM582" s="22">
        <v>0.11</v>
      </c>
      <c r="AO582" s="22" t="s">
        <v>1762</v>
      </c>
      <c r="AP582" s="22" t="s">
        <v>1432</v>
      </c>
      <c r="AQ582" s="22" t="str">
        <f t="shared" si="89"/>
        <v>Microphytoplankton</v>
      </c>
      <c r="AR582" s="22">
        <v>0</v>
      </c>
      <c r="AS582" s="22">
        <v>0</v>
      </c>
      <c r="AT582" s="22">
        <v>0</v>
      </c>
      <c r="AU582" s="22">
        <v>1</v>
      </c>
      <c r="AV582" s="22">
        <v>0</v>
      </c>
      <c r="AW582" s="22">
        <v>0</v>
      </c>
      <c r="AX582" s="22">
        <v>1</v>
      </c>
      <c r="AY582" s="22">
        <v>0</v>
      </c>
    </row>
    <row r="583" spans="1:57">
      <c r="A583" s="21" t="s">
        <v>1851</v>
      </c>
      <c r="B583" s="22" t="s">
        <v>663</v>
      </c>
      <c r="C583" s="23" t="s">
        <v>822</v>
      </c>
      <c r="D583" s="23" t="s">
        <v>965</v>
      </c>
      <c r="E583" s="22" t="s">
        <v>62</v>
      </c>
      <c r="F583" s="23" t="s">
        <v>1499</v>
      </c>
      <c r="G583" s="23" t="s">
        <v>1500</v>
      </c>
      <c r="H583" s="23" t="s">
        <v>1501</v>
      </c>
      <c r="I583" s="22" t="s">
        <v>1805</v>
      </c>
      <c r="J583" s="21" t="s">
        <v>276</v>
      </c>
      <c r="K583" s="21"/>
      <c r="L583" s="21"/>
      <c r="N583" s="22" t="s">
        <v>1852</v>
      </c>
      <c r="O583" s="22" t="s">
        <v>1430</v>
      </c>
      <c r="P583" s="21">
        <v>70870</v>
      </c>
      <c r="Q583" s="21">
        <v>17</v>
      </c>
      <c r="R583" s="21">
        <v>4</v>
      </c>
      <c r="S583" s="21">
        <v>2</v>
      </c>
      <c r="T583" s="22" t="s">
        <v>330</v>
      </c>
      <c r="U583" s="21">
        <v>0.9</v>
      </c>
      <c r="V583" s="21">
        <v>0.9</v>
      </c>
      <c r="W583" s="25">
        <f t="shared" si="85"/>
        <v>244.44444444444443</v>
      </c>
      <c r="X583" s="25">
        <f t="shared" si="86"/>
        <v>122.4</v>
      </c>
      <c r="Y583" s="21">
        <v>1</v>
      </c>
      <c r="Z583" s="24">
        <f t="shared" si="87"/>
        <v>244.44444444444443</v>
      </c>
      <c r="AA583" s="24">
        <f t="shared" si="88"/>
        <v>122.4</v>
      </c>
      <c r="AB583" s="21"/>
      <c r="AC583" s="21"/>
      <c r="AD583" s="21"/>
      <c r="AE583" s="21"/>
      <c r="AF583" s="21" t="s">
        <v>247</v>
      </c>
      <c r="AG583" s="21"/>
      <c r="AH583" s="24"/>
      <c r="AI583" s="24"/>
      <c r="AJ583" s="21">
        <v>122.4</v>
      </c>
      <c r="AK583" s="21">
        <v>17</v>
      </c>
      <c r="AL583" s="22" t="s">
        <v>161</v>
      </c>
      <c r="AM583" s="22">
        <v>0.11</v>
      </c>
      <c r="AO583" s="22" t="s">
        <v>383</v>
      </c>
      <c r="AP583" s="22" t="s">
        <v>1432</v>
      </c>
      <c r="AQ583" s="22" t="str">
        <f t="shared" si="89"/>
        <v>Nanophytoplankton</v>
      </c>
      <c r="AR583" s="22">
        <v>0</v>
      </c>
      <c r="AS583" s="22">
        <v>0</v>
      </c>
      <c r="AT583" s="22">
        <v>0</v>
      </c>
      <c r="AU583" s="22">
        <v>1</v>
      </c>
      <c r="AV583" s="22">
        <v>1</v>
      </c>
      <c r="AW583" s="22">
        <v>0</v>
      </c>
      <c r="AX583" s="22">
        <v>1</v>
      </c>
      <c r="AY583" s="22">
        <v>0</v>
      </c>
    </row>
    <row r="584" spans="1:57">
      <c r="A584" s="21" t="s">
        <v>1853</v>
      </c>
      <c r="B584" s="22" t="s">
        <v>663</v>
      </c>
      <c r="C584" s="23" t="s">
        <v>822</v>
      </c>
      <c r="D584" s="23" t="s">
        <v>965</v>
      </c>
      <c r="E584" s="22" t="s">
        <v>62</v>
      </c>
      <c r="F584" s="23" t="s">
        <v>1499</v>
      </c>
      <c r="G584" s="23" t="s">
        <v>1500</v>
      </c>
      <c r="H584" s="23" t="s">
        <v>1501</v>
      </c>
      <c r="I584" s="22" t="s">
        <v>1805</v>
      </c>
      <c r="J584" s="21" t="s">
        <v>1854</v>
      </c>
      <c r="K584" s="21"/>
      <c r="L584" s="21"/>
      <c r="N584" s="22" t="s">
        <v>694</v>
      </c>
      <c r="O584" s="22" t="s">
        <v>1430</v>
      </c>
      <c r="P584" s="21">
        <v>70650</v>
      </c>
      <c r="Q584" s="21">
        <v>10</v>
      </c>
      <c r="R584" s="21">
        <v>4</v>
      </c>
      <c r="S584" s="21">
        <v>2.5</v>
      </c>
      <c r="T584" s="22" t="s">
        <v>330</v>
      </c>
      <c r="U584" s="21">
        <v>0.8</v>
      </c>
      <c r="V584" s="21">
        <v>0.8</v>
      </c>
      <c r="W584" s="25">
        <f t="shared" si="85"/>
        <v>187.5</v>
      </c>
      <c r="X584" s="25">
        <f t="shared" si="86"/>
        <v>80</v>
      </c>
      <c r="Y584" s="21">
        <v>1</v>
      </c>
      <c r="Z584" s="24">
        <f t="shared" si="87"/>
        <v>187.5</v>
      </c>
      <c r="AA584" s="24">
        <f t="shared" si="88"/>
        <v>80</v>
      </c>
      <c r="AB584" s="21"/>
      <c r="AC584" s="21"/>
      <c r="AD584" s="21"/>
      <c r="AE584" s="21"/>
      <c r="AF584" s="21" t="s">
        <v>247</v>
      </c>
      <c r="AG584" s="21"/>
      <c r="AH584" s="24"/>
      <c r="AI584" s="24"/>
      <c r="AJ584" s="21">
        <v>80</v>
      </c>
      <c r="AK584" s="21">
        <v>10</v>
      </c>
      <c r="AL584" s="22" t="s">
        <v>161</v>
      </c>
      <c r="AM584" s="22">
        <v>0.11</v>
      </c>
      <c r="AO584" s="22" t="s">
        <v>383</v>
      </c>
      <c r="AP584" s="22" t="s">
        <v>1432</v>
      </c>
      <c r="AQ584" s="22" t="str">
        <f t="shared" si="89"/>
        <v>Nanophytoplankton</v>
      </c>
      <c r="AR584" s="22">
        <v>0</v>
      </c>
      <c r="AS584" s="22">
        <v>0</v>
      </c>
      <c r="AT584" s="22">
        <v>0</v>
      </c>
      <c r="AU584" s="22">
        <v>1</v>
      </c>
      <c r="AV584" s="22">
        <v>1</v>
      </c>
      <c r="AW584" s="22">
        <v>0</v>
      </c>
      <c r="AX584" s="22">
        <v>1</v>
      </c>
      <c r="AY584" s="22">
        <v>0</v>
      </c>
    </row>
    <row r="585" spans="1:57">
      <c r="A585" s="22" t="s">
        <v>1855</v>
      </c>
      <c r="B585" s="22" t="s">
        <v>663</v>
      </c>
      <c r="C585" s="23" t="s">
        <v>822</v>
      </c>
      <c r="D585" s="23" t="s">
        <v>965</v>
      </c>
      <c r="E585" s="22" t="s">
        <v>62</v>
      </c>
      <c r="F585" s="23" t="s">
        <v>1499</v>
      </c>
      <c r="G585" s="23" t="s">
        <v>1500</v>
      </c>
      <c r="H585" s="23" t="s">
        <v>1501</v>
      </c>
      <c r="I585" s="22" t="s">
        <v>1805</v>
      </c>
      <c r="J585" s="22" t="s">
        <v>1816</v>
      </c>
      <c r="N585" s="22" t="s">
        <v>1856</v>
      </c>
      <c r="O585" s="22" t="s">
        <v>1430</v>
      </c>
      <c r="P585" s="21">
        <v>70652</v>
      </c>
      <c r="Q585" s="22">
        <v>45</v>
      </c>
      <c r="R585" s="22">
        <v>4</v>
      </c>
      <c r="S585" s="22">
        <v>4</v>
      </c>
      <c r="T585" s="22" t="s">
        <v>330</v>
      </c>
      <c r="U585" s="22">
        <v>0.7</v>
      </c>
      <c r="V585" s="21">
        <v>0.7</v>
      </c>
      <c r="W585" s="25">
        <f t="shared" si="85"/>
        <v>1074.2857142857144</v>
      </c>
      <c r="X585" s="25">
        <f t="shared" si="86"/>
        <v>503.99999999999994</v>
      </c>
      <c r="Y585" s="21">
        <v>1</v>
      </c>
      <c r="Z585" s="24">
        <f t="shared" si="87"/>
        <v>1074.2857142857144</v>
      </c>
      <c r="AA585" s="24">
        <f t="shared" si="88"/>
        <v>503.99999999999994</v>
      </c>
      <c r="AE585" s="21"/>
      <c r="AF585" s="21" t="s">
        <v>247</v>
      </c>
      <c r="AJ585" s="21">
        <v>503.99999999999994</v>
      </c>
      <c r="AK585" s="21">
        <v>45</v>
      </c>
      <c r="AL585" s="22" t="s">
        <v>161</v>
      </c>
      <c r="AM585" s="22">
        <v>0.11</v>
      </c>
      <c r="AO585" s="22" t="s">
        <v>1762</v>
      </c>
      <c r="AP585" s="22" t="s">
        <v>1432</v>
      </c>
      <c r="AQ585" s="22" t="str">
        <f t="shared" si="89"/>
        <v>Microphytoplankton</v>
      </c>
      <c r="AR585" s="22">
        <v>0</v>
      </c>
      <c r="AS585" s="22">
        <v>0</v>
      </c>
      <c r="AT585" s="22">
        <v>0</v>
      </c>
      <c r="AU585" s="22">
        <v>1</v>
      </c>
      <c r="AV585" s="22">
        <v>0</v>
      </c>
      <c r="AW585" s="22">
        <v>0</v>
      </c>
      <c r="AX585" s="22">
        <v>1</v>
      </c>
      <c r="AY585" s="22">
        <v>0</v>
      </c>
    </row>
    <row r="586" spans="1:57" s="29" customFormat="1">
      <c r="A586" s="21" t="s">
        <v>1857</v>
      </c>
      <c r="B586" s="22" t="s">
        <v>663</v>
      </c>
      <c r="C586" s="23" t="s">
        <v>822</v>
      </c>
      <c r="D586" s="23" t="s">
        <v>965</v>
      </c>
      <c r="E586" s="22" t="s">
        <v>62</v>
      </c>
      <c r="F586" s="23" t="s">
        <v>1499</v>
      </c>
      <c r="G586" s="23" t="s">
        <v>1500</v>
      </c>
      <c r="H586" s="23" t="s">
        <v>1501</v>
      </c>
      <c r="I586" s="22" t="s">
        <v>1805</v>
      </c>
      <c r="J586" s="21" t="s">
        <v>1858</v>
      </c>
      <c r="K586" s="21"/>
      <c r="L586" s="21"/>
      <c r="M586" s="22"/>
      <c r="N586" s="22" t="s">
        <v>1859</v>
      </c>
      <c r="O586" s="22" t="s">
        <v>1430</v>
      </c>
      <c r="P586" s="21">
        <v>70615</v>
      </c>
      <c r="Q586" s="21">
        <v>40</v>
      </c>
      <c r="R586" s="21">
        <v>4.5</v>
      </c>
      <c r="S586" s="21">
        <v>3</v>
      </c>
      <c r="T586" s="22" t="s">
        <v>330</v>
      </c>
      <c r="U586" s="21">
        <v>0.9</v>
      </c>
      <c r="V586" s="21">
        <v>0.9</v>
      </c>
      <c r="W586" s="25">
        <f t="shared" si="85"/>
        <v>696.66666666666663</v>
      </c>
      <c r="X586" s="25">
        <f t="shared" si="86"/>
        <v>486</v>
      </c>
      <c r="Y586" s="21">
        <v>1</v>
      </c>
      <c r="Z586" s="24">
        <f t="shared" si="87"/>
        <v>696.66666666666663</v>
      </c>
      <c r="AA586" s="24">
        <f t="shared" si="88"/>
        <v>486</v>
      </c>
      <c r="AB586" s="21"/>
      <c r="AC586" s="21"/>
      <c r="AD586" s="21"/>
      <c r="AE586" s="21"/>
      <c r="AF586" s="21" t="s">
        <v>247</v>
      </c>
      <c r="AG586" s="21"/>
      <c r="AH586" s="24"/>
      <c r="AI586" s="24"/>
      <c r="AJ586" s="21">
        <v>486</v>
      </c>
      <c r="AK586" s="21">
        <v>40</v>
      </c>
      <c r="AL586" s="22" t="s">
        <v>161</v>
      </c>
      <c r="AM586" s="22">
        <v>0.11</v>
      </c>
      <c r="AN586" s="22"/>
      <c r="AO586" s="22" t="s">
        <v>1762</v>
      </c>
      <c r="AP586" s="22" t="s">
        <v>1432</v>
      </c>
      <c r="AQ586" s="22" t="str">
        <f t="shared" si="89"/>
        <v>Microphytoplankton</v>
      </c>
      <c r="AR586" s="22">
        <v>0</v>
      </c>
      <c r="AS586" s="22">
        <v>0</v>
      </c>
      <c r="AT586" s="22">
        <v>0</v>
      </c>
      <c r="AU586" s="22">
        <v>1</v>
      </c>
      <c r="AV586" s="22">
        <v>0</v>
      </c>
      <c r="AW586" s="22">
        <v>0</v>
      </c>
      <c r="AX586" s="22">
        <v>1</v>
      </c>
      <c r="AY586" s="22">
        <v>0</v>
      </c>
      <c r="AZ586" s="22"/>
      <c r="BA586" s="22"/>
      <c r="BB586" s="22"/>
      <c r="BC586" s="22"/>
      <c r="BD586" s="22"/>
      <c r="BE586" s="22"/>
    </row>
    <row r="587" spans="1:57" s="29" customFormat="1">
      <c r="A587" s="21" t="s">
        <v>1860</v>
      </c>
      <c r="B587" s="22" t="s">
        <v>663</v>
      </c>
      <c r="C587" s="23" t="s">
        <v>822</v>
      </c>
      <c r="D587" s="23" t="s">
        <v>965</v>
      </c>
      <c r="E587" s="22" t="s">
        <v>62</v>
      </c>
      <c r="F587" s="23" t="s">
        <v>1499</v>
      </c>
      <c r="G587" s="23" t="s">
        <v>1500</v>
      </c>
      <c r="H587" s="23" t="s">
        <v>1501</v>
      </c>
      <c r="I587" s="22" t="s">
        <v>1805</v>
      </c>
      <c r="J587" s="21" t="s">
        <v>211</v>
      </c>
      <c r="K587" s="21"/>
      <c r="L587" s="21"/>
      <c r="M587" s="22" t="s">
        <v>1</v>
      </c>
      <c r="N587" s="22" t="s">
        <v>1861</v>
      </c>
      <c r="O587" s="22" t="s">
        <v>1430</v>
      </c>
      <c r="P587" s="21">
        <v>70600</v>
      </c>
      <c r="Q587" s="21">
        <v>15</v>
      </c>
      <c r="R587" s="21">
        <v>4</v>
      </c>
      <c r="S587" s="21">
        <v>2.5</v>
      </c>
      <c r="T587" s="22" t="s">
        <v>330</v>
      </c>
      <c r="U587" s="21">
        <v>0.6</v>
      </c>
      <c r="V587" s="21">
        <v>0.6</v>
      </c>
      <c r="W587" s="25">
        <f t="shared" si="85"/>
        <v>358.33333333333337</v>
      </c>
      <c r="X587" s="25">
        <f t="shared" si="86"/>
        <v>90</v>
      </c>
      <c r="Y587" s="21">
        <v>1</v>
      </c>
      <c r="Z587" s="24">
        <f t="shared" si="87"/>
        <v>358.33333333333337</v>
      </c>
      <c r="AA587" s="24">
        <f t="shared" si="88"/>
        <v>90</v>
      </c>
      <c r="AB587" s="21"/>
      <c r="AC587" s="21"/>
      <c r="AD587" s="21"/>
      <c r="AE587" s="21"/>
      <c r="AF587" s="21" t="s">
        <v>247</v>
      </c>
      <c r="AG587" s="21"/>
      <c r="AH587" s="24"/>
      <c r="AI587" s="24"/>
      <c r="AJ587" s="21">
        <v>90</v>
      </c>
      <c r="AK587" s="21">
        <v>15</v>
      </c>
      <c r="AL587" s="22" t="s">
        <v>161</v>
      </c>
      <c r="AM587" s="22">
        <v>0.11</v>
      </c>
      <c r="AN587" s="22"/>
      <c r="AO587" s="22" t="s">
        <v>1762</v>
      </c>
      <c r="AP587" s="22" t="s">
        <v>1432</v>
      </c>
      <c r="AQ587" s="22" t="str">
        <f t="shared" si="89"/>
        <v>Nanophytoplankton</v>
      </c>
      <c r="AR587" s="22">
        <v>0</v>
      </c>
      <c r="AS587" s="22">
        <v>0</v>
      </c>
      <c r="AT587" s="22">
        <v>0</v>
      </c>
      <c r="AU587" s="22">
        <v>1</v>
      </c>
      <c r="AV587" s="22">
        <v>0</v>
      </c>
      <c r="AW587" s="22">
        <v>0</v>
      </c>
      <c r="AX587" s="22">
        <v>1</v>
      </c>
      <c r="AY587" s="22">
        <v>0</v>
      </c>
      <c r="AZ587" s="22"/>
      <c r="BA587" s="22"/>
      <c r="BB587" s="22"/>
      <c r="BC587" s="22"/>
      <c r="BD587" s="22"/>
      <c r="BE587" s="22"/>
    </row>
    <row r="588" spans="1:57">
      <c r="A588" s="21" t="s">
        <v>1862</v>
      </c>
      <c r="B588" s="22" t="s">
        <v>663</v>
      </c>
      <c r="C588" s="23" t="s">
        <v>822</v>
      </c>
      <c r="D588" s="23" t="s">
        <v>965</v>
      </c>
      <c r="E588" s="22" t="s">
        <v>62</v>
      </c>
      <c r="F588" s="23" t="s">
        <v>1499</v>
      </c>
      <c r="G588" s="23" t="s">
        <v>1500</v>
      </c>
      <c r="H588" s="23" t="s">
        <v>1501</v>
      </c>
      <c r="I588" s="22" t="s">
        <v>1805</v>
      </c>
      <c r="J588" s="21" t="s">
        <v>1249</v>
      </c>
      <c r="K588" s="21"/>
      <c r="L588" s="21"/>
      <c r="N588" s="22" t="s">
        <v>1863</v>
      </c>
      <c r="O588" s="22" t="s">
        <v>1430</v>
      </c>
      <c r="P588" s="21">
        <v>70817</v>
      </c>
      <c r="Q588" s="21">
        <v>65</v>
      </c>
      <c r="R588" s="21">
        <v>2.5</v>
      </c>
      <c r="S588" s="21">
        <v>2.5</v>
      </c>
      <c r="T588" s="22" t="s">
        <v>159</v>
      </c>
      <c r="U588" s="21">
        <v>0.7</v>
      </c>
      <c r="V588" s="21">
        <v>0.7</v>
      </c>
      <c r="W588" s="24">
        <f>(4*3.14*(((Q588^1.6*R588^1.6+Q588^1.6*S588^1.6+R588^1.6+S588^1.6)/3)^(1/1.6)))*(1/V588)</f>
        <v>2264.795058408517</v>
      </c>
      <c r="X588" s="24">
        <f>3.14/6*Q588*R588*S588*U588</f>
        <v>148.82291666666663</v>
      </c>
      <c r="Y588" s="21">
        <v>1</v>
      </c>
      <c r="Z588" s="24">
        <f t="shared" si="87"/>
        <v>2264.795058408517</v>
      </c>
      <c r="AA588" s="24">
        <f t="shared" si="88"/>
        <v>148.82291666666663</v>
      </c>
      <c r="AB588" s="21"/>
      <c r="AC588" s="21"/>
      <c r="AD588" s="21"/>
      <c r="AE588" s="21"/>
      <c r="AF588" s="21" t="s">
        <v>247</v>
      </c>
      <c r="AG588" s="21"/>
      <c r="AH588" s="24"/>
      <c r="AI588" s="24"/>
      <c r="AJ588" s="21">
        <v>212.60416666666663</v>
      </c>
      <c r="AK588" s="21">
        <v>284.39999999999998</v>
      </c>
      <c r="AL588" s="22" t="s">
        <v>1864</v>
      </c>
      <c r="AM588" s="22">
        <v>0.11</v>
      </c>
      <c r="AO588" s="22" t="s">
        <v>1762</v>
      </c>
      <c r="AP588" s="22" t="s">
        <v>1432</v>
      </c>
      <c r="AQ588" s="22" t="str">
        <f t="shared" si="89"/>
        <v>Microphytoplankton</v>
      </c>
      <c r="AR588" s="22">
        <v>0</v>
      </c>
      <c r="AS588" s="22">
        <v>0</v>
      </c>
      <c r="AT588" s="22">
        <v>0</v>
      </c>
      <c r="AU588" s="22">
        <v>1</v>
      </c>
      <c r="AV588" s="22">
        <v>0</v>
      </c>
      <c r="AW588" s="22">
        <v>0</v>
      </c>
      <c r="AX588" s="22">
        <v>1</v>
      </c>
      <c r="AY588" s="22">
        <v>0</v>
      </c>
    </row>
    <row r="589" spans="1:57">
      <c r="A589" s="21" t="s">
        <v>1865</v>
      </c>
      <c r="B589" s="22" t="s">
        <v>663</v>
      </c>
      <c r="C589" s="23" t="s">
        <v>822</v>
      </c>
      <c r="D589" s="23" t="s">
        <v>965</v>
      </c>
      <c r="E589" s="22" t="s">
        <v>62</v>
      </c>
      <c r="F589" s="23" t="s">
        <v>1499</v>
      </c>
      <c r="G589" s="23" t="s">
        <v>1500</v>
      </c>
      <c r="H589" s="23" t="s">
        <v>1501</v>
      </c>
      <c r="I589" s="22" t="s">
        <v>1805</v>
      </c>
      <c r="J589" s="21" t="s">
        <v>1249</v>
      </c>
      <c r="K589" s="21" t="s">
        <v>175</v>
      </c>
      <c r="L589" s="21" t="s">
        <v>1590</v>
      </c>
      <c r="N589" s="22" t="s">
        <v>1866</v>
      </c>
      <c r="O589" s="22" t="s">
        <v>1430</v>
      </c>
      <c r="P589" s="21">
        <v>70816</v>
      </c>
      <c r="Q589" s="21">
        <v>45</v>
      </c>
      <c r="R589" s="21">
        <v>3.5</v>
      </c>
      <c r="S589" s="21">
        <v>3.5</v>
      </c>
      <c r="T589" s="22" t="s">
        <v>330</v>
      </c>
      <c r="U589" s="21">
        <v>0.7</v>
      </c>
      <c r="V589" s="21">
        <v>0.7</v>
      </c>
      <c r="W589" s="25">
        <f t="shared" ref="W589:W632" si="90">(Q589*R589*2+Q589*S589*2+R589*S589*2)/V589</f>
        <v>935.00000000000011</v>
      </c>
      <c r="X589" s="25">
        <f t="shared" ref="X589:X632" si="91">Q589*R589*S589*U589</f>
        <v>385.875</v>
      </c>
      <c r="Y589" s="21">
        <v>1</v>
      </c>
      <c r="Z589" s="24">
        <f t="shared" si="87"/>
        <v>935.00000000000011</v>
      </c>
      <c r="AA589" s="24">
        <f t="shared" si="88"/>
        <v>385.875</v>
      </c>
      <c r="AB589" s="21"/>
      <c r="AC589" s="21"/>
      <c r="AD589" s="21"/>
      <c r="AE589" s="21"/>
      <c r="AF589" s="21" t="s">
        <v>247</v>
      </c>
      <c r="AG589" s="21"/>
      <c r="AH589" s="24"/>
      <c r="AI589" s="24"/>
      <c r="AJ589" s="21">
        <v>220</v>
      </c>
      <c r="AK589" s="21">
        <v>45</v>
      </c>
      <c r="AL589" s="22" t="s">
        <v>161</v>
      </c>
      <c r="AM589" s="22">
        <v>0.11</v>
      </c>
      <c r="AO589" s="22" t="s">
        <v>1762</v>
      </c>
      <c r="AP589" s="22" t="s">
        <v>1432</v>
      </c>
      <c r="AQ589" s="22" t="str">
        <f t="shared" si="89"/>
        <v>Microphytoplankton</v>
      </c>
      <c r="AR589" s="22">
        <v>0</v>
      </c>
      <c r="AS589" s="22">
        <v>0</v>
      </c>
      <c r="AT589" s="22">
        <v>0</v>
      </c>
      <c r="AU589" s="22">
        <v>1</v>
      </c>
      <c r="AV589" s="22">
        <v>0</v>
      </c>
      <c r="AW589" s="22">
        <v>0</v>
      </c>
      <c r="AX589" s="22">
        <v>1</v>
      </c>
      <c r="AY589" s="22">
        <v>0</v>
      </c>
    </row>
    <row r="590" spans="1:57">
      <c r="A590" s="21" t="s">
        <v>1867</v>
      </c>
      <c r="B590" s="22" t="s">
        <v>663</v>
      </c>
      <c r="C590" s="23" t="s">
        <v>822</v>
      </c>
      <c r="D590" s="23" t="s">
        <v>965</v>
      </c>
      <c r="E590" s="22" t="s">
        <v>62</v>
      </c>
      <c r="F590" s="23" t="s">
        <v>1499</v>
      </c>
      <c r="G590" s="23" t="s">
        <v>1500</v>
      </c>
      <c r="H590" s="23" t="s">
        <v>1501</v>
      </c>
      <c r="I590" s="22" t="s">
        <v>1805</v>
      </c>
      <c r="J590" s="21" t="s">
        <v>1868</v>
      </c>
      <c r="K590" s="21"/>
      <c r="L590" s="21"/>
      <c r="N590" s="22" t="s">
        <v>1869</v>
      </c>
      <c r="O590" s="22" t="s">
        <v>1430</v>
      </c>
      <c r="P590" s="21">
        <v>70820</v>
      </c>
      <c r="Q590" s="21">
        <v>180</v>
      </c>
      <c r="R590" s="21">
        <v>8</v>
      </c>
      <c r="S590" s="21">
        <v>5</v>
      </c>
      <c r="T590" s="22" t="s">
        <v>330</v>
      </c>
      <c r="U590" s="21">
        <v>0.7</v>
      </c>
      <c r="V590" s="21">
        <v>0.7</v>
      </c>
      <c r="W590" s="25">
        <f t="shared" si="90"/>
        <v>6800</v>
      </c>
      <c r="X590" s="25">
        <f t="shared" si="91"/>
        <v>5040</v>
      </c>
      <c r="Y590" s="21">
        <v>1</v>
      </c>
      <c r="Z590" s="24">
        <f t="shared" si="87"/>
        <v>6800</v>
      </c>
      <c r="AA590" s="24">
        <f t="shared" si="88"/>
        <v>5040</v>
      </c>
      <c r="AB590" s="21"/>
      <c r="AC590" s="21"/>
      <c r="AD590" s="21"/>
      <c r="AE590" s="21"/>
      <c r="AF590" s="21" t="s">
        <v>247</v>
      </c>
      <c r="AG590" s="21"/>
      <c r="AH590" s="24"/>
      <c r="AI590" s="24"/>
      <c r="AJ590" s="21">
        <v>5040</v>
      </c>
      <c r="AK590" s="21">
        <v>180</v>
      </c>
      <c r="AL590" s="22" t="s">
        <v>161</v>
      </c>
      <c r="AM590" s="22">
        <v>0.11</v>
      </c>
      <c r="AO590" s="22" t="s">
        <v>383</v>
      </c>
      <c r="AP590" s="22" t="s">
        <v>1432</v>
      </c>
      <c r="AQ590" s="22" t="str">
        <f t="shared" si="89"/>
        <v>Microphytoplankton</v>
      </c>
      <c r="AR590" s="22">
        <v>0</v>
      </c>
      <c r="AS590" s="22">
        <v>0</v>
      </c>
      <c r="AT590" s="22">
        <v>0</v>
      </c>
      <c r="AU590" s="22">
        <v>1</v>
      </c>
      <c r="AV590" s="22">
        <v>0</v>
      </c>
      <c r="AW590" s="22">
        <v>0</v>
      </c>
      <c r="AX590" s="22">
        <v>1</v>
      </c>
      <c r="AY590" s="22">
        <v>0</v>
      </c>
    </row>
    <row r="591" spans="1:57">
      <c r="A591" s="21" t="s">
        <v>1870</v>
      </c>
      <c r="B591" s="22" t="s">
        <v>663</v>
      </c>
      <c r="C591" s="23" t="s">
        <v>822</v>
      </c>
      <c r="D591" s="23" t="s">
        <v>965</v>
      </c>
      <c r="E591" s="22" t="s">
        <v>62</v>
      </c>
      <c r="F591" s="23" t="s">
        <v>1499</v>
      </c>
      <c r="G591" s="23" t="s">
        <v>1500</v>
      </c>
      <c r="H591" s="23" t="s">
        <v>1501</v>
      </c>
      <c r="I591" s="22" t="s">
        <v>1805</v>
      </c>
      <c r="J591" s="21" t="s">
        <v>1868</v>
      </c>
      <c r="K591" s="21" t="s">
        <v>175</v>
      </c>
      <c r="L591" s="21" t="s">
        <v>872</v>
      </c>
      <c r="N591" s="22" t="s">
        <v>1871</v>
      </c>
      <c r="O591" s="22" t="s">
        <v>1430</v>
      </c>
      <c r="P591" s="21">
        <v>70800</v>
      </c>
      <c r="Q591" s="21">
        <v>35</v>
      </c>
      <c r="R591" s="21">
        <v>4</v>
      </c>
      <c r="S591" s="21">
        <v>4</v>
      </c>
      <c r="T591" s="22" t="s">
        <v>330</v>
      </c>
      <c r="U591" s="21">
        <v>1</v>
      </c>
      <c r="V591" s="22">
        <v>1</v>
      </c>
      <c r="W591" s="25">
        <f t="shared" si="90"/>
        <v>592</v>
      </c>
      <c r="X591" s="25">
        <f t="shared" si="91"/>
        <v>560</v>
      </c>
      <c r="Y591" s="21">
        <v>1</v>
      </c>
      <c r="Z591" s="24">
        <f t="shared" si="87"/>
        <v>592</v>
      </c>
      <c r="AA591" s="24">
        <f t="shared" si="88"/>
        <v>560</v>
      </c>
      <c r="AB591" s="21"/>
      <c r="AC591" s="21"/>
      <c r="AD591" s="21"/>
      <c r="AE591" s="21"/>
      <c r="AF591" s="21" t="s">
        <v>247</v>
      </c>
      <c r="AG591" s="21"/>
      <c r="AH591" s="24"/>
      <c r="AI591" s="24"/>
      <c r="AJ591" s="21">
        <v>560</v>
      </c>
      <c r="AK591" s="21">
        <v>35</v>
      </c>
      <c r="AL591" s="22" t="s">
        <v>161</v>
      </c>
      <c r="AM591" s="22">
        <v>0.11</v>
      </c>
      <c r="AN591" s="22" t="s">
        <v>1762</v>
      </c>
      <c r="AO591" s="22" t="s">
        <v>1762</v>
      </c>
      <c r="AP591" s="22" t="s">
        <v>1432</v>
      </c>
      <c r="AQ591" s="22" t="str">
        <f t="shared" si="89"/>
        <v>Microphytoplankton</v>
      </c>
      <c r="AR591" s="22">
        <v>0</v>
      </c>
      <c r="AS591" s="22">
        <v>0</v>
      </c>
      <c r="AT591" s="22">
        <v>0</v>
      </c>
      <c r="AU591" s="22">
        <v>0</v>
      </c>
      <c r="AV591" s="22">
        <v>0</v>
      </c>
      <c r="AW591" s="22">
        <v>0</v>
      </c>
      <c r="AX591" s="22">
        <v>1</v>
      </c>
      <c r="AY591" s="22">
        <v>0</v>
      </c>
    </row>
    <row r="592" spans="1:57">
      <c r="A592" s="21" t="s">
        <v>1872</v>
      </c>
      <c r="B592" s="22" t="s">
        <v>663</v>
      </c>
      <c r="C592" s="23" t="s">
        <v>822</v>
      </c>
      <c r="D592" s="23" t="s">
        <v>965</v>
      </c>
      <c r="E592" s="22" t="s">
        <v>62</v>
      </c>
      <c r="F592" s="23" t="s">
        <v>1499</v>
      </c>
      <c r="G592" s="23" t="s">
        <v>1500</v>
      </c>
      <c r="H592" s="23" t="s">
        <v>1501</v>
      </c>
      <c r="I592" s="22" t="s">
        <v>1805</v>
      </c>
      <c r="J592" s="21" t="s">
        <v>1868</v>
      </c>
      <c r="K592" s="21" t="s">
        <v>175</v>
      </c>
      <c r="L592" s="21" t="s">
        <v>1519</v>
      </c>
      <c r="N592" s="22" t="s">
        <v>1873</v>
      </c>
      <c r="O592" s="22" t="s">
        <v>1430</v>
      </c>
      <c r="P592" s="21">
        <v>70810</v>
      </c>
      <c r="Q592" s="21">
        <v>200</v>
      </c>
      <c r="R592" s="21">
        <v>5</v>
      </c>
      <c r="S592" s="21">
        <v>4</v>
      </c>
      <c r="T592" s="22" t="s">
        <v>330</v>
      </c>
      <c r="U592" s="21">
        <v>0.6</v>
      </c>
      <c r="V592" s="21">
        <v>0.6</v>
      </c>
      <c r="W592" s="25">
        <f t="shared" si="90"/>
        <v>6066.666666666667</v>
      </c>
      <c r="X592" s="25">
        <f t="shared" si="91"/>
        <v>2400</v>
      </c>
      <c r="Y592" s="21">
        <v>1</v>
      </c>
      <c r="Z592" s="24">
        <f t="shared" si="87"/>
        <v>6066.666666666667</v>
      </c>
      <c r="AA592" s="24">
        <f t="shared" si="88"/>
        <v>2400</v>
      </c>
      <c r="AB592" s="21"/>
      <c r="AC592" s="21"/>
      <c r="AD592" s="21"/>
      <c r="AE592" s="21"/>
      <c r="AF592" s="21" t="s">
        <v>247</v>
      </c>
      <c r="AG592" s="21"/>
      <c r="AH592" s="24"/>
      <c r="AI592" s="24"/>
      <c r="AJ592" s="21">
        <v>2400</v>
      </c>
      <c r="AK592" s="21">
        <v>200</v>
      </c>
      <c r="AL592" s="22" t="s">
        <v>161</v>
      </c>
      <c r="AM592" s="22">
        <v>0.11</v>
      </c>
      <c r="AO592" s="22" t="s">
        <v>1762</v>
      </c>
      <c r="AP592" s="22" t="s">
        <v>1432</v>
      </c>
      <c r="AQ592" s="22" t="str">
        <f t="shared" si="89"/>
        <v>Microphytoplankton</v>
      </c>
      <c r="AR592" s="22">
        <v>0</v>
      </c>
      <c r="AS592" s="22">
        <v>0</v>
      </c>
      <c r="AT592" s="22">
        <v>0</v>
      </c>
      <c r="AU592" s="22">
        <v>0</v>
      </c>
      <c r="AV592" s="22">
        <v>0</v>
      </c>
      <c r="AW592" s="22">
        <v>0</v>
      </c>
      <c r="AX592" s="22">
        <v>1</v>
      </c>
      <c r="AY592" s="22">
        <v>0</v>
      </c>
      <c r="AZ592" s="22">
        <v>0</v>
      </c>
      <c r="BA592" s="22">
        <v>3</v>
      </c>
      <c r="BB592" s="22">
        <v>4</v>
      </c>
      <c r="BC592" s="22">
        <v>2</v>
      </c>
      <c r="BD592" s="22">
        <v>1</v>
      </c>
      <c r="BE592" s="22">
        <v>0</v>
      </c>
    </row>
    <row r="593" spans="1:51">
      <c r="A593" s="21" t="s">
        <v>1874</v>
      </c>
      <c r="B593" s="22" t="s">
        <v>663</v>
      </c>
      <c r="C593" s="23" t="s">
        <v>822</v>
      </c>
      <c r="D593" s="23" t="s">
        <v>965</v>
      </c>
      <c r="E593" s="22" t="s">
        <v>62</v>
      </c>
      <c r="F593" s="23" t="s">
        <v>1499</v>
      </c>
      <c r="G593" s="23" t="s">
        <v>1500</v>
      </c>
      <c r="H593" s="23" t="s">
        <v>1501</v>
      </c>
      <c r="I593" s="22" t="s">
        <v>1805</v>
      </c>
      <c r="J593" s="21" t="s">
        <v>1875</v>
      </c>
      <c r="K593" s="21"/>
      <c r="L593" s="21"/>
      <c r="N593" s="22" t="s">
        <v>1876</v>
      </c>
      <c r="O593" s="22" t="s">
        <v>1430</v>
      </c>
      <c r="P593" s="21">
        <v>70630</v>
      </c>
      <c r="Q593" s="21">
        <v>32</v>
      </c>
      <c r="R593" s="21">
        <v>3</v>
      </c>
      <c r="S593" s="21">
        <v>3</v>
      </c>
      <c r="T593" s="22" t="s">
        <v>330</v>
      </c>
      <c r="U593" s="21">
        <v>0.6</v>
      </c>
      <c r="V593" s="21">
        <v>0.6</v>
      </c>
      <c r="W593" s="25">
        <f t="shared" si="90"/>
        <v>670</v>
      </c>
      <c r="X593" s="25">
        <f t="shared" si="91"/>
        <v>172.79999999999998</v>
      </c>
      <c r="Y593" s="21">
        <v>1</v>
      </c>
      <c r="Z593" s="24">
        <f t="shared" si="87"/>
        <v>670</v>
      </c>
      <c r="AA593" s="24">
        <f t="shared" si="88"/>
        <v>172.79999999999998</v>
      </c>
      <c r="AB593" s="21"/>
      <c r="AC593" s="21"/>
      <c r="AD593" s="21"/>
      <c r="AE593" s="21"/>
      <c r="AF593" s="21" t="s">
        <v>247</v>
      </c>
      <c r="AG593" s="21"/>
      <c r="AH593" s="24"/>
      <c r="AI593" s="24"/>
      <c r="AJ593" s="21">
        <v>172.8</v>
      </c>
      <c r="AK593" s="21">
        <v>100</v>
      </c>
      <c r="AL593" s="22" t="s">
        <v>161</v>
      </c>
      <c r="AM593" s="22">
        <v>0.11</v>
      </c>
      <c r="AO593" s="22" t="s">
        <v>383</v>
      </c>
      <c r="AP593" s="22" t="s">
        <v>1432</v>
      </c>
      <c r="AQ593" s="22" t="str">
        <f t="shared" si="89"/>
        <v>Microphytoplankton</v>
      </c>
      <c r="AR593" s="22">
        <v>0</v>
      </c>
      <c r="AS593" s="22">
        <v>0</v>
      </c>
      <c r="AT593" s="22">
        <v>0</v>
      </c>
      <c r="AU593" s="22">
        <v>1</v>
      </c>
      <c r="AV593" s="22">
        <v>0</v>
      </c>
      <c r="AW593" s="22">
        <v>0</v>
      </c>
      <c r="AX593" s="22">
        <v>1</v>
      </c>
      <c r="AY593" s="22">
        <v>0</v>
      </c>
    </row>
    <row r="594" spans="1:51">
      <c r="A594" s="21" t="s">
        <v>1877</v>
      </c>
      <c r="B594" s="22" t="s">
        <v>663</v>
      </c>
      <c r="C594" s="23" t="s">
        <v>822</v>
      </c>
      <c r="D594" s="23" t="s">
        <v>965</v>
      </c>
      <c r="E594" s="22" t="s">
        <v>62</v>
      </c>
      <c r="F594" s="23" t="s">
        <v>1434</v>
      </c>
      <c r="G594" s="23" t="s">
        <v>1473</v>
      </c>
      <c r="H594" s="23" t="s">
        <v>1474</v>
      </c>
      <c r="I594" s="22" t="s">
        <v>1878</v>
      </c>
      <c r="J594" s="22" t="s">
        <v>211</v>
      </c>
      <c r="M594" s="22" t="s">
        <v>1</v>
      </c>
      <c r="N594" s="22" t="s">
        <v>182</v>
      </c>
      <c r="O594" s="22" t="s">
        <v>1430</v>
      </c>
      <c r="P594" s="21">
        <v>70900</v>
      </c>
      <c r="Q594" s="21">
        <v>45</v>
      </c>
      <c r="R594" s="21">
        <v>12</v>
      </c>
      <c r="S594" s="21">
        <v>4</v>
      </c>
      <c r="T594" s="22" t="s">
        <v>330</v>
      </c>
      <c r="U594" s="21">
        <v>0.9</v>
      </c>
      <c r="V594" s="21">
        <v>0.9</v>
      </c>
      <c r="W594" s="25">
        <f t="shared" si="90"/>
        <v>1706.6666666666665</v>
      </c>
      <c r="X594" s="25">
        <f t="shared" si="91"/>
        <v>1944</v>
      </c>
      <c r="Y594" s="21">
        <v>1</v>
      </c>
      <c r="Z594" s="24">
        <f t="shared" si="87"/>
        <v>1706.6666666666665</v>
      </c>
      <c r="AA594" s="24">
        <f t="shared" si="88"/>
        <v>1944</v>
      </c>
      <c r="AB594" s="21"/>
      <c r="AC594" s="21"/>
      <c r="AD594" s="21"/>
      <c r="AE594" s="21"/>
      <c r="AF594" s="21" t="s">
        <v>247</v>
      </c>
      <c r="AG594" s="21"/>
      <c r="AH594" s="24"/>
      <c r="AI594" s="24"/>
      <c r="AJ594" s="21">
        <v>1944</v>
      </c>
      <c r="AK594" s="21">
        <v>45</v>
      </c>
      <c r="AL594" s="22" t="s">
        <v>161</v>
      </c>
      <c r="AM594" s="22">
        <v>0.11</v>
      </c>
      <c r="AO594" s="22" t="s">
        <v>1447</v>
      </c>
      <c r="AP594" s="22" t="s">
        <v>1432</v>
      </c>
      <c r="AQ594" s="22" t="str">
        <f t="shared" si="89"/>
        <v>Microphytoplankton</v>
      </c>
      <c r="AR594" s="22">
        <v>1</v>
      </c>
      <c r="AS594" s="22">
        <v>0</v>
      </c>
      <c r="AT594" s="22">
        <v>1</v>
      </c>
      <c r="AU594" s="22">
        <v>1</v>
      </c>
      <c r="AV594" s="22">
        <v>0</v>
      </c>
      <c r="AW594" s="22">
        <v>0</v>
      </c>
      <c r="AX594" s="22">
        <v>1</v>
      </c>
      <c r="AY594" s="22">
        <v>0</v>
      </c>
    </row>
    <row r="595" spans="1:51">
      <c r="A595" s="21" t="s">
        <v>1879</v>
      </c>
      <c r="B595" s="22" t="s">
        <v>663</v>
      </c>
      <c r="C595" s="23" t="s">
        <v>822</v>
      </c>
      <c r="D595" s="23" t="s">
        <v>965</v>
      </c>
      <c r="E595" s="22" t="s">
        <v>62</v>
      </c>
      <c r="F595" s="23" t="s">
        <v>1434</v>
      </c>
      <c r="G595" s="23" t="s">
        <v>1473</v>
      </c>
      <c r="H595" s="23" t="s">
        <v>1474</v>
      </c>
      <c r="I595" s="22" t="s">
        <v>1878</v>
      </c>
      <c r="J595" s="22" t="s">
        <v>1880</v>
      </c>
      <c r="N595" s="22" t="s">
        <v>1881</v>
      </c>
      <c r="O595" s="22" t="s">
        <v>1430</v>
      </c>
      <c r="P595" s="21">
        <v>70901</v>
      </c>
      <c r="Q595" s="21">
        <v>100</v>
      </c>
      <c r="R595" s="21">
        <v>20</v>
      </c>
      <c r="S595" s="21">
        <v>2.4</v>
      </c>
      <c r="T595" s="22" t="s">
        <v>330</v>
      </c>
      <c r="U595" s="21">
        <v>0.9</v>
      </c>
      <c r="V595" s="21">
        <v>0.9</v>
      </c>
      <c r="W595" s="25">
        <f t="shared" si="90"/>
        <v>5084.4444444444443</v>
      </c>
      <c r="X595" s="25">
        <f t="shared" si="91"/>
        <v>4320</v>
      </c>
      <c r="Y595" s="21">
        <v>1</v>
      </c>
      <c r="Z595" s="24">
        <f t="shared" si="87"/>
        <v>5084.4444444444443</v>
      </c>
      <c r="AA595" s="24">
        <f t="shared" si="88"/>
        <v>4320</v>
      </c>
      <c r="AB595" s="21"/>
      <c r="AC595" s="21"/>
      <c r="AD595" s="21"/>
      <c r="AE595" s="21"/>
      <c r="AF595" s="21" t="s">
        <v>247</v>
      </c>
      <c r="AG595" s="21"/>
      <c r="AH595" s="24"/>
      <c r="AI595" s="24"/>
      <c r="AJ595" s="21">
        <v>4785</v>
      </c>
      <c r="AK595" s="21">
        <v>100</v>
      </c>
      <c r="AL595" s="22" t="s">
        <v>161</v>
      </c>
      <c r="AM595" s="22">
        <v>0.11</v>
      </c>
      <c r="AO595" s="22" t="s">
        <v>1447</v>
      </c>
      <c r="AP595" s="22" t="s">
        <v>1432</v>
      </c>
      <c r="AQ595" s="22" t="str">
        <f t="shared" si="89"/>
        <v>Microphytoplankton</v>
      </c>
      <c r="AR595" s="22">
        <v>1</v>
      </c>
      <c r="AS595" s="22">
        <v>0</v>
      </c>
      <c r="AT595" s="22">
        <v>1</v>
      </c>
      <c r="AU595" s="22">
        <v>1</v>
      </c>
      <c r="AV595" s="22">
        <v>0</v>
      </c>
      <c r="AW595" s="22">
        <v>0</v>
      </c>
      <c r="AX595" s="22">
        <v>1</v>
      </c>
      <c r="AY595" s="22">
        <v>0</v>
      </c>
    </row>
    <row r="596" spans="1:51">
      <c r="A596" s="21" t="s">
        <v>1882</v>
      </c>
      <c r="B596" s="22" t="s">
        <v>663</v>
      </c>
      <c r="C596" s="23" t="s">
        <v>822</v>
      </c>
      <c r="D596" s="23" t="s">
        <v>965</v>
      </c>
      <c r="E596" s="22" t="s">
        <v>62</v>
      </c>
      <c r="F596" s="23" t="s">
        <v>1434</v>
      </c>
      <c r="G596" s="23" t="s">
        <v>1473</v>
      </c>
      <c r="H596" s="23" t="s">
        <v>1545</v>
      </c>
      <c r="I596" s="22" t="s">
        <v>1883</v>
      </c>
      <c r="J596" s="22" t="s">
        <v>1884</v>
      </c>
      <c r="N596" s="22" t="s">
        <v>1885</v>
      </c>
      <c r="O596" s="22" t="s">
        <v>1430</v>
      </c>
      <c r="P596" s="21">
        <v>70902</v>
      </c>
      <c r="Q596" s="21">
        <v>10</v>
      </c>
      <c r="R596" s="21">
        <v>5</v>
      </c>
      <c r="S596" s="21">
        <v>2.2000000000000002</v>
      </c>
      <c r="T596" s="22" t="s">
        <v>330</v>
      </c>
      <c r="U596" s="21">
        <v>0.7</v>
      </c>
      <c r="V596" s="21">
        <v>0.7</v>
      </c>
      <c r="W596" s="25">
        <f t="shared" si="90"/>
        <v>237.14285714285717</v>
      </c>
      <c r="X596" s="25">
        <f t="shared" si="91"/>
        <v>77</v>
      </c>
      <c r="Y596" s="21">
        <v>1</v>
      </c>
      <c r="Z596" s="24">
        <f t="shared" si="87"/>
        <v>237.14285714285717</v>
      </c>
      <c r="AA596" s="24">
        <f t="shared" si="88"/>
        <v>77</v>
      </c>
      <c r="AB596" s="21"/>
      <c r="AC596" s="21"/>
      <c r="AD596" s="21"/>
      <c r="AE596" s="21"/>
      <c r="AF596" s="21" t="s">
        <v>247</v>
      </c>
      <c r="AG596" s="21"/>
      <c r="AH596" s="24"/>
      <c r="AI596" s="24"/>
      <c r="AJ596" s="21">
        <v>112</v>
      </c>
      <c r="AK596" s="21">
        <v>10</v>
      </c>
      <c r="AL596" s="22" t="s">
        <v>161</v>
      </c>
      <c r="AM596" s="22">
        <v>0.11</v>
      </c>
      <c r="AO596" s="22" t="s">
        <v>1447</v>
      </c>
      <c r="AP596" s="22" t="s">
        <v>1432</v>
      </c>
      <c r="AQ596" s="22" t="str">
        <f t="shared" si="89"/>
        <v>Nanophytoplankton</v>
      </c>
      <c r="AR596" s="22">
        <v>1</v>
      </c>
      <c r="AS596" s="22">
        <v>0</v>
      </c>
      <c r="AT596" s="22">
        <v>1</v>
      </c>
      <c r="AU596" s="22">
        <v>0</v>
      </c>
      <c r="AV596" s="22">
        <v>0</v>
      </c>
      <c r="AW596" s="22">
        <v>0</v>
      </c>
      <c r="AX596" s="22">
        <v>1</v>
      </c>
      <c r="AY596" s="22">
        <v>0</v>
      </c>
    </row>
    <row r="597" spans="1:51">
      <c r="A597" s="21" t="s">
        <v>1886</v>
      </c>
      <c r="B597" s="22" t="s">
        <v>663</v>
      </c>
      <c r="C597" s="23" t="s">
        <v>822</v>
      </c>
      <c r="D597" s="23" t="s">
        <v>965</v>
      </c>
      <c r="E597" s="22" t="s">
        <v>62</v>
      </c>
      <c r="F597" s="23" t="s">
        <v>1434</v>
      </c>
      <c r="G597" s="23" t="s">
        <v>1473</v>
      </c>
      <c r="H597" s="23" t="s">
        <v>1545</v>
      </c>
      <c r="I597" s="22" t="s">
        <v>1883</v>
      </c>
      <c r="J597" s="22" t="s">
        <v>1887</v>
      </c>
      <c r="N597" s="22" t="s">
        <v>1888</v>
      </c>
      <c r="O597" s="22" t="s">
        <v>1430</v>
      </c>
      <c r="P597" s="21">
        <v>70903</v>
      </c>
      <c r="Q597" s="21">
        <v>20</v>
      </c>
      <c r="R597" s="21">
        <v>6</v>
      </c>
      <c r="S597" s="21">
        <v>5</v>
      </c>
      <c r="T597" s="22" t="s">
        <v>330</v>
      </c>
      <c r="U597" s="21">
        <v>0.7</v>
      </c>
      <c r="V597" s="21">
        <v>0.7</v>
      </c>
      <c r="W597" s="25">
        <f t="shared" si="90"/>
        <v>714.28571428571433</v>
      </c>
      <c r="X597" s="25">
        <f t="shared" si="91"/>
        <v>420</v>
      </c>
      <c r="Y597" s="21">
        <v>1</v>
      </c>
      <c r="Z597" s="24">
        <f t="shared" si="87"/>
        <v>714.28571428571433</v>
      </c>
      <c r="AA597" s="24">
        <f t="shared" si="88"/>
        <v>420</v>
      </c>
      <c r="AB597" s="21"/>
      <c r="AC597" s="21"/>
      <c r="AD597" s="21"/>
      <c r="AE597" s="21"/>
      <c r="AF597" s="21" t="s">
        <v>247</v>
      </c>
      <c r="AG597" s="21"/>
      <c r="AH597" s="24"/>
      <c r="AI597" s="24"/>
      <c r="AJ597" s="21">
        <v>420</v>
      </c>
      <c r="AK597" s="21">
        <v>20</v>
      </c>
      <c r="AL597" s="22" t="s">
        <v>161</v>
      </c>
      <c r="AM597" s="22">
        <v>0.11</v>
      </c>
      <c r="AO597" s="22" t="s">
        <v>1447</v>
      </c>
      <c r="AP597" s="22" t="s">
        <v>1432</v>
      </c>
      <c r="AQ597" s="22" t="str">
        <f t="shared" si="89"/>
        <v>Microphytoplankton</v>
      </c>
      <c r="AR597" s="22">
        <v>1</v>
      </c>
      <c r="AS597" s="22">
        <v>0</v>
      </c>
      <c r="AT597" s="22">
        <v>1</v>
      </c>
      <c r="AU597" s="22">
        <v>0</v>
      </c>
      <c r="AV597" s="22">
        <v>0</v>
      </c>
      <c r="AW597" s="22">
        <v>0</v>
      </c>
      <c r="AX597" s="22">
        <v>1</v>
      </c>
      <c r="AY597" s="22">
        <v>0</v>
      </c>
    </row>
    <row r="598" spans="1:51">
      <c r="A598" s="21" t="s">
        <v>1889</v>
      </c>
      <c r="B598" s="22" t="s">
        <v>663</v>
      </c>
      <c r="C598" s="23" t="s">
        <v>822</v>
      </c>
      <c r="D598" s="23" t="s">
        <v>965</v>
      </c>
      <c r="E598" s="22" t="s">
        <v>62</v>
      </c>
      <c r="F598" s="23" t="s">
        <v>1434</v>
      </c>
      <c r="G598" s="23" t="s">
        <v>1662</v>
      </c>
      <c r="H598" s="23" t="s">
        <v>1890</v>
      </c>
      <c r="I598" s="22" t="s">
        <v>1891</v>
      </c>
      <c r="J598" s="22" t="s">
        <v>905</v>
      </c>
      <c r="N598" s="22" t="s">
        <v>694</v>
      </c>
      <c r="O598" s="22" t="s">
        <v>1430</v>
      </c>
      <c r="P598" s="21">
        <v>71850</v>
      </c>
      <c r="Q598" s="21">
        <v>31</v>
      </c>
      <c r="R598" s="21">
        <v>7</v>
      </c>
      <c r="S598" s="21">
        <v>3</v>
      </c>
      <c r="T598" s="22" t="s">
        <v>330</v>
      </c>
      <c r="U598" s="21">
        <v>0.8</v>
      </c>
      <c r="V598" s="21">
        <v>0.8</v>
      </c>
      <c r="W598" s="25">
        <f t="shared" si="90"/>
        <v>827.5</v>
      </c>
      <c r="X598" s="25">
        <f t="shared" si="91"/>
        <v>520.80000000000007</v>
      </c>
      <c r="Y598" s="21">
        <v>1</v>
      </c>
      <c r="Z598" s="24">
        <f t="shared" si="87"/>
        <v>827.5</v>
      </c>
      <c r="AA598" s="24">
        <f t="shared" si="88"/>
        <v>520.80000000000007</v>
      </c>
      <c r="AB598" s="21"/>
      <c r="AC598" s="21"/>
      <c r="AD598" s="21"/>
      <c r="AE598" s="21"/>
      <c r="AF598" s="21" t="s">
        <v>247</v>
      </c>
      <c r="AG598" s="21"/>
      <c r="AH598" s="24"/>
      <c r="AI598" s="24"/>
      <c r="AJ598" s="21">
        <v>520.79999999999995</v>
      </c>
      <c r="AK598" s="21">
        <v>31</v>
      </c>
      <c r="AL598" s="22" t="s">
        <v>161</v>
      </c>
      <c r="AM598" s="22">
        <v>0.11</v>
      </c>
      <c r="AO598" s="22" t="s">
        <v>1447</v>
      </c>
      <c r="AP598" s="22" t="s">
        <v>1432</v>
      </c>
      <c r="AQ598" s="22" t="str">
        <f t="shared" si="89"/>
        <v>Microphytoplankton</v>
      </c>
      <c r="AR598" s="22">
        <v>1</v>
      </c>
      <c r="AS598" s="22">
        <v>0</v>
      </c>
      <c r="AT598" s="22">
        <v>1</v>
      </c>
      <c r="AU598" s="22">
        <v>0</v>
      </c>
      <c r="AV598" s="22">
        <v>0</v>
      </c>
      <c r="AW598" s="22">
        <v>0</v>
      </c>
      <c r="AX598" s="22">
        <v>1</v>
      </c>
      <c r="AY598" s="22">
        <v>0</v>
      </c>
    </row>
    <row r="599" spans="1:51">
      <c r="A599" s="21" t="s">
        <v>1892</v>
      </c>
      <c r="B599" s="22" t="s">
        <v>663</v>
      </c>
      <c r="C599" s="23" t="s">
        <v>822</v>
      </c>
      <c r="D599" s="23" t="s">
        <v>965</v>
      </c>
      <c r="E599" s="22" t="s">
        <v>62</v>
      </c>
      <c r="F599" s="23" t="s">
        <v>1434</v>
      </c>
      <c r="G599" s="23" t="s">
        <v>1662</v>
      </c>
      <c r="H599" s="23" t="s">
        <v>1890</v>
      </c>
      <c r="I599" s="22" t="s">
        <v>1891</v>
      </c>
      <c r="J599" s="22" t="s">
        <v>1893</v>
      </c>
      <c r="N599" s="22" t="s">
        <v>1894</v>
      </c>
      <c r="O599" s="22" t="s">
        <v>1430</v>
      </c>
      <c r="P599" s="21">
        <v>71851</v>
      </c>
      <c r="Q599" s="21">
        <v>33.5</v>
      </c>
      <c r="R599" s="21">
        <v>7.5</v>
      </c>
      <c r="S599" s="21">
        <v>2.7</v>
      </c>
      <c r="T599" s="22" t="s">
        <v>330</v>
      </c>
      <c r="U599" s="21">
        <v>0.7</v>
      </c>
      <c r="V599" s="21">
        <v>0.7</v>
      </c>
      <c r="W599" s="25">
        <f t="shared" si="90"/>
        <v>1034.1428571428571</v>
      </c>
      <c r="X599" s="25">
        <f t="shared" si="91"/>
        <v>474.86249999999995</v>
      </c>
      <c r="Y599" s="21">
        <v>1</v>
      </c>
      <c r="Z599" s="24">
        <f t="shared" si="87"/>
        <v>1034.1428571428571</v>
      </c>
      <c r="AA599" s="24">
        <f t="shared" si="88"/>
        <v>474.86249999999995</v>
      </c>
      <c r="AB599" s="21"/>
      <c r="AC599" s="21"/>
      <c r="AD599" s="21"/>
      <c r="AE599" s="21"/>
      <c r="AF599" s="21" t="s">
        <v>247</v>
      </c>
      <c r="AG599" s="21"/>
      <c r="AH599" s="24"/>
      <c r="AI599" s="24"/>
      <c r="AJ599" s="21">
        <v>488</v>
      </c>
      <c r="AK599" s="21">
        <v>33.5</v>
      </c>
      <c r="AL599" s="22" t="s">
        <v>161</v>
      </c>
      <c r="AM599" s="22">
        <v>0.11</v>
      </c>
      <c r="AO599" s="22" t="s">
        <v>383</v>
      </c>
      <c r="AP599" s="22" t="s">
        <v>1432</v>
      </c>
      <c r="AQ599" s="22" t="str">
        <f t="shared" si="89"/>
        <v>Microphytoplankton</v>
      </c>
      <c r="AR599" s="22">
        <v>1</v>
      </c>
      <c r="AS599" s="22">
        <v>0</v>
      </c>
      <c r="AT599" s="22">
        <v>1</v>
      </c>
      <c r="AU599" s="22">
        <v>0</v>
      </c>
      <c r="AV599" s="22">
        <v>0</v>
      </c>
      <c r="AW599" s="22">
        <v>0</v>
      </c>
      <c r="AX599" s="22">
        <v>1</v>
      </c>
      <c r="AY599" s="22">
        <v>0</v>
      </c>
    </row>
    <row r="600" spans="1:51">
      <c r="A600" s="21" t="s">
        <v>1895</v>
      </c>
      <c r="B600" s="22" t="s">
        <v>663</v>
      </c>
      <c r="C600" s="23" t="s">
        <v>822</v>
      </c>
      <c r="D600" s="23" t="s">
        <v>965</v>
      </c>
      <c r="E600" s="22" t="s">
        <v>62</v>
      </c>
      <c r="F600" s="23" t="s">
        <v>1434</v>
      </c>
      <c r="G600" s="23" t="s">
        <v>1662</v>
      </c>
      <c r="H600" s="23" t="s">
        <v>1890</v>
      </c>
      <c r="I600" s="22" t="s">
        <v>1891</v>
      </c>
      <c r="J600" s="22" t="s">
        <v>1896</v>
      </c>
      <c r="N600" s="22" t="s">
        <v>694</v>
      </c>
      <c r="O600" s="22" t="s">
        <v>1430</v>
      </c>
      <c r="P600" s="21">
        <v>71810</v>
      </c>
      <c r="Q600" s="21">
        <v>35</v>
      </c>
      <c r="R600" s="21">
        <v>10</v>
      </c>
      <c r="S600" s="21">
        <v>6</v>
      </c>
      <c r="T600" s="22" t="s">
        <v>330</v>
      </c>
      <c r="U600" s="21">
        <v>0.75</v>
      </c>
      <c r="V600" s="21">
        <v>0.75</v>
      </c>
      <c r="W600" s="25">
        <f t="shared" si="90"/>
        <v>1653.3333333333333</v>
      </c>
      <c r="X600" s="25">
        <f t="shared" si="91"/>
        <v>1575</v>
      </c>
      <c r="Y600" s="21">
        <v>1</v>
      </c>
      <c r="Z600" s="24">
        <f t="shared" si="87"/>
        <v>1653.3333333333333</v>
      </c>
      <c r="AA600" s="24">
        <f t="shared" si="88"/>
        <v>1575</v>
      </c>
      <c r="AB600" s="21"/>
      <c r="AC600" s="21"/>
      <c r="AD600" s="21"/>
      <c r="AE600" s="21"/>
      <c r="AF600" s="21" t="s">
        <v>247</v>
      </c>
      <c r="AG600" s="21"/>
      <c r="AH600" s="24"/>
      <c r="AI600" s="24"/>
      <c r="AJ600" s="21">
        <v>1575</v>
      </c>
      <c r="AK600" s="21">
        <v>35</v>
      </c>
      <c r="AL600" s="22" t="s">
        <v>161</v>
      </c>
      <c r="AM600" s="22">
        <v>0.11</v>
      </c>
      <c r="AO600" s="22" t="s">
        <v>1447</v>
      </c>
      <c r="AP600" s="22" t="s">
        <v>1432</v>
      </c>
      <c r="AQ600" s="22" t="str">
        <f t="shared" si="89"/>
        <v>Microphytoplankton</v>
      </c>
      <c r="AR600" s="22">
        <v>1</v>
      </c>
      <c r="AS600" s="22">
        <v>0</v>
      </c>
      <c r="AT600" s="22">
        <v>1</v>
      </c>
      <c r="AU600" s="22">
        <v>0</v>
      </c>
      <c r="AV600" s="22">
        <v>0</v>
      </c>
      <c r="AW600" s="22">
        <v>0</v>
      </c>
      <c r="AX600" s="22">
        <v>1</v>
      </c>
      <c r="AY600" s="22">
        <v>0</v>
      </c>
    </row>
    <row r="601" spans="1:51">
      <c r="A601" s="21" t="s">
        <v>1897</v>
      </c>
      <c r="B601" s="22" t="s">
        <v>663</v>
      </c>
      <c r="C601" s="23" t="s">
        <v>822</v>
      </c>
      <c r="D601" s="23" t="s">
        <v>965</v>
      </c>
      <c r="E601" s="22" t="s">
        <v>62</v>
      </c>
      <c r="F601" s="23" t="s">
        <v>1434</v>
      </c>
      <c r="G601" s="23" t="s">
        <v>1662</v>
      </c>
      <c r="H601" s="23" t="s">
        <v>1890</v>
      </c>
      <c r="I601" s="22" t="s">
        <v>1891</v>
      </c>
      <c r="J601" s="22" t="s">
        <v>1898</v>
      </c>
      <c r="N601" s="22" t="s">
        <v>1899</v>
      </c>
      <c r="O601" s="22" t="s">
        <v>1430</v>
      </c>
      <c r="P601" s="21">
        <v>71812</v>
      </c>
      <c r="Q601" s="21">
        <v>70</v>
      </c>
      <c r="R601" s="21">
        <v>14</v>
      </c>
      <c r="S601" s="21">
        <v>5</v>
      </c>
      <c r="T601" s="22" t="s">
        <v>330</v>
      </c>
      <c r="U601" s="21">
        <v>0.5</v>
      </c>
      <c r="V601" s="21">
        <v>0.5</v>
      </c>
      <c r="W601" s="25">
        <f t="shared" si="90"/>
        <v>5600</v>
      </c>
      <c r="X601" s="25">
        <f t="shared" si="91"/>
        <v>2450</v>
      </c>
      <c r="Y601" s="21">
        <v>1</v>
      </c>
      <c r="Z601" s="24">
        <f t="shared" si="87"/>
        <v>5600</v>
      </c>
      <c r="AA601" s="24">
        <f t="shared" si="88"/>
        <v>2450</v>
      </c>
      <c r="AB601" s="21"/>
      <c r="AC601" s="21"/>
      <c r="AD601" s="21"/>
      <c r="AE601" s="21"/>
      <c r="AF601" s="21" t="s">
        <v>247</v>
      </c>
      <c r="AG601" s="21"/>
      <c r="AH601" s="24"/>
      <c r="AI601" s="24"/>
      <c r="AJ601" s="21">
        <v>2450</v>
      </c>
      <c r="AK601" s="21">
        <v>70</v>
      </c>
      <c r="AL601" s="22" t="s">
        <v>161</v>
      </c>
      <c r="AM601" s="22">
        <v>0.11</v>
      </c>
      <c r="AO601" s="22" t="s">
        <v>1447</v>
      </c>
      <c r="AP601" s="22" t="s">
        <v>1432</v>
      </c>
      <c r="AQ601" s="22" t="str">
        <f t="shared" si="89"/>
        <v>Microphytoplankton</v>
      </c>
      <c r="AR601" s="22">
        <v>1</v>
      </c>
      <c r="AS601" s="22">
        <v>0</v>
      </c>
      <c r="AT601" s="22">
        <v>1</v>
      </c>
      <c r="AU601" s="22">
        <v>0</v>
      </c>
      <c r="AV601" s="22">
        <v>0</v>
      </c>
      <c r="AW601" s="22">
        <v>0</v>
      </c>
      <c r="AX601" s="22">
        <v>1</v>
      </c>
      <c r="AY601" s="22">
        <v>0</v>
      </c>
    </row>
    <row r="602" spans="1:51">
      <c r="A602" s="21" t="s">
        <v>1900</v>
      </c>
      <c r="B602" s="22" t="s">
        <v>663</v>
      </c>
      <c r="C602" s="23" t="s">
        <v>822</v>
      </c>
      <c r="D602" s="23" t="s">
        <v>965</v>
      </c>
      <c r="E602" s="22" t="s">
        <v>62</v>
      </c>
      <c r="F602" s="23" t="s">
        <v>1434</v>
      </c>
      <c r="G602" s="23" t="s">
        <v>1662</v>
      </c>
      <c r="H602" s="23" t="s">
        <v>1890</v>
      </c>
      <c r="I602" s="22" t="s">
        <v>1891</v>
      </c>
      <c r="J602" s="22" t="s">
        <v>1901</v>
      </c>
      <c r="N602" s="22" t="s">
        <v>694</v>
      </c>
      <c r="O602" s="22" t="s">
        <v>1430</v>
      </c>
      <c r="P602" s="21">
        <v>71813</v>
      </c>
      <c r="Q602" s="21">
        <v>57</v>
      </c>
      <c r="R602" s="21">
        <v>10</v>
      </c>
      <c r="S602" s="21">
        <v>4</v>
      </c>
      <c r="T602" s="22" t="s">
        <v>330</v>
      </c>
      <c r="U602" s="21">
        <v>0.6</v>
      </c>
      <c r="V602" s="21">
        <v>0.6</v>
      </c>
      <c r="W602" s="25">
        <f t="shared" si="90"/>
        <v>2793.3333333333335</v>
      </c>
      <c r="X602" s="25">
        <f t="shared" si="91"/>
        <v>1368</v>
      </c>
      <c r="Y602" s="21">
        <v>1</v>
      </c>
      <c r="Z602" s="24">
        <f t="shared" si="87"/>
        <v>2793.3333333333335</v>
      </c>
      <c r="AA602" s="24">
        <f t="shared" si="88"/>
        <v>1368</v>
      </c>
      <c r="AB602" s="21"/>
      <c r="AC602" s="21"/>
      <c r="AD602" s="21"/>
      <c r="AE602" s="21"/>
      <c r="AF602" s="21" t="s">
        <v>247</v>
      </c>
      <c r="AG602" s="21"/>
      <c r="AH602" s="24"/>
      <c r="AI602" s="24"/>
      <c r="AJ602" s="21">
        <v>1384</v>
      </c>
      <c r="AK602" s="21">
        <v>57</v>
      </c>
      <c r="AL602" s="22" t="s">
        <v>161</v>
      </c>
      <c r="AM602" s="22">
        <v>0.11</v>
      </c>
      <c r="AO602" s="22" t="s">
        <v>1447</v>
      </c>
      <c r="AP602" s="22" t="s">
        <v>1432</v>
      </c>
      <c r="AQ602" s="22" t="str">
        <f t="shared" si="89"/>
        <v>Microphytoplankton</v>
      </c>
      <c r="AR602" s="22">
        <v>1</v>
      </c>
      <c r="AS602" s="22">
        <v>0</v>
      </c>
      <c r="AT602" s="22">
        <v>1</v>
      </c>
      <c r="AU602" s="22">
        <v>0</v>
      </c>
      <c r="AV602" s="22">
        <v>0</v>
      </c>
      <c r="AW602" s="22">
        <v>0</v>
      </c>
      <c r="AX602" s="22">
        <v>1</v>
      </c>
      <c r="AY602" s="22">
        <v>0</v>
      </c>
    </row>
    <row r="603" spans="1:51">
      <c r="A603" s="21" t="s">
        <v>1902</v>
      </c>
      <c r="B603" s="22" t="s">
        <v>663</v>
      </c>
      <c r="C603" s="23" t="s">
        <v>822</v>
      </c>
      <c r="D603" s="23" t="s">
        <v>965</v>
      </c>
      <c r="E603" s="22" t="s">
        <v>62</v>
      </c>
      <c r="F603" s="23" t="s">
        <v>1434</v>
      </c>
      <c r="G603" s="23" t="s">
        <v>1662</v>
      </c>
      <c r="H603" s="23" t="s">
        <v>1890</v>
      </c>
      <c r="I603" s="22" t="s">
        <v>1891</v>
      </c>
      <c r="J603" s="22" t="s">
        <v>425</v>
      </c>
      <c r="N603" s="22" t="s">
        <v>694</v>
      </c>
      <c r="O603" s="22" t="s">
        <v>1430</v>
      </c>
      <c r="P603" s="21">
        <v>71811</v>
      </c>
      <c r="Q603" s="21">
        <v>35</v>
      </c>
      <c r="R603" s="21">
        <v>10</v>
      </c>
      <c r="S603" s="21">
        <v>5</v>
      </c>
      <c r="T603" s="22" t="s">
        <v>330</v>
      </c>
      <c r="U603" s="21">
        <v>0.8</v>
      </c>
      <c r="V603" s="21">
        <v>0.8</v>
      </c>
      <c r="W603" s="25">
        <f t="shared" si="90"/>
        <v>1437.5</v>
      </c>
      <c r="X603" s="25">
        <f t="shared" si="91"/>
        <v>1400</v>
      </c>
      <c r="Y603" s="21">
        <v>1</v>
      </c>
      <c r="Z603" s="24">
        <f t="shared" si="87"/>
        <v>1437.5</v>
      </c>
      <c r="AA603" s="24">
        <f t="shared" si="88"/>
        <v>1400</v>
      </c>
      <c r="AB603" s="21"/>
      <c r="AC603" s="21"/>
      <c r="AD603" s="21"/>
      <c r="AE603" s="21"/>
      <c r="AF603" s="21" t="s">
        <v>247</v>
      </c>
      <c r="AG603" s="21"/>
      <c r="AH603" s="24"/>
      <c r="AI603" s="24"/>
      <c r="AJ603" s="21">
        <v>1750</v>
      </c>
      <c r="AK603" s="21">
        <v>35</v>
      </c>
      <c r="AL603" s="22" t="s">
        <v>161</v>
      </c>
      <c r="AM603" s="22">
        <v>0.11</v>
      </c>
      <c r="AO603" s="22" t="s">
        <v>1447</v>
      </c>
      <c r="AP603" s="22" t="s">
        <v>1432</v>
      </c>
      <c r="AQ603" s="22" t="str">
        <f t="shared" si="89"/>
        <v>Microphytoplankton</v>
      </c>
      <c r="AR603" s="22">
        <v>1</v>
      </c>
      <c r="AS603" s="22">
        <v>0</v>
      </c>
      <c r="AT603" s="22">
        <v>1</v>
      </c>
      <c r="AU603" s="22">
        <v>0</v>
      </c>
      <c r="AV603" s="22">
        <v>0</v>
      </c>
      <c r="AW603" s="22">
        <v>0</v>
      </c>
      <c r="AX603" s="22">
        <v>1</v>
      </c>
      <c r="AY603" s="22">
        <v>0</v>
      </c>
    </row>
    <row r="604" spans="1:51">
      <c r="A604" s="21" t="s">
        <v>1903</v>
      </c>
      <c r="B604" s="22" t="s">
        <v>663</v>
      </c>
      <c r="C604" s="23" t="s">
        <v>822</v>
      </c>
      <c r="D604" s="23" t="s">
        <v>965</v>
      </c>
      <c r="E604" s="22" t="s">
        <v>62</v>
      </c>
      <c r="F604" s="23" t="s">
        <v>1434</v>
      </c>
      <c r="G604" s="23" t="s">
        <v>1662</v>
      </c>
      <c r="H604" s="23" t="s">
        <v>1890</v>
      </c>
      <c r="I604" s="22" t="s">
        <v>1891</v>
      </c>
      <c r="J604" s="22" t="s">
        <v>1904</v>
      </c>
      <c r="K604" s="22" t="s">
        <v>175</v>
      </c>
      <c r="L604" s="22" t="s">
        <v>1905</v>
      </c>
      <c r="N604" s="22" t="s">
        <v>1906</v>
      </c>
      <c r="O604" s="22" t="s">
        <v>1430</v>
      </c>
      <c r="P604" s="21">
        <v>71840</v>
      </c>
      <c r="Q604" s="21">
        <v>13</v>
      </c>
      <c r="R604" s="21">
        <v>2.5</v>
      </c>
      <c r="S604" s="21">
        <v>2</v>
      </c>
      <c r="T604" s="22" t="s">
        <v>330</v>
      </c>
      <c r="U604" s="21">
        <v>0.8</v>
      </c>
      <c r="V604" s="21">
        <v>0.8</v>
      </c>
      <c r="W604" s="25">
        <f t="shared" si="90"/>
        <v>158.75</v>
      </c>
      <c r="X604" s="25">
        <f t="shared" si="91"/>
        <v>52</v>
      </c>
      <c r="Y604" s="21">
        <v>1</v>
      </c>
      <c r="Z604" s="24">
        <f t="shared" si="87"/>
        <v>158.75</v>
      </c>
      <c r="AA604" s="24">
        <f t="shared" si="88"/>
        <v>52</v>
      </c>
      <c r="AB604" s="21"/>
      <c r="AC604" s="21"/>
      <c r="AD604" s="21"/>
      <c r="AE604" s="21"/>
      <c r="AF604" s="21" t="s">
        <v>247</v>
      </c>
      <c r="AG604" s="21"/>
      <c r="AH604" s="24"/>
      <c r="AI604" s="24"/>
      <c r="AJ604" s="21">
        <v>52</v>
      </c>
      <c r="AK604" s="21">
        <v>13</v>
      </c>
      <c r="AL604" s="22" t="s">
        <v>161</v>
      </c>
      <c r="AM604" s="22">
        <v>0.11</v>
      </c>
      <c r="AO604" s="22" t="s">
        <v>1447</v>
      </c>
      <c r="AP604" s="22" t="s">
        <v>1432</v>
      </c>
      <c r="AQ604" s="22" t="str">
        <f t="shared" si="89"/>
        <v>Nanophytoplankton</v>
      </c>
      <c r="AR604" s="22">
        <v>1</v>
      </c>
      <c r="AS604" s="22">
        <v>0</v>
      </c>
      <c r="AT604" s="22">
        <v>1</v>
      </c>
      <c r="AU604" s="22">
        <v>0</v>
      </c>
      <c r="AV604" s="22">
        <v>0</v>
      </c>
      <c r="AW604" s="22">
        <v>0</v>
      </c>
      <c r="AX604" s="22">
        <v>1</v>
      </c>
      <c r="AY604" s="22">
        <v>0</v>
      </c>
    </row>
    <row r="605" spans="1:51">
      <c r="A605" s="21" t="s">
        <v>1907</v>
      </c>
      <c r="B605" s="22" t="s">
        <v>663</v>
      </c>
      <c r="C605" s="23" t="s">
        <v>822</v>
      </c>
      <c r="D605" s="23" t="s">
        <v>965</v>
      </c>
      <c r="E605" s="22" t="s">
        <v>62</v>
      </c>
      <c r="F605" s="23" t="s">
        <v>1434</v>
      </c>
      <c r="G605" s="23" t="s">
        <v>1662</v>
      </c>
      <c r="H605" s="23" t="s">
        <v>1890</v>
      </c>
      <c r="I605" s="22" t="s">
        <v>1891</v>
      </c>
      <c r="J605" s="22" t="s">
        <v>1908</v>
      </c>
      <c r="N605" s="22" t="s">
        <v>475</v>
      </c>
      <c r="O605" s="22" t="s">
        <v>1430</v>
      </c>
      <c r="P605" s="21">
        <v>71830</v>
      </c>
      <c r="Q605" s="21">
        <v>40</v>
      </c>
      <c r="R605" s="21">
        <v>8</v>
      </c>
      <c r="S605" s="21">
        <v>5</v>
      </c>
      <c r="T605" s="22" t="s">
        <v>330</v>
      </c>
      <c r="U605" s="21">
        <v>0.75</v>
      </c>
      <c r="V605" s="21">
        <v>0.75</v>
      </c>
      <c r="W605" s="25">
        <f t="shared" si="90"/>
        <v>1493.3333333333333</v>
      </c>
      <c r="X605" s="25">
        <f t="shared" si="91"/>
        <v>1200</v>
      </c>
      <c r="Y605" s="21">
        <v>1</v>
      </c>
      <c r="Z605" s="24">
        <f t="shared" si="87"/>
        <v>1493.3333333333333</v>
      </c>
      <c r="AA605" s="24">
        <f t="shared" si="88"/>
        <v>1200</v>
      </c>
      <c r="AB605" s="21"/>
      <c r="AC605" s="21"/>
      <c r="AD605" s="21"/>
      <c r="AE605" s="21"/>
      <c r="AF605" s="21" t="s">
        <v>247</v>
      </c>
      <c r="AG605" s="21"/>
      <c r="AH605" s="24"/>
      <c r="AI605" s="24"/>
      <c r="AJ605" s="21">
        <v>1200</v>
      </c>
      <c r="AK605" s="21">
        <v>40</v>
      </c>
      <c r="AL605" s="22" t="s">
        <v>161</v>
      </c>
      <c r="AM605" s="22">
        <v>0.11</v>
      </c>
      <c r="AO605" s="22" t="s">
        <v>1447</v>
      </c>
      <c r="AP605" s="22" t="s">
        <v>1432</v>
      </c>
      <c r="AQ605" s="22" t="str">
        <f t="shared" si="89"/>
        <v>Microphytoplankton</v>
      </c>
      <c r="AR605" s="22">
        <v>1</v>
      </c>
      <c r="AS605" s="22">
        <v>0</v>
      </c>
      <c r="AT605" s="22">
        <v>1</v>
      </c>
      <c r="AU605" s="22">
        <v>0</v>
      </c>
      <c r="AV605" s="22">
        <v>0</v>
      </c>
      <c r="AW605" s="22">
        <v>0</v>
      </c>
      <c r="AX605" s="22">
        <v>1</v>
      </c>
      <c r="AY605" s="22">
        <v>0</v>
      </c>
    </row>
    <row r="606" spans="1:51">
      <c r="A606" s="21" t="s">
        <v>1909</v>
      </c>
      <c r="B606" s="22" t="s">
        <v>663</v>
      </c>
      <c r="C606" s="23" t="s">
        <v>822</v>
      </c>
      <c r="D606" s="23" t="s">
        <v>965</v>
      </c>
      <c r="E606" s="22" t="s">
        <v>62</v>
      </c>
      <c r="F606" s="23" t="s">
        <v>1434</v>
      </c>
      <c r="G606" s="23" t="s">
        <v>1662</v>
      </c>
      <c r="H606" s="23" t="s">
        <v>1890</v>
      </c>
      <c r="I606" s="22" t="s">
        <v>1891</v>
      </c>
      <c r="J606" s="22" t="s">
        <v>428</v>
      </c>
      <c r="N606" s="22" t="s">
        <v>1690</v>
      </c>
      <c r="O606" s="22" t="s">
        <v>1430</v>
      </c>
      <c r="P606" s="21">
        <v>71870</v>
      </c>
      <c r="Q606" s="21">
        <v>25</v>
      </c>
      <c r="R606" s="21">
        <v>9</v>
      </c>
      <c r="S606" s="21">
        <v>2.5</v>
      </c>
      <c r="T606" s="22" t="s">
        <v>330</v>
      </c>
      <c r="U606" s="21">
        <v>0.8</v>
      </c>
      <c r="V606" s="21">
        <v>0.8</v>
      </c>
      <c r="W606" s="25">
        <f t="shared" si="90"/>
        <v>775</v>
      </c>
      <c r="X606" s="25">
        <f t="shared" si="91"/>
        <v>450</v>
      </c>
      <c r="Y606" s="21">
        <v>1</v>
      </c>
      <c r="Z606" s="24">
        <f t="shared" si="87"/>
        <v>775</v>
      </c>
      <c r="AA606" s="24">
        <f t="shared" si="88"/>
        <v>450</v>
      </c>
      <c r="AB606" s="21"/>
      <c r="AC606" s="21"/>
      <c r="AD606" s="21"/>
      <c r="AE606" s="21"/>
      <c r="AF606" s="21" t="s">
        <v>247</v>
      </c>
      <c r="AG606" s="21"/>
      <c r="AH606" s="24"/>
      <c r="AI606" s="24"/>
      <c r="AJ606" s="21">
        <v>450</v>
      </c>
      <c r="AK606" s="21">
        <v>25</v>
      </c>
      <c r="AL606" s="22" t="s">
        <v>161</v>
      </c>
      <c r="AM606" s="22">
        <v>0.11</v>
      </c>
      <c r="AO606" s="22" t="s">
        <v>1447</v>
      </c>
      <c r="AP606" s="22" t="s">
        <v>1432</v>
      </c>
      <c r="AQ606" s="22" t="str">
        <f t="shared" si="89"/>
        <v>Microphytoplankton</v>
      </c>
      <c r="AR606" s="22">
        <v>1</v>
      </c>
      <c r="AS606" s="22">
        <v>0</v>
      </c>
      <c r="AT606" s="22">
        <v>1</v>
      </c>
      <c r="AU606" s="22">
        <v>0</v>
      </c>
      <c r="AV606" s="22">
        <v>0</v>
      </c>
      <c r="AW606" s="22">
        <v>0</v>
      </c>
      <c r="AX606" s="22">
        <v>1</v>
      </c>
      <c r="AY606" s="22">
        <v>0</v>
      </c>
    </row>
    <row r="607" spans="1:51">
      <c r="A607" s="21" t="s">
        <v>1910</v>
      </c>
      <c r="B607" s="22" t="s">
        <v>663</v>
      </c>
      <c r="C607" s="23" t="s">
        <v>822</v>
      </c>
      <c r="D607" s="23" t="s">
        <v>965</v>
      </c>
      <c r="E607" s="22" t="s">
        <v>62</v>
      </c>
      <c r="F607" s="23" t="s">
        <v>1434</v>
      </c>
      <c r="G607" s="23" t="s">
        <v>1662</v>
      </c>
      <c r="H607" s="23" t="s">
        <v>1890</v>
      </c>
      <c r="I607" s="22" t="s">
        <v>1891</v>
      </c>
      <c r="J607" s="22" t="s">
        <v>1911</v>
      </c>
      <c r="N607" s="22" t="s">
        <v>1912</v>
      </c>
      <c r="O607" s="22" t="s">
        <v>1430</v>
      </c>
      <c r="P607" s="21">
        <v>71820</v>
      </c>
      <c r="Q607" s="21">
        <v>30</v>
      </c>
      <c r="R607" s="21">
        <v>7</v>
      </c>
      <c r="S607" s="21">
        <v>4</v>
      </c>
      <c r="T607" s="22" t="s">
        <v>330</v>
      </c>
      <c r="U607" s="21">
        <v>0.75</v>
      </c>
      <c r="V607" s="21">
        <v>0.75</v>
      </c>
      <c r="W607" s="25">
        <f t="shared" si="90"/>
        <v>954.66666666666663</v>
      </c>
      <c r="X607" s="25">
        <f t="shared" si="91"/>
        <v>630</v>
      </c>
      <c r="Y607" s="21">
        <v>1</v>
      </c>
      <c r="Z607" s="24">
        <f t="shared" si="87"/>
        <v>954.66666666666663</v>
      </c>
      <c r="AA607" s="24">
        <f t="shared" si="88"/>
        <v>630</v>
      </c>
      <c r="AB607" s="21"/>
      <c r="AC607" s="21"/>
      <c r="AD607" s="21"/>
      <c r="AE607" s="21"/>
      <c r="AF607" s="21" t="s">
        <v>247</v>
      </c>
      <c r="AG607" s="21"/>
      <c r="AH607" s="24"/>
      <c r="AI607" s="24"/>
      <c r="AJ607" s="21">
        <v>630</v>
      </c>
      <c r="AK607" s="21">
        <v>30</v>
      </c>
      <c r="AL607" s="22" t="s">
        <v>161</v>
      </c>
      <c r="AM607" s="22">
        <v>0.11</v>
      </c>
      <c r="AO607" s="22" t="s">
        <v>1447</v>
      </c>
      <c r="AP607" s="22" t="s">
        <v>1432</v>
      </c>
      <c r="AQ607" s="22" t="str">
        <f t="shared" si="89"/>
        <v>Microphytoplankton</v>
      </c>
      <c r="AR607" s="22">
        <v>1</v>
      </c>
      <c r="AS607" s="22">
        <v>0</v>
      </c>
      <c r="AT607" s="22">
        <v>1</v>
      </c>
      <c r="AU607" s="22">
        <v>0</v>
      </c>
      <c r="AV607" s="22">
        <v>0</v>
      </c>
      <c r="AW607" s="22">
        <v>0</v>
      </c>
      <c r="AX607" s="22">
        <v>1</v>
      </c>
      <c r="AY607" s="22">
        <v>0</v>
      </c>
    </row>
    <row r="608" spans="1:51">
      <c r="A608" s="21" t="s">
        <v>1913</v>
      </c>
      <c r="B608" s="22" t="s">
        <v>663</v>
      </c>
      <c r="C608" s="23" t="s">
        <v>822</v>
      </c>
      <c r="D608" s="23" t="s">
        <v>965</v>
      </c>
      <c r="E608" s="22" t="s">
        <v>62</v>
      </c>
      <c r="F608" s="23" t="s">
        <v>1434</v>
      </c>
      <c r="G608" s="23" t="s">
        <v>1662</v>
      </c>
      <c r="H608" s="23" t="s">
        <v>1890</v>
      </c>
      <c r="I608" s="22" t="s">
        <v>1891</v>
      </c>
      <c r="J608" s="22" t="s">
        <v>1914</v>
      </c>
      <c r="N608" s="22" t="s">
        <v>1493</v>
      </c>
      <c r="O608" s="22" t="s">
        <v>1430</v>
      </c>
      <c r="P608" s="21">
        <v>71825</v>
      </c>
      <c r="Q608" s="21">
        <v>20</v>
      </c>
      <c r="R608" s="21">
        <v>7.5</v>
      </c>
      <c r="S608" s="21">
        <v>4</v>
      </c>
      <c r="T608" s="22" t="s">
        <v>330</v>
      </c>
      <c r="U608" s="21">
        <v>0.8</v>
      </c>
      <c r="V608" s="21">
        <v>0.8</v>
      </c>
      <c r="W608" s="25">
        <f t="shared" si="90"/>
        <v>650</v>
      </c>
      <c r="X608" s="25">
        <f t="shared" si="91"/>
        <v>480</v>
      </c>
      <c r="Y608" s="21">
        <v>1</v>
      </c>
      <c r="Z608" s="24">
        <f t="shared" si="87"/>
        <v>650</v>
      </c>
      <c r="AA608" s="24">
        <f t="shared" si="88"/>
        <v>480</v>
      </c>
      <c r="AB608" s="21"/>
      <c r="AC608" s="21"/>
      <c r="AD608" s="21"/>
      <c r="AE608" s="21"/>
      <c r="AF608" s="21" t="s">
        <v>247</v>
      </c>
      <c r="AG608" s="21"/>
      <c r="AH608" s="24"/>
      <c r="AI608" s="24"/>
      <c r="AJ608" s="21">
        <v>480</v>
      </c>
      <c r="AK608" s="21">
        <v>20</v>
      </c>
      <c r="AL608" s="22" t="s">
        <v>161</v>
      </c>
      <c r="AM608" s="22">
        <v>0.11</v>
      </c>
      <c r="AO608" s="22" t="s">
        <v>1447</v>
      </c>
      <c r="AP608" s="22" t="s">
        <v>1432</v>
      </c>
      <c r="AQ608" s="22" t="str">
        <f t="shared" si="89"/>
        <v>Microphytoplankton</v>
      </c>
      <c r="AR608" s="22">
        <v>1</v>
      </c>
      <c r="AS608" s="22">
        <v>0</v>
      </c>
      <c r="AT608" s="22">
        <v>1</v>
      </c>
      <c r="AU608" s="22">
        <v>0</v>
      </c>
      <c r="AV608" s="22">
        <v>0</v>
      </c>
      <c r="AW608" s="22">
        <v>0</v>
      </c>
      <c r="AX608" s="22">
        <v>1</v>
      </c>
      <c r="AY608" s="22">
        <v>0</v>
      </c>
    </row>
    <row r="609" spans="1:57">
      <c r="A609" s="21" t="s">
        <v>1915</v>
      </c>
      <c r="B609" s="22" t="s">
        <v>663</v>
      </c>
      <c r="C609" s="23" t="s">
        <v>822</v>
      </c>
      <c r="D609" s="23" t="s">
        <v>965</v>
      </c>
      <c r="E609" s="22" t="s">
        <v>62</v>
      </c>
      <c r="F609" s="23" t="s">
        <v>1434</v>
      </c>
      <c r="G609" s="23" t="s">
        <v>1662</v>
      </c>
      <c r="H609" s="23" t="s">
        <v>1890</v>
      </c>
      <c r="I609" s="22" t="s">
        <v>1891</v>
      </c>
      <c r="J609" s="22" t="s">
        <v>1914</v>
      </c>
      <c r="K609" s="22" t="s">
        <v>175</v>
      </c>
      <c r="L609" s="22" t="s">
        <v>1916</v>
      </c>
      <c r="N609" s="22" t="s">
        <v>1493</v>
      </c>
      <c r="O609" s="22" t="s">
        <v>1430</v>
      </c>
      <c r="P609" s="21">
        <v>71827</v>
      </c>
      <c r="Q609" s="21">
        <v>30</v>
      </c>
      <c r="R609" s="21">
        <v>6</v>
      </c>
      <c r="S609" s="21">
        <v>3</v>
      </c>
      <c r="T609" s="21" t="s">
        <v>330</v>
      </c>
      <c r="U609" s="21">
        <v>0.8</v>
      </c>
      <c r="V609" s="21">
        <v>0.8</v>
      </c>
      <c r="W609" s="25">
        <f t="shared" si="90"/>
        <v>720</v>
      </c>
      <c r="X609" s="25">
        <f t="shared" si="91"/>
        <v>432</v>
      </c>
      <c r="Y609" s="21">
        <v>1</v>
      </c>
      <c r="Z609" s="24">
        <f t="shared" si="87"/>
        <v>720</v>
      </c>
      <c r="AA609" s="24">
        <f t="shared" si="88"/>
        <v>432</v>
      </c>
      <c r="AB609" s="21"/>
      <c r="AC609" s="21"/>
      <c r="AD609" s="21"/>
      <c r="AE609" s="21"/>
      <c r="AF609" s="21" t="s">
        <v>247</v>
      </c>
      <c r="AG609" s="21"/>
      <c r="AH609" s="24"/>
      <c r="AI609" s="24"/>
      <c r="AJ609" s="21">
        <v>431</v>
      </c>
      <c r="AK609" s="21">
        <v>30</v>
      </c>
      <c r="AL609" s="22" t="s">
        <v>161</v>
      </c>
      <c r="AM609" s="22">
        <v>0.11</v>
      </c>
      <c r="AO609" s="22" t="s">
        <v>1447</v>
      </c>
      <c r="AP609" s="22" t="s">
        <v>1432</v>
      </c>
      <c r="AQ609" s="22" t="str">
        <f t="shared" si="89"/>
        <v>Microphytoplankton</v>
      </c>
      <c r="AR609" s="22">
        <v>1</v>
      </c>
      <c r="AS609" s="22">
        <v>0</v>
      </c>
      <c r="AT609" s="22">
        <v>1</v>
      </c>
      <c r="AU609" s="22">
        <v>0</v>
      </c>
      <c r="AV609" s="22">
        <v>0</v>
      </c>
      <c r="AW609" s="22">
        <v>0</v>
      </c>
      <c r="AX609" s="22">
        <v>1</v>
      </c>
      <c r="AY609" s="22">
        <v>0</v>
      </c>
    </row>
    <row r="610" spans="1:57">
      <c r="A610" s="21" t="s">
        <v>1917</v>
      </c>
      <c r="B610" s="22" t="s">
        <v>663</v>
      </c>
      <c r="C610" s="23" t="s">
        <v>822</v>
      </c>
      <c r="D610" s="23" t="s">
        <v>965</v>
      </c>
      <c r="E610" s="22" t="s">
        <v>62</v>
      </c>
      <c r="F610" s="23" t="s">
        <v>1434</v>
      </c>
      <c r="G610" s="23" t="s">
        <v>1662</v>
      </c>
      <c r="H610" s="23" t="s">
        <v>1890</v>
      </c>
      <c r="I610" s="22" t="s">
        <v>1891</v>
      </c>
      <c r="J610" s="22" t="s">
        <v>1918</v>
      </c>
      <c r="N610" s="22" t="s">
        <v>1919</v>
      </c>
      <c r="O610" s="22" t="s">
        <v>1430</v>
      </c>
      <c r="P610" s="21">
        <v>71826</v>
      </c>
      <c r="Q610" s="21">
        <v>25</v>
      </c>
      <c r="R610" s="21">
        <v>4.5</v>
      </c>
      <c r="S610" s="21">
        <v>3</v>
      </c>
      <c r="T610" s="21" t="s">
        <v>330</v>
      </c>
      <c r="U610" s="21">
        <v>0.8</v>
      </c>
      <c r="V610" s="21">
        <v>0.8</v>
      </c>
      <c r="W610" s="25">
        <f t="shared" si="90"/>
        <v>502.5</v>
      </c>
      <c r="X610" s="25">
        <f t="shared" si="91"/>
        <v>270</v>
      </c>
      <c r="Y610" s="21">
        <v>1</v>
      </c>
      <c r="Z610" s="24">
        <f t="shared" si="87"/>
        <v>502.5</v>
      </c>
      <c r="AA610" s="24">
        <f t="shared" si="88"/>
        <v>270</v>
      </c>
      <c r="AB610" s="21"/>
      <c r="AC610" s="21"/>
      <c r="AD610" s="21"/>
      <c r="AE610" s="21"/>
      <c r="AF610" s="21" t="s">
        <v>247</v>
      </c>
      <c r="AG610" s="21"/>
      <c r="AH610" s="24"/>
      <c r="AI610" s="24"/>
      <c r="AJ610" s="21">
        <v>270</v>
      </c>
      <c r="AK610" s="21">
        <v>25</v>
      </c>
      <c r="AL610" s="22" t="s">
        <v>161</v>
      </c>
      <c r="AM610" s="22">
        <v>0.11</v>
      </c>
      <c r="AO610" s="22" t="s">
        <v>1447</v>
      </c>
      <c r="AP610" s="22" t="s">
        <v>1432</v>
      </c>
      <c r="AQ610" s="22" t="str">
        <f t="shared" si="89"/>
        <v>Microphytoplankton</v>
      </c>
      <c r="AR610" s="22">
        <v>1</v>
      </c>
      <c r="AS610" s="22">
        <v>0</v>
      </c>
      <c r="AT610" s="22">
        <v>1</v>
      </c>
      <c r="AU610" s="22">
        <v>0</v>
      </c>
      <c r="AV610" s="22">
        <v>0</v>
      </c>
      <c r="AW610" s="22">
        <v>0</v>
      </c>
      <c r="AX610" s="22">
        <v>1</v>
      </c>
      <c r="AY610" s="22">
        <v>0</v>
      </c>
    </row>
    <row r="611" spans="1:57">
      <c r="A611" s="21" t="s">
        <v>1920</v>
      </c>
      <c r="B611" s="22" t="s">
        <v>663</v>
      </c>
      <c r="C611" s="23" t="s">
        <v>822</v>
      </c>
      <c r="D611" s="23" t="s">
        <v>965</v>
      </c>
      <c r="E611" s="22" t="s">
        <v>62</v>
      </c>
      <c r="F611" s="23" t="s">
        <v>1434</v>
      </c>
      <c r="G611" s="23" t="s">
        <v>1662</v>
      </c>
      <c r="H611" s="23" t="s">
        <v>1890</v>
      </c>
      <c r="I611" s="22" t="s">
        <v>1891</v>
      </c>
      <c r="J611" s="22" t="s">
        <v>211</v>
      </c>
      <c r="M611" s="22" t="s">
        <v>1</v>
      </c>
      <c r="N611" s="22" t="s">
        <v>694</v>
      </c>
      <c r="O611" s="22" t="s">
        <v>1430</v>
      </c>
      <c r="P611" s="21">
        <v>71800</v>
      </c>
      <c r="Q611" s="21">
        <v>27</v>
      </c>
      <c r="R611" s="21">
        <v>8</v>
      </c>
      <c r="S611" s="21">
        <v>6</v>
      </c>
      <c r="T611" s="22" t="s">
        <v>330</v>
      </c>
      <c r="U611" s="21">
        <v>0.75</v>
      </c>
      <c r="V611" s="21">
        <v>0.75</v>
      </c>
      <c r="W611" s="25">
        <f t="shared" si="90"/>
        <v>1136</v>
      </c>
      <c r="X611" s="25">
        <f t="shared" si="91"/>
        <v>972</v>
      </c>
      <c r="Y611" s="21">
        <v>1</v>
      </c>
      <c r="Z611" s="24">
        <f t="shared" si="87"/>
        <v>1136</v>
      </c>
      <c r="AA611" s="24">
        <f t="shared" si="88"/>
        <v>972</v>
      </c>
      <c r="AB611" s="21"/>
      <c r="AC611" s="21"/>
      <c r="AD611" s="21"/>
      <c r="AE611" s="21"/>
      <c r="AF611" s="21" t="s">
        <v>247</v>
      </c>
      <c r="AG611" s="21"/>
      <c r="AH611" s="24"/>
      <c r="AI611" s="24"/>
      <c r="AJ611" s="21">
        <v>972</v>
      </c>
      <c r="AK611" s="21">
        <v>27</v>
      </c>
      <c r="AL611" s="22" t="s">
        <v>161</v>
      </c>
      <c r="AM611" s="22">
        <v>0.11</v>
      </c>
      <c r="AO611" s="22" t="s">
        <v>1447</v>
      </c>
      <c r="AP611" s="22" t="s">
        <v>1432</v>
      </c>
      <c r="AQ611" s="22" t="str">
        <f t="shared" si="89"/>
        <v>Microphytoplankton</v>
      </c>
      <c r="AR611" s="22">
        <v>1</v>
      </c>
      <c r="AS611" s="22">
        <v>0</v>
      </c>
      <c r="AT611" s="22">
        <v>1</v>
      </c>
      <c r="AU611" s="22">
        <v>0</v>
      </c>
      <c r="AV611" s="22">
        <v>0</v>
      </c>
      <c r="AW611" s="22">
        <v>0</v>
      </c>
      <c r="AX611" s="22">
        <v>1</v>
      </c>
      <c r="AY611" s="22">
        <v>0</v>
      </c>
    </row>
    <row r="612" spans="1:57">
      <c r="A612" s="21" t="s">
        <v>1921</v>
      </c>
      <c r="B612" s="22" t="s">
        <v>663</v>
      </c>
      <c r="C612" s="23" t="s">
        <v>822</v>
      </c>
      <c r="D612" s="23" t="s">
        <v>965</v>
      </c>
      <c r="E612" s="22" t="s">
        <v>62</v>
      </c>
      <c r="F612" s="23" t="s">
        <v>1434</v>
      </c>
      <c r="G612" s="23" t="s">
        <v>1662</v>
      </c>
      <c r="H612" s="23" t="s">
        <v>1890</v>
      </c>
      <c r="I612" s="22" t="s">
        <v>1891</v>
      </c>
      <c r="J612" s="22" t="s">
        <v>1922</v>
      </c>
      <c r="N612" s="22" t="s">
        <v>694</v>
      </c>
      <c r="O612" s="22" t="s">
        <v>1430</v>
      </c>
      <c r="P612" s="21">
        <v>71860</v>
      </c>
      <c r="Q612" s="21">
        <v>28.5</v>
      </c>
      <c r="R612" s="21">
        <v>12.3</v>
      </c>
      <c r="S612" s="21">
        <v>4.5</v>
      </c>
      <c r="T612" s="22" t="s">
        <v>330</v>
      </c>
      <c r="U612" s="21">
        <v>0.8</v>
      </c>
      <c r="V612" s="21">
        <v>0.8</v>
      </c>
      <c r="W612" s="25">
        <f t="shared" si="90"/>
        <v>1335.3749999999998</v>
      </c>
      <c r="X612" s="25">
        <f t="shared" si="91"/>
        <v>1261.9800000000002</v>
      </c>
      <c r="Y612" s="21">
        <v>1</v>
      </c>
      <c r="Z612" s="24">
        <f t="shared" si="87"/>
        <v>1335.3749999999998</v>
      </c>
      <c r="AA612" s="24">
        <f t="shared" si="88"/>
        <v>1261.9800000000002</v>
      </c>
      <c r="AB612" s="21"/>
      <c r="AC612" s="21"/>
      <c r="AD612" s="21"/>
      <c r="AE612" s="21"/>
      <c r="AF612" s="21" t="s">
        <v>247</v>
      </c>
      <c r="AG612" s="21"/>
      <c r="AH612" s="24"/>
      <c r="AI612" s="24"/>
      <c r="AJ612" s="21">
        <v>1262</v>
      </c>
      <c r="AK612" s="21">
        <v>28.5</v>
      </c>
      <c r="AL612" s="22" t="s">
        <v>161</v>
      </c>
      <c r="AM612" s="22">
        <v>0.11</v>
      </c>
      <c r="AO612" s="22" t="s">
        <v>1447</v>
      </c>
      <c r="AP612" s="22" t="s">
        <v>1432</v>
      </c>
      <c r="AQ612" s="22" t="str">
        <f t="shared" si="89"/>
        <v>Microphytoplankton</v>
      </c>
      <c r="AR612" s="22">
        <v>1</v>
      </c>
      <c r="AS612" s="22">
        <v>0</v>
      </c>
      <c r="AT612" s="22">
        <v>1</v>
      </c>
      <c r="AU612" s="22">
        <v>0</v>
      </c>
      <c r="AV612" s="22">
        <v>0</v>
      </c>
      <c r="AW612" s="22">
        <v>0</v>
      </c>
      <c r="AX612" s="22">
        <v>1</v>
      </c>
      <c r="AY612" s="22">
        <v>0</v>
      </c>
    </row>
    <row r="613" spans="1:57">
      <c r="A613" s="21" t="s">
        <v>1923</v>
      </c>
      <c r="B613" s="22" t="s">
        <v>663</v>
      </c>
      <c r="C613" s="23" t="s">
        <v>822</v>
      </c>
      <c r="D613" s="23" t="s">
        <v>965</v>
      </c>
      <c r="E613" s="22" t="s">
        <v>62</v>
      </c>
      <c r="F613" s="23" t="s">
        <v>1434</v>
      </c>
      <c r="G613" s="23" t="s">
        <v>1473</v>
      </c>
      <c r="H613" s="23" t="s">
        <v>1924</v>
      </c>
      <c r="I613" s="22" t="s">
        <v>1925</v>
      </c>
      <c r="J613" s="22" t="s">
        <v>905</v>
      </c>
      <c r="N613" s="22" t="s">
        <v>1894</v>
      </c>
      <c r="O613" s="22" t="s">
        <v>1430</v>
      </c>
      <c r="P613" s="21">
        <v>71320</v>
      </c>
      <c r="Q613" s="21">
        <v>210</v>
      </c>
      <c r="R613" s="21">
        <v>30</v>
      </c>
      <c r="S613" s="21">
        <v>20</v>
      </c>
      <c r="T613" s="22" t="s">
        <v>330</v>
      </c>
      <c r="U613" s="21">
        <v>0.7</v>
      </c>
      <c r="V613" s="21">
        <v>0.7</v>
      </c>
      <c r="W613" s="25">
        <f t="shared" si="90"/>
        <v>31714.285714285717</v>
      </c>
      <c r="X613" s="25">
        <f t="shared" si="91"/>
        <v>88200</v>
      </c>
      <c r="Y613" s="21">
        <v>1</v>
      </c>
      <c r="Z613" s="24">
        <f t="shared" si="87"/>
        <v>31714.285714285717</v>
      </c>
      <c r="AA613" s="24">
        <f t="shared" si="88"/>
        <v>88200</v>
      </c>
      <c r="AB613" s="21"/>
      <c r="AC613" s="21"/>
      <c r="AD613" s="21"/>
      <c r="AE613" s="21"/>
      <c r="AF613" s="21" t="s">
        <v>247</v>
      </c>
      <c r="AG613" s="21"/>
      <c r="AH613" s="24"/>
      <c r="AI613" s="24"/>
      <c r="AJ613" s="21">
        <v>88200</v>
      </c>
      <c r="AK613" s="21">
        <v>210</v>
      </c>
      <c r="AL613" s="22" t="s">
        <v>161</v>
      </c>
      <c r="AM613" s="22">
        <v>0.11</v>
      </c>
      <c r="AO613" s="22" t="s">
        <v>1447</v>
      </c>
      <c r="AP613" s="22" t="s">
        <v>1432</v>
      </c>
      <c r="AQ613" s="22" t="str">
        <f t="shared" si="89"/>
        <v>Microphytoplankton</v>
      </c>
      <c r="AR613" s="22">
        <v>1</v>
      </c>
      <c r="AS613" s="22">
        <v>0</v>
      </c>
      <c r="AT613" s="22">
        <v>1</v>
      </c>
      <c r="AU613" s="22">
        <v>0</v>
      </c>
      <c r="AV613" s="22">
        <v>0</v>
      </c>
      <c r="AW613" s="22">
        <v>0</v>
      </c>
      <c r="AX613" s="22">
        <v>1</v>
      </c>
      <c r="AY613" s="22">
        <v>0</v>
      </c>
    </row>
    <row r="614" spans="1:57">
      <c r="A614" s="21" t="s">
        <v>1926</v>
      </c>
      <c r="B614" s="22" t="s">
        <v>663</v>
      </c>
      <c r="C614" s="23" t="s">
        <v>822</v>
      </c>
      <c r="D614" s="23" t="s">
        <v>965</v>
      </c>
      <c r="E614" s="22" t="s">
        <v>62</v>
      </c>
      <c r="F614" s="23" t="s">
        <v>1434</v>
      </c>
      <c r="G614" s="23" t="s">
        <v>1473</v>
      </c>
      <c r="H614" s="23" t="s">
        <v>1924</v>
      </c>
      <c r="I614" s="22" t="s">
        <v>1925</v>
      </c>
      <c r="J614" s="22" t="s">
        <v>1927</v>
      </c>
      <c r="N614" s="22" t="s">
        <v>1894</v>
      </c>
      <c r="O614" s="22" t="s">
        <v>1430</v>
      </c>
      <c r="P614" s="21">
        <v>71310</v>
      </c>
      <c r="Q614" s="21">
        <v>196</v>
      </c>
      <c r="R614" s="21">
        <v>28</v>
      </c>
      <c r="S614" s="21">
        <v>20</v>
      </c>
      <c r="T614" s="22" t="s">
        <v>330</v>
      </c>
      <c r="U614" s="21">
        <v>0.7</v>
      </c>
      <c r="V614" s="21">
        <v>0.7</v>
      </c>
      <c r="W614" s="25">
        <f t="shared" si="90"/>
        <v>28480</v>
      </c>
      <c r="X614" s="25">
        <f t="shared" si="91"/>
        <v>76832</v>
      </c>
      <c r="Y614" s="21">
        <v>1</v>
      </c>
      <c r="Z614" s="24">
        <f t="shared" si="87"/>
        <v>28480</v>
      </c>
      <c r="AA614" s="24">
        <f t="shared" si="88"/>
        <v>76832</v>
      </c>
      <c r="AB614" s="21"/>
      <c r="AC614" s="21"/>
      <c r="AD614" s="21"/>
      <c r="AE614" s="21"/>
      <c r="AF614" s="21" t="s">
        <v>247</v>
      </c>
      <c r="AG614" s="21"/>
      <c r="AH614" s="24"/>
      <c r="AI614" s="24"/>
      <c r="AJ614" s="21">
        <v>76832</v>
      </c>
      <c r="AK614" s="21">
        <v>196</v>
      </c>
      <c r="AL614" s="22" t="s">
        <v>161</v>
      </c>
      <c r="AM614" s="22">
        <v>0.11</v>
      </c>
      <c r="AO614" s="22" t="s">
        <v>1447</v>
      </c>
      <c r="AP614" s="22" t="s">
        <v>1432</v>
      </c>
      <c r="AQ614" s="22" t="str">
        <f t="shared" si="89"/>
        <v>Microphytoplankton</v>
      </c>
      <c r="AR614" s="22">
        <v>1</v>
      </c>
      <c r="AS614" s="22">
        <v>0</v>
      </c>
      <c r="AT614" s="22">
        <v>1</v>
      </c>
      <c r="AU614" s="22">
        <v>0</v>
      </c>
      <c r="AV614" s="22">
        <v>0</v>
      </c>
      <c r="AW614" s="22">
        <v>0</v>
      </c>
      <c r="AX614" s="22">
        <v>1</v>
      </c>
      <c r="AY614" s="22">
        <v>0</v>
      </c>
    </row>
    <row r="615" spans="1:57">
      <c r="A615" s="21" t="s">
        <v>1928</v>
      </c>
      <c r="B615" s="22" t="s">
        <v>663</v>
      </c>
      <c r="C615" s="23" t="s">
        <v>822</v>
      </c>
      <c r="D615" s="23" t="s">
        <v>965</v>
      </c>
      <c r="E615" s="22" t="s">
        <v>62</v>
      </c>
      <c r="F615" s="23" t="s">
        <v>1434</v>
      </c>
      <c r="G615" s="23" t="s">
        <v>1473</v>
      </c>
      <c r="H615" s="23" t="s">
        <v>1924</v>
      </c>
      <c r="I615" s="22" t="s">
        <v>1925</v>
      </c>
      <c r="J615" s="22" t="s">
        <v>1929</v>
      </c>
      <c r="N615" s="22" t="s">
        <v>1930</v>
      </c>
      <c r="O615" s="22" t="s">
        <v>1430</v>
      </c>
      <c r="P615" s="21">
        <v>71321</v>
      </c>
      <c r="Q615" s="21">
        <v>100</v>
      </c>
      <c r="R615" s="21">
        <v>12</v>
      </c>
      <c r="S615" s="21">
        <v>3</v>
      </c>
      <c r="T615" s="22" t="s">
        <v>330</v>
      </c>
      <c r="U615" s="21">
        <v>0.7</v>
      </c>
      <c r="V615" s="21">
        <v>0.7</v>
      </c>
      <c r="W615" s="25">
        <f t="shared" si="90"/>
        <v>4388.5714285714284</v>
      </c>
      <c r="X615" s="25">
        <f t="shared" si="91"/>
        <v>2520</v>
      </c>
      <c r="Y615" s="21">
        <v>1</v>
      </c>
      <c r="Z615" s="24">
        <f t="shared" si="87"/>
        <v>4388.5714285714284</v>
      </c>
      <c r="AA615" s="24">
        <f t="shared" si="88"/>
        <v>2520</v>
      </c>
      <c r="AB615" s="21"/>
      <c r="AC615" s="21"/>
      <c r="AD615" s="21"/>
      <c r="AE615" s="21"/>
      <c r="AF615" s="21" t="s">
        <v>247</v>
      </c>
      <c r="AG615" s="21"/>
      <c r="AH615" s="24"/>
      <c r="AI615" s="24"/>
      <c r="AJ615" s="21">
        <v>2520</v>
      </c>
      <c r="AK615" s="21">
        <v>100</v>
      </c>
      <c r="AL615" s="22" t="s">
        <v>161</v>
      </c>
      <c r="AM615" s="22">
        <v>0.11</v>
      </c>
      <c r="AO615" s="22" t="s">
        <v>1447</v>
      </c>
      <c r="AP615" s="22" t="s">
        <v>1432</v>
      </c>
      <c r="AQ615" s="22" t="str">
        <f t="shared" si="89"/>
        <v>Microphytoplankton</v>
      </c>
      <c r="AR615" s="22">
        <v>1</v>
      </c>
      <c r="AS615" s="22">
        <v>0</v>
      </c>
      <c r="AT615" s="22">
        <v>1</v>
      </c>
      <c r="AU615" s="22">
        <v>0</v>
      </c>
      <c r="AV615" s="22">
        <v>0</v>
      </c>
      <c r="AW615" s="22">
        <v>0</v>
      </c>
      <c r="AX615" s="22">
        <v>1</v>
      </c>
      <c r="AY615" s="22">
        <v>0</v>
      </c>
    </row>
    <row r="616" spans="1:57">
      <c r="A616" s="21" t="s">
        <v>1931</v>
      </c>
      <c r="B616" s="22" t="s">
        <v>663</v>
      </c>
      <c r="C616" s="23" t="s">
        <v>822</v>
      </c>
      <c r="D616" s="23" t="s">
        <v>965</v>
      </c>
      <c r="E616" s="22" t="s">
        <v>62</v>
      </c>
      <c r="F616" s="23" t="s">
        <v>1434</v>
      </c>
      <c r="G616" s="23" t="s">
        <v>1473</v>
      </c>
      <c r="H616" s="23" t="s">
        <v>1924</v>
      </c>
      <c r="I616" s="22" t="s">
        <v>1925</v>
      </c>
      <c r="J616" s="22" t="s">
        <v>1932</v>
      </c>
      <c r="N616" s="22" t="s">
        <v>1933</v>
      </c>
      <c r="O616" s="22" t="s">
        <v>1430</v>
      </c>
      <c r="P616" s="22">
        <v>71330</v>
      </c>
      <c r="Q616" s="22">
        <v>79</v>
      </c>
      <c r="R616" s="22">
        <v>6.5</v>
      </c>
      <c r="S616" s="22">
        <v>4</v>
      </c>
      <c r="T616" s="22" t="s">
        <v>330</v>
      </c>
      <c r="U616" s="22">
        <v>0.7</v>
      </c>
      <c r="V616" s="21">
        <v>0.7</v>
      </c>
      <c r="W616" s="25">
        <f t="shared" si="90"/>
        <v>2444.2857142857142</v>
      </c>
      <c r="X616" s="25">
        <f t="shared" si="91"/>
        <v>1437.8</v>
      </c>
      <c r="Y616" s="21">
        <v>1</v>
      </c>
      <c r="Z616" s="24">
        <f t="shared" si="87"/>
        <v>2444.2857142857142</v>
      </c>
      <c r="AA616" s="24">
        <f t="shared" si="88"/>
        <v>1437.8</v>
      </c>
      <c r="AE616" s="21"/>
      <c r="AF616" s="21" t="s">
        <v>247</v>
      </c>
      <c r="AJ616" s="21">
        <v>1437.8</v>
      </c>
      <c r="AK616" s="21">
        <v>79</v>
      </c>
      <c r="AL616" s="22" t="s">
        <v>161</v>
      </c>
      <c r="AM616" s="22">
        <v>0.11</v>
      </c>
      <c r="AO616" s="22" t="s">
        <v>1447</v>
      </c>
      <c r="AP616" s="22" t="s">
        <v>1432</v>
      </c>
      <c r="AQ616" s="22" t="str">
        <f t="shared" si="89"/>
        <v>Microphytoplankton</v>
      </c>
      <c r="AR616" s="22">
        <v>1</v>
      </c>
      <c r="AS616" s="22">
        <v>0</v>
      </c>
      <c r="AT616" s="22">
        <v>1</v>
      </c>
      <c r="AU616" s="22">
        <v>0</v>
      </c>
      <c r="AV616" s="22">
        <v>0</v>
      </c>
      <c r="AW616" s="22">
        <v>0</v>
      </c>
      <c r="AX616" s="22">
        <v>1</v>
      </c>
      <c r="AY616" s="22">
        <v>0</v>
      </c>
    </row>
    <row r="617" spans="1:57">
      <c r="A617" s="21" t="s">
        <v>1934</v>
      </c>
      <c r="B617" s="22" t="s">
        <v>663</v>
      </c>
      <c r="C617" s="23" t="s">
        <v>822</v>
      </c>
      <c r="D617" s="23" t="s">
        <v>965</v>
      </c>
      <c r="E617" s="22" t="s">
        <v>62</v>
      </c>
      <c r="F617" s="23" t="s">
        <v>1434</v>
      </c>
      <c r="G617" s="23" t="s">
        <v>1473</v>
      </c>
      <c r="H617" s="23" t="s">
        <v>1924</v>
      </c>
      <c r="I617" s="22" t="s">
        <v>1925</v>
      </c>
      <c r="J617" s="22" t="s">
        <v>211</v>
      </c>
      <c r="M617" s="22" t="s">
        <v>1</v>
      </c>
      <c r="N617" s="22" t="s">
        <v>1935</v>
      </c>
      <c r="O617" s="22" t="s">
        <v>1430</v>
      </c>
      <c r="P617" s="21">
        <v>71300</v>
      </c>
      <c r="Q617" s="21">
        <v>170</v>
      </c>
      <c r="R617" s="21">
        <v>25</v>
      </c>
      <c r="S617" s="21">
        <v>18</v>
      </c>
      <c r="T617" s="22" t="s">
        <v>330</v>
      </c>
      <c r="U617" s="21">
        <v>0.7</v>
      </c>
      <c r="V617" s="21">
        <v>0.7</v>
      </c>
      <c r="W617" s="25">
        <f t="shared" si="90"/>
        <v>22171.428571428572</v>
      </c>
      <c r="X617" s="25">
        <f t="shared" si="91"/>
        <v>53550</v>
      </c>
      <c r="Y617" s="21">
        <v>1</v>
      </c>
      <c r="Z617" s="24">
        <f t="shared" si="87"/>
        <v>22171.428571428572</v>
      </c>
      <c r="AA617" s="24">
        <f t="shared" si="88"/>
        <v>53550</v>
      </c>
      <c r="AB617" s="21"/>
      <c r="AC617" s="21"/>
      <c r="AD617" s="21"/>
      <c r="AE617" s="21"/>
      <c r="AF617" s="21" t="s">
        <v>247</v>
      </c>
      <c r="AG617" s="21"/>
      <c r="AH617" s="24"/>
      <c r="AI617" s="24"/>
      <c r="AJ617" s="21">
        <v>53550</v>
      </c>
      <c r="AK617" s="21">
        <v>170</v>
      </c>
      <c r="AL617" s="22" t="s">
        <v>161</v>
      </c>
      <c r="AM617" s="22">
        <v>0.11</v>
      </c>
      <c r="AO617" s="22" t="s">
        <v>1447</v>
      </c>
      <c r="AP617" s="22" t="s">
        <v>1432</v>
      </c>
      <c r="AQ617" s="22" t="str">
        <f t="shared" si="89"/>
        <v>Microphytoplankton</v>
      </c>
      <c r="AR617" s="22">
        <v>1</v>
      </c>
      <c r="AS617" s="22">
        <v>0</v>
      </c>
      <c r="AT617" s="22">
        <v>1</v>
      </c>
      <c r="AU617" s="22">
        <v>0</v>
      </c>
      <c r="AV617" s="22">
        <v>0</v>
      </c>
      <c r="AW617" s="22">
        <v>0</v>
      </c>
      <c r="AX617" s="22">
        <v>1</v>
      </c>
      <c r="AY617" s="22">
        <v>0</v>
      </c>
    </row>
    <row r="618" spans="1:57">
      <c r="A618" s="21" t="s">
        <v>1936</v>
      </c>
      <c r="B618" s="22" t="s">
        <v>663</v>
      </c>
      <c r="C618" s="23" t="s">
        <v>822</v>
      </c>
      <c r="D618" s="23" t="s">
        <v>965</v>
      </c>
      <c r="E618" s="22" t="s">
        <v>62</v>
      </c>
      <c r="F618" s="23" t="s">
        <v>1434</v>
      </c>
      <c r="G618" s="23" t="s">
        <v>1719</v>
      </c>
      <c r="H618" s="23" t="s">
        <v>1720</v>
      </c>
      <c r="I618" s="22" t="s">
        <v>1937</v>
      </c>
      <c r="J618" s="22" t="s">
        <v>1938</v>
      </c>
      <c r="N618" s="22" t="s">
        <v>1831</v>
      </c>
      <c r="O618" s="22" t="s">
        <v>1430</v>
      </c>
      <c r="P618" s="21">
        <v>72710</v>
      </c>
      <c r="Q618" s="21">
        <v>80</v>
      </c>
      <c r="R618" s="21">
        <v>7</v>
      </c>
      <c r="S618" s="21">
        <v>4</v>
      </c>
      <c r="T618" s="22" t="s">
        <v>330</v>
      </c>
      <c r="U618" s="21">
        <v>0.6</v>
      </c>
      <c r="V618" s="21">
        <v>0.6</v>
      </c>
      <c r="W618" s="25">
        <f t="shared" si="90"/>
        <v>3026.666666666667</v>
      </c>
      <c r="X618" s="25">
        <f t="shared" si="91"/>
        <v>1344</v>
      </c>
      <c r="Y618" s="21">
        <v>1</v>
      </c>
      <c r="Z618" s="24">
        <f t="shared" si="87"/>
        <v>3026.666666666667</v>
      </c>
      <c r="AA618" s="24">
        <f t="shared" si="88"/>
        <v>1344</v>
      </c>
      <c r="AB618" s="21"/>
      <c r="AC618" s="21"/>
      <c r="AD618" s="21"/>
      <c r="AE618" s="21"/>
      <c r="AF618" s="21" t="s">
        <v>247</v>
      </c>
      <c r="AG618" s="21"/>
      <c r="AH618" s="24"/>
      <c r="AI618" s="24"/>
      <c r="AJ618" s="21">
        <v>1344</v>
      </c>
      <c r="AK618" s="21">
        <v>80</v>
      </c>
      <c r="AL618" s="22" t="s">
        <v>161</v>
      </c>
      <c r="AM618" s="22">
        <v>0.11</v>
      </c>
      <c r="AO618" s="22" t="s">
        <v>1447</v>
      </c>
      <c r="AP618" s="22" t="s">
        <v>1432</v>
      </c>
      <c r="AQ618" s="22" t="str">
        <f t="shared" si="89"/>
        <v>Microphytoplankton</v>
      </c>
      <c r="AR618" s="22">
        <v>1</v>
      </c>
      <c r="AS618" s="22">
        <v>0</v>
      </c>
      <c r="AT618" s="22">
        <v>1</v>
      </c>
      <c r="AU618" s="22">
        <v>0</v>
      </c>
      <c r="AV618" s="22">
        <v>0</v>
      </c>
      <c r="AW618" s="22">
        <v>0</v>
      </c>
      <c r="AX618" s="22">
        <v>1</v>
      </c>
      <c r="AY618" s="22">
        <v>0</v>
      </c>
    </row>
    <row r="619" spans="1:57">
      <c r="A619" s="22" t="s">
        <v>1939</v>
      </c>
      <c r="B619" s="22" t="s">
        <v>663</v>
      </c>
      <c r="C619" s="23" t="s">
        <v>822</v>
      </c>
      <c r="D619" s="23" t="s">
        <v>965</v>
      </c>
      <c r="E619" s="22" t="s">
        <v>62</v>
      </c>
      <c r="F619" s="23" t="s">
        <v>1434</v>
      </c>
      <c r="G619" s="23" t="s">
        <v>1473</v>
      </c>
      <c r="H619" s="23" t="s">
        <v>1545</v>
      </c>
      <c r="I619" s="22" t="s">
        <v>1940</v>
      </c>
      <c r="J619" s="22" t="s">
        <v>1941</v>
      </c>
      <c r="N619" s="22" t="s">
        <v>1942</v>
      </c>
      <c r="O619" s="22" t="s">
        <v>1430</v>
      </c>
      <c r="P619" s="21">
        <v>71401</v>
      </c>
      <c r="Q619" s="22">
        <v>20</v>
      </c>
      <c r="R619" s="22">
        <v>9</v>
      </c>
      <c r="S619" s="22">
        <v>3.2</v>
      </c>
      <c r="T619" s="22" t="s">
        <v>330</v>
      </c>
      <c r="U619" s="22">
        <v>0.7</v>
      </c>
      <c r="V619" s="21">
        <v>0.7</v>
      </c>
      <c r="W619" s="25">
        <f t="shared" si="90"/>
        <v>779.42857142857156</v>
      </c>
      <c r="X619" s="25">
        <f t="shared" si="91"/>
        <v>403.2</v>
      </c>
      <c r="Y619" s="21">
        <v>1</v>
      </c>
      <c r="Z619" s="24">
        <f t="shared" si="87"/>
        <v>779.42857142857156</v>
      </c>
      <c r="AA619" s="24">
        <f t="shared" si="88"/>
        <v>403.2</v>
      </c>
      <c r="AE619" s="21"/>
      <c r="AF619" s="21" t="s">
        <v>247</v>
      </c>
      <c r="AJ619" s="21">
        <v>407</v>
      </c>
      <c r="AK619" s="21">
        <v>20</v>
      </c>
      <c r="AL619" s="22" t="s">
        <v>161</v>
      </c>
      <c r="AM619" s="22">
        <v>0.11</v>
      </c>
      <c r="AO619" s="22" t="s">
        <v>1447</v>
      </c>
      <c r="AP619" s="22" t="s">
        <v>1432</v>
      </c>
      <c r="AQ619" s="22" t="str">
        <f t="shared" si="89"/>
        <v>Microphytoplankton</v>
      </c>
      <c r="AR619" s="22">
        <v>1</v>
      </c>
      <c r="AS619" s="22">
        <v>0</v>
      </c>
      <c r="AT619" s="22">
        <v>1</v>
      </c>
      <c r="AU619" s="22">
        <v>0</v>
      </c>
      <c r="AV619" s="22">
        <v>0</v>
      </c>
      <c r="AW619" s="22">
        <v>0</v>
      </c>
      <c r="AX619" s="22">
        <v>1</v>
      </c>
      <c r="AY619" s="22">
        <v>0</v>
      </c>
    </row>
    <row r="620" spans="1:57">
      <c r="A620" s="22" t="s">
        <v>1943</v>
      </c>
      <c r="B620" s="22" t="s">
        <v>663</v>
      </c>
      <c r="C620" s="23" t="s">
        <v>822</v>
      </c>
      <c r="D620" s="23" t="s">
        <v>965</v>
      </c>
      <c r="E620" s="22" t="s">
        <v>62</v>
      </c>
      <c r="F620" s="23" t="s">
        <v>1434</v>
      </c>
      <c r="G620" s="23" t="s">
        <v>1473</v>
      </c>
      <c r="H620" s="23" t="s">
        <v>1545</v>
      </c>
      <c r="I620" s="22" t="s">
        <v>1940</v>
      </c>
      <c r="J620" s="22" t="s">
        <v>1369</v>
      </c>
      <c r="N620" s="22" t="s">
        <v>1944</v>
      </c>
      <c r="O620" s="22" t="s">
        <v>1430</v>
      </c>
      <c r="P620" s="21">
        <v>71402</v>
      </c>
      <c r="Q620" s="22">
        <v>18</v>
      </c>
      <c r="R620" s="22">
        <v>6.5</v>
      </c>
      <c r="S620" s="22">
        <v>3.3</v>
      </c>
      <c r="T620" s="22" t="s">
        <v>330</v>
      </c>
      <c r="U620" s="22">
        <v>0.7</v>
      </c>
      <c r="V620" s="21">
        <v>0.7</v>
      </c>
      <c r="W620" s="25">
        <f t="shared" si="90"/>
        <v>565.28571428571433</v>
      </c>
      <c r="X620" s="25">
        <f t="shared" si="91"/>
        <v>270.27</v>
      </c>
      <c r="Y620" s="21">
        <v>1</v>
      </c>
      <c r="Z620" s="24">
        <f t="shared" si="87"/>
        <v>565.28571428571433</v>
      </c>
      <c r="AA620" s="24">
        <f t="shared" si="88"/>
        <v>270.27</v>
      </c>
      <c r="AE620" s="21"/>
      <c r="AF620" s="21" t="s">
        <v>247</v>
      </c>
      <c r="AJ620" s="21">
        <v>270</v>
      </c>
      <c r="AK620" s="21">
        <v>18</v>
      </c>
      <c r="AL620" s="22" t="s">
        <v>161</v>
      </c>
      <c r="AM620" s="22">
        <v>0.11</v>
      </c>
      <c r="AO620" s="22" t="s">
        <v>1447</v>
      </c>
      <c r="AP620" s="22" t="s">
        <v>1432</v>
      </c>
      <c r="AQ620" s="22" t="str">
        <f t="shared" si="89"/>
        <v>Nanophytoplankton</v>
      </c>
      <c r="AR620" s="22">
        <v>1</v>
      </c>
      <c r="AS620" s="22">
        <v>0</v>
      </c>
      <c r="AT620" s="22">
        <v>1</v>
      </c>
      <c r="AU620" s="22">
        <v>0</v>
      </c>
      <c r="AV620" s="22">
        <v>0</v>
      </c>
      <c r="AW620" s="22">
        <v>0</v>
      </c>
      <c r="AX620" s="22">
        <v>1</v>
      </c>
      <c r="AY620" s="22">
        <v>0</v>
      </c>
    </row>
    <row r="621" spans="1:57">
      <c r="A621" s="21" t="s">
        <v>1945</v>
      </c>
      <c r="B621" s="22" t="s">
        <v>663</v>
      </c>
      <c r="C621" s="23" t="s">
        <v>822</v>
      </c>
      <c r="D621" s="23" t="s">
        <v>965</v>
      </c>
      <c r="E621" s="22" t="s">
        <v>62</v>
      </c>
      <c r="F621" s="22" t="s">
        <v>1424</v>
      </c>
      <c r="G621" s="23" t="s">
        <v>1946</v>
      </c>
      <c r="H621" s="23" t="s">
        <v>1947</v>
      </c>
      <c r="I621" s="22" t="s">
        <v>1948</v>
      </c>
      <c r="J621" s="22" t="s">
        <v>1233</v>
      </c>
      <c r="N621" s="22" t="s">
        <v>475</v>
      </c>
      <c r="O621" s="22" t="s">
        <v>1430</v>
      </c>
      <c r="P621" s="21">
        <v>70140</v>
      </c>
      <c r="Q621" s="21">
        <v>24</v>
      </c>
      <c r="R621" s="21">
        <v>14</v>
      </c>
      <c r="S621" s="21">
        <v>14</v>
      </c>
      <c r="T621" s="22" t="s">
        <v>330</v>
      </c>
      <c r="U621" s="21">
        <v>1</v>
      </c>
      <c r="V621" s="22">
        <v>1</v>
      </c>
      <c r="W621" s="25">
        <f t="shared" si="90"/>
        <v>1736</v>
      </c>
      <c r="X621" s="25">
        <f t="shared" si="91"/>
        <v>4704</v>
      </c>
      <c r="Y621" s="21">
        <v>1</v>
      </c>
      <c r="Z621" s="24">
        <f t="shared" si="87"/>
        <v>1736</v>
      </c>
      <c r="AA621" s="24">
        <f t="shared" si="88"/>
        <v>4704</v>
      </c>
      <c r="AB621" s="21"/>
      <c r="AC621" s="21"/>
      <c r="AD621" s="21"/>
      <c r="AE621" s="21"/>
      <c r="AF621" s="21" t="s">
        <v>247</v>
      </c>
      <c r="AG621" s="21"/>
      <c r="AH621" s="24"/>
      <c r="AI621" s="24"/>
      <c r="AJ621" s="21">
        <v>3694.5</v>
      </c>
      <c r="AK621" s="21">
        <v>100</v>
      </c>
      <c r="AL621" s="22" t="s">
        <v>161</v>
      </c>
      <c r="AM621" s="22">
        <v>0.11</v>
      </c>
      <c r="AO621" s="22" t="s">
        <v>1447</v>
      </c>
      <c r="AP621" s="22" t="s">
        <v>1432</v>
      </c>
      <c r="AQ621" s="22" t="str">
        <f t="shared" si="89"/>
        <v>Microphytoplankton</v>
      </c>
      <c r="AR621" s="22">
        <v>0</v>
      </c>
      <c r="AS621" s="22">
        <v>0</v>
      </c>
      <c r="AT621" s="22">
        <v>0</v>
      </c>
      <c r="AU621" s="22">
        <v>1</v>
      </c>
      <c r="AV621" s="22">
        <v>1</v>
      </c>
      <c r="AW621" s="22">
        <v>0</v>
      </c>
      <c r="AX621" s="22">
        <v>1</v>
      </c>
      <c r="AY621" s="22">
        <v>0</v>
      </c>
      <c r="AZ621" s="22">
        <v>0</v>
      </c>
      <c r="BA621" s="22">
        <v>0</v>
      </c>
      <c r="BB621" s="22">
        <v>0</v>
      </c>
      <c r="BC621" s="22">
        <v>1</v>
      </c>
      <c r="BD621" s="22">
        <v>7</v>
      </c>
      <c r="BE621" s="22">
        <v>2</v>
      </c>
    </row>
    <row r="622" spans="1:57">
      <c r="A622" s="21" t="s">
        <v>1949</v>
      </c>
      <c r="B622" s="22" t="s">
        <v>663</v>
      </c>
      <c r="C622" s="23" t="s">
        <v>822</v>
      </c>
      <c r="D622" s="23" t="s">
        <v>965</v>
      </c>
      <c r="E622" s="22" t="s">
        <v>62</v>
      </c>
      <c r="F622" s="23" t="s">
        <v>1499</v>
      </c>
      <c r="G622" s="23" t="s">
        <v>1500</v>
      </c>
      <c r="H622" s="23" t="s">
        <v>1501</v>
      </c>
      <c r="I622" s="22" t="s">
        <v>1950</v>
      </c>
      <c r="J622" s="22" t="s">
        <v>1951</v>
      </c>
      <c r="N622" s="22" t="s">
        <v>1952</v>
      </c>
      <c r="O622" s="22" t="s">
        <v>1430</v>
      </c>
      <c r="P622" s="21">
        <v>70510</v>
      </c>
      <c r="Q622" s="21">
        <v>50</v>
      </c>
      <c r="R622" s="21">
        <v>6</v>
      </c>
      <c r="S622" s="21">
        <v>6</v>
      </c>
      <c r="T622" s="22" t="s">
        <v>330</v>
      </c>
      <c r="U622" s="21">
        <v>0.7</v>
      </c>
      <c r="V622" s="21">
        <v>0.7</v>
      </c>
      <c r="W622" s="25">
        <f t="shared" si="90"/>
        <v>1817.1428571428573</v>
      </c>
      <c r="X622" s="25">
        <f t="shared" si="91"/>
        <v>1260</v>
      </c>
      <c r="Y622" s="21">
        <v>1</v>
      </c>
      <c r="Z622" s="24">
        <f t="shared" si="87"/>
        <v>1817.1428571428573</v>
      </c>
      <c r="AA622" s="24">
        <f t="shared" si="88"/>
        <v>1260</v>
      </c>
      <c r="AB622" s="21"/>
      <c r="AC622" s="21"/>
      <c r="AD622" s="21"/>
      <c r="AE622" s="21"/>
      <c r="AF622" s="21" t="s">
        <v>247</v>
      </c>
      <c r="AG622" s="21"/>
      <c r="AH622" s="24"/>
      <c r="AI622" s="24"/>
      <c r="AJ622" s="21">
        <v>1260</v>
      </c>
      <c r="AK622" s="21">
        <v>50</v>
      </c>
      <c r="AL622" s="22" t="s">
        <v>161</v>
      </c>
      <c r="AM622" s="22">
        <v>0.11</v>
      </c>
      <c r="AO622" s="22" t="s">
        <v>1447</v>
      </c>
      <c r="AP622" s="22" t="s">
        <v>1432</v>
      </c>
      <c r="AQ622" s="22" t="str">
        <f t="shared" si="89"/>
        <v>Microphytoplankton</v>
      </c>
      <c r="AR622" s="22">
        <v>0</v>
      </c>
      <c r="AS622" s="22">
        <v>0</v>
      </c>
      <c r="AT622" s="22">
        <v>0</v>
      </c>
      <c r="AU622" s="22">
        <v>1</v>
      </c>
      <c r="AV622" s="22">
        <v>0</v>
      </c>
      <c r="AW622" s="22">
        <v>0</v>
      </c>
      <c r="AX622" s="22">
        <v>1</v>
      </c>
      <c r="AY622" s="22">
        <v>0</v>
      </c>
    </row>
    <row r="623" spans="1:57">
      <c r="A623" s="21" t="s">
        <v>1953</v>
      </c>
      <c r="B623" s="22" t="s">
        <v>663</v>
      </c>
      <c r="C623" s="23" t="s">
        <v>822</v>
      </c>
      <c r="D623" s="23" t="s">
        <v>965</v>
      </c>
      <c r="E623" s="22" t="s">
        <v>62</v>
      </c>
      <c r="F623" s="23" t="s">
        <v>1434</v>
      </c>
      <c r="G623" s="23" t="s">
        <v>1473</v>
      </c>
      <c r="H623" s="23" t="s">
        <v>1545</v>
      </c>
      <c r="I623" s="22" t="s">
        <v>1954</v>
      </c>
      <c r="J623" s="21" t="s">
        <v>1955</v>
      </c>
      <c r="K623" s="21"/>
      <c r="L623" s="21"/>
      <c r="N623" s="22" t="s">
        <v>1580</v>
      </c>
      <c r="O623" s="22" t="s">
        <v>1430</v>
      </c>
      <c r="P623" s="21">
        <v>71450</v>
      </c>
      <c r="Q623" s="21">
        <v>20</v>
      </c>
      <c r="R623" s="21">
        <v>7</v>
      </c>
      <c r="S623" s="21">
        <v>2</v>
      </c>
      <c r="T623" s="22" t="s">
        <v>330</v>
      </c>
      <c r="U623" s="21">
        <v>0.7</v>
      </c>
      <c r="V623" s="21">
        <v>0.7</v>
      </c>
      <c r="W623" s="25">
        <f t="shared" si="90"/>
        <v>554.28571428571433</v>
      </c>
      <c r="X623" s="25">
        <f t="shared" si="91"/>
        <v>196</v>
      </c>
      <c r="Y623" s="21">
        <v>1</v>
      </c>
      <c r="Z623" s="24">
        <f t="shared" si="87"/>
        <v>554.28571428571433</v>
      </c>
      <c r="AA623" s="24">
        <f t="shared" si="88"/>
        <v>196</v>
      </c>
      <c r="AB623" s="21"/>
      <c r="AC623" s="21"/>
      <c r="AD623" s="21"/>
      <c r="AE623" s="21"/>
      <c r="AF623" s="21" t="s">
        <v>247</v>
      </c>
      <c r="AG623" s="21"/>
      <c r="AH623" s="24"/>
      <c r="AI623" s="24"/>
      <c r="AJ623" s="21">
        <v>196</v>
      </c>
      <c r="AK623" s="21">
        <v>20</v>
      </c>
      <c r="AL623" s="22" t="s">
        <v>161</v>
      </c>
      <c r="AM623" s="22">
        <v>0.11</v>
      </c>
      <c r="AO623" s="22" t="s">
        <v>1447</v>
      </c>
      <c r="AP623" s="22" t="s">
        <v>1432</v>
      </c>
      <c r="AQ623" s="22" t="str">
        <f t="shared" si="89"/>
        <v>Microphytoplankton</v>
      </c>
      <c r="AR623" s="22">
        <v>1</v>
      </c>
      <c r="AS623" s="22">
        <v>0</v>
      </c>
      <c r="AT623" s="22">
        <v>1</v>
      </c>
      <c r="AU623" s="22">
        <v>0</v>
      </c>
      <c r="AV623" s="22">
        <v>0</v>
      </c>
      <c r="AW623" s="22">
        <v>0</v>
      </c>
      <c r="AX623" s="22">
        <v>1</v>
      </c>
      <c r="AY623" s="22">
        <v>0</v>
      </c>
    </row>
    <row r="624" spans="1:57">
      <c r="A624" s="21" t="s">
        <v>1956</v>
      </c>
      <c r="B624" s="22" t="s">
        <v>663</v>
      </c>
      <c r="C624" s="23" t="s">
        <v>822</v>
      </c>
      <c r="D624" s="23" t="s">
        <v>965</v>
      </c>
      <c r="E624" s="22" t="s">
        <v>62</v>
      </c>
      <c r="F624" s="23" t="s">
        <v>1434</v>
      </c>
      <c r="G624" s="23" t="s">
        <v>1473</v>
      </c>
      <c r="H624" s="23" t="s">
        <v>1545</v>
      </c>
      <c r="I624" s="22" t="s">
        <v>1954</v>
      </c>
      <c r="J624" s="21" t="s">
        <v>1957</v>
      </c>
      <c r="K624" s="21"/>
      <c r="L624" s="21"/>
      <c r="N624" s="22" t="s">
        <v>694</v>
      </c>
      <c r="O624" s="22" t="s">
        <v>1430</v>
      </c>
      <c r="P624" s="21">
        <v>71483</v>
      </c>
      <c r="Q624" s="21">
        <v>20</v>
      </c>
      <c r="R624" s="21">
        <v>6</v>
      </c>
      <c r="S624" s="21">
        <v>3</v>
      </c>
      <c r="T624" s="22" t="s">
        <v>330</v>
      </c>
      <c r="U624" s="21">
        <v>0.7</v>
      </c>
      <c r="V624" s="21">
        <v>0.7</v>
      </c>
      <c r="W624" s="25">
        <f t="shared" si="90"/>
        <v>565.71428571428578</v>
      </c>
      <c r="X624" s="25">
        <f t="shared" si="91"/>
        <v>251.99999999999997</v>
      </c>
      <c r="Y624" s="21">
        <v>1</v>
      </c>
      <c r="Z624" s="24">
        <f t="shared" si="87"/>
        <v>565.71428571428578</v>
      </c>
      <c r="AA624" s="24">
        <f t="shared" si="88"/>
        <v>251.99999999999997</v>
      </c>
      <c r="AB624" s="21"/>
      <c r="AC624" s="21"/>
      <c r="AD624" s="21"/>
      <c r="AE624" s="21"/>
      <c r="AF624" s="21" t="s">
        <v>247</v>
      </c>
      <c r="AG624" s="21"/>
      <c r="AH624" s="24"/>
      <c r="AI624" s="24"/>
      <c r="AJ624" s="21">
        <v>252</v>
      </c>
      <c r="AK624" s="21">
        <v>20</v>
      </c>
      <c r="AL624" s="22" t="s">
        <v>161</v>
      </c>
      <c r="AM624" s="22">
        <v>0.11</v>
      </c>
      <c r="AO624" s="22" t="s">
        <v>1447</v>
      </c>
      <c r="AP624" s="22" t="s">
        <v>1432</v>
      </c>
      <c r="AQ624" s="22" t="str">
        <f t="shared" si="89"/>
        <v>Microphytoplankton</v>
      </c>
      <c r="AR624" s="22">
        <v>1</v>
      </c>
      <c r="AS624" s="22">
        <v>0</v>
      </c>
      <c r="AT624" s="22">
        <v>1</v>
      </c>
      <c r="AU624" s="22">
        <v>0</v>
      </c>
      <c r="AV624" s="22">
        <v>0</v>
      </c>
      <c r="AW624" s="22">
        <v>0</v>
      </c>
      <c r="AX624" s="22">
        <v>1</v>
      </c>
      <c r="AY624" s="22">
        <v>0</v>
      </c>
    </row>
    <row r="625" spans="1:51">
      <c r="A625" s="21" t="s">
        <v>1958</v>
      </c>
      <c r="B625" s="22" t="s">
        <v>663</v>
      </c>
      <c r="C625" s="23" t="s">
        <v>822</v>
      </c>
      <c r="D625" s="23" t="s">
        <v>965</v>
      </c>
      <c r="E625" s="22" t="s">
        <v>62</v>
      </c>
      <c r="F625" s="23" t="s">
        <v>1434</v>
      </c>
      <c r="G625" s="23" t="s">
        <v>1473</v>
      </c>
      <c r="H625" s="23" t="s">
        <v>1545</v>
      </c>
      <c r="I625" s="22" t="s">
        <v>1954</v>
      </c>
      <c r="J625" s="21" t="s">
        <v>1959</v>
      </c>
      <c r="K625" s="21"/>
      <c r="L625" s="21"/>
      <c r="N625" s="22" t="s">
        <v>1626</v>
      </c>
      <c r="O625" s="22" t="s">
        <v>1430</v>
      </c>
      <c r="P625" s="21">
        <v>71481</v>
      </c>
      <c r="Q625" s="21">
        <v>36</v>
      </c>
      <c r="R625" s="21">
        <v>8</v>
      </c>
      <c r="S625" s="21">
        <v>3</v>
      </c>
      <c r="T625" s="22" t="s">
        <v>330</v>
      </c>
      <c r="U625" s="21">
        <v>0.6</v>
      </c>
      <c r="V625" s="21">
        <v>0.6</v>
      </c>
      <c r="W625" s="25">
        <f t="shared" si="90"/>
        <v>1400</v>
      </c>
      <c r="X625" s="25">
        <f t="shared" si="91"/>
        <v>518.4</v>
      </c>
      <c r="Y625" s="21">
        <v>1</v>
      </c>
      <c r="Z625" s="24">
        <f t="shared" si="87"/>
        <v>1400</v>
      </c>
      <c r="AA625" s="24">
        <f t="shared" si="88"/>
        <v>518.4</v>
      </c>
      <c r="AB625" s="21"/>
      <c r="AC625" s="21"/>
      <c r="AD625" s="21"/>
      <c r="AE625" s="21"/>
      <c r="AF625" s="21" t="s">
        <v>247</v>
      </c>
      <c r="AG625" s="21"/>
      <c r="AH625" s="24"/>
      <c r="AI625" s="24"/>
      <c r="AJ625" s="21">
        <v>518.4</v>
      </c>
      <c r="AK625" s="21">
        <v>36</v>
      </c>
      <c r="AL625" s="22" t="s">
        <v>161</v>
      </c>
      <c r="AM625" s="22">
        <v>0.11</v>
      </c>
      <c r="AO625" s="22" t="s">
        <v>1447</v>
      </c>
      <c r="AP625" s="22" t="s">
        <v>1432</v>
      </c>
      <c r="AQ625" s="22" t="str">
        <f t="shared" si="89"/>
        <v>Microphytoplankton</v>
      </c>
      <c r="AR625" s="22">
        <v>1</v>
      </c>
      <c r="AS625" s="22">
        <v>0</v>
      </c>
      <c r="AT625" s="22">
        <v>1</v>
      </c>
      <c r="AU625" s="22">
        <v>0</v>
      </c>
      <c r="AV625" s="22">
        <v>0</v>
      </c>
      <c r="AW625" s="22">
        <v>0</v>
      </c>
      <c r="AX625" s="22">
        <v>1</v>
      </c>
      <c r="AY625" s="22">
        <v>0</v>
      </c>
    </row>
    <row r="626" spans="1:51">
      <c r="A626" s="21" t="s">
        <v>1960</v>
      </c>
      <c r="B626" s="22" t="s">
        <v>663</v>
      </c>
      <c r="C626" s="23" t="s">
        <v>822</v>
      </c>
      <c r="D626" s="23" t="s">
        <v>965</v>
      </c>
      <c r="E626" s="22" t="s">
        <v>62</v>
      </c>
      <c r="F626" s="23" t="s">
        <v>1434</v>
      </c>
      <c r="G626" s="23" t="s">
        <v>1473</v>
      </c>
      <c r="H626" s="23" t="s">
        <v>1545</v>
      </c>
      <c r="I626" s="22" t="s">
        <v>1954</v>
      </c>
      <c r="J626" s="21" t="s">
        <v>1961</v>
      </c>
      <c r="K626" s="21"/>
      <c r="L626" s="21"/>
      <c r="N626" s="22" t="s">
        <v>1542</v>
      </c>
      <c r="O626" s="22" t="s">
        <v>1430</v>
      </c>
      <c r="P626" s="21">
        <v>71487</v>
      </c>
      <c r="Q626" s="22">
        <v>27</v>
      </c>
      <c r="R626" s="22">
        <v>6</v>
      </c>
      <c r="S626" s="22">
        <v>2.382716049382716</v>
      </c>
      <c r="T626" s="22" t="s">
        <v>330</v>
      </c>
      <c r="U626" s="22">
        <v>0.7</v>
      </c>
      <c r="V626" s="21">
        <v>0.7</v>
      </c>
      <c r="W626" s="25">
        <f t="shared" si="90"/>
        <v>687.51322751322755</v>
      </c>
      <c r="X626" s="25">
        <f t="shared" si="91"/>
        <v>270.2</v>
      </c>
      <c r="Y626" s="21">
        <v>1</v>
      </c>
      <c r="Z626" s="24">
        <f t="shared" si="87"/>
        <v>687.51322751322755</v>
      </c>
      <c r="AA626" s="24">
        <f t="shared" si="88"/>
        <v>270.2</v>
      </c>
      <c r="AE626" s="21"/>
      <c r="AF626" s="21" t="s">
        <v>247</v>
      </c>
      <c r="AJ626" s="21">
        <v>270.2</v>
      </c>
      <c r="AK626" s="21">
        <v>27</v>
      </c>
      <c r="AL626" s="22" t="s">
        <v>161</v>
      </c>
      <c r="AM626" s="22">
        <v>0.11</v>
      </c>
      <c r="AO626" s="22" t="s">
        <v>1447</v>
      </c>
      <c r="AP626" s="22" t="s">
        <v>1432</v>
      </c>
      <c r="AQ626" s="22" t="str">
        <f t="shared" si="89"/>
        <v>Microphytoplankton</v>
      </c>
      <c r="AR626" s="22">
        <v>1</v>
      </c>
      <c r="AS626" s="22">
        <v>0</v>
      </c>
      <c r="AT626" s="22">
        <v>1</v>
      </c>
      <c r="AU626" s="22">
        <v>0</v>
      </c>
      <c r="AV626" s="22">
        <v>0</v>
      </c>
      <c r="AW626" s="22">
        <v>0</v>
      </c>
      <c r="AX626" s="22">
        <v>1</v>
      </c>
      <c r="AY626" s="22">
        <v>0</v>
      </c>
    </row>
    <row r="627" spans="1:51">
      <c r="A627" s="21" t="s">
        <v>1962</v>
      </c>
      <c r="B627" s="22" t="s">
        <v>663</v>
      </c>
      <c r="C627" s="23" t="s">
        <v>822</v>
      </c>
      <c r="D627" s="23" t="s">
        <v>965</v>
      </c>
      <c r="E627" s="22" t="s">
        <v>62</v>
      </c>
      <c r="F627" s="23" t="s">
        <v>1434</v>
      </c>
      <c r="G627" s="23" t="s">
        <v>1473</v>
      </c>
      <c r="H627" s="23" t="s">
        <v>1545</v>
      </c>
      <c r="I627" s="22" t="s">
        <v>1954</v>
      </c>
      <c r="J627" s="21" t="s">
        <v>1455</v>
      </c>
      <c r="K627" s="21"/>
      <c r="L627" s="21"/>
      <c r="N627" s="22" t="s">
        <v>1963</v>
      </c>
      <c r="O627" s="22" t="s">
        <v>1430</v>
      </c>
      <c r="P627" s="21">
        <v>71466</v>
      </c>
      <c r="Q627" s="22">
        <v>17.600000000000001</v>
      </c>
      <c r="R627" s="22">
        <v>8.8000000000000007</v>
      </c>
      <c r="S627" s="22">
        <v>6</v>
      </c>
      <c r="T627" s="22" t="s">
        <v>330</v>
      </c>
      <c r="U627" s="22">
        <v>0.7</v>
      </c>
      <c r="V627" s="21">
        <v>0.7</v>
      </c>
      <c r="W627" s="25">
        <f t="shared" si="90"/>
        <v>895.0857142857144</v>
      </c>
      <c r="X627" s="25">
        <f t="shared" si="91"/>
        <v>650.49600000000009</v>
      </c>
      <c r="Y627" s="21">
        <v>1</v>
      </c>
      <c r="Z627" s="24">
        <f t="shared" si="87"/>
        <v>895.0857142857144</v>
      </c>
      <c r="AA627" s="24">
        <f t="shared" si="88"/>
        <v>650.49600000000009</v>
      </c>
      <c r="AE627" s="21"/>
      <c r="AF627" s="21" t="s">
        <v>247</v>
      </c>
      <c r="AJ627" s="21">
        <v>650.5</v>
      </c>
      <c r="AK627" s="21">
        <v>18</v>
      </c>
      <c r="AL627" s="22" t="s">
        <v>161</v>
      </c>
      <c r="AM627" s="22">
        <v>0.11</v>
      </c>
      <c r="AO627" s="22" t="s">
        <v>1447</v>
      </c>
      <c r="AP627" s="22" t="s">
        <v>1432</v>
      </c>
      <c r="AQ627" s="22" t="str">
        <f t="shared" si="89"/>
        <v>Nanophytoplankton</v>
      </c>
      <c r="AR627" s="22">
        <v>1</v>
      </c>
      <c r="AS627" s="22">
        <v>0</v>
      </c>
      <c r="AT627" s="22">
        <v>1</v>
      </c>
      <c r="AU627" s="22">
        <v>0</v>
      </c>
      <c r="AV627" s="22">
        <v>0</v>
      </c>
      <c r="AW627" s="22">
        <v>0</v>
      </c>
      <c r="AX627" s="22">
        <v>1</v>
      </c>
      <c r="AY627" s="22">
        <v>0</v>
      </c>
    </row>
    <row r="628" spans="1:51">
      <c r="A628" s="21" t="s">
        <v>1964</v>
      </c>
      <c r="B628" s="22" t="s">
        <v>663</v>
      </c>
      <c r="C628" s="23" t="s">
        <v>822</v>
      </c>
      <c r="D628" s="23" t="s">
        <v>965</v>
      </c>
      <c r="E628" s="22" t="s">
        <v>62</v>
      </c>
      <c r="F628" s="23" t="s">
        <v>1434</v>
      </c>
      <c r="G628" s="23" t="s">
        <v>1473</v>
      </c>
      <c r="H628" s="23" t="s">
        <v>1545</v>
      </c>
      <c r="I628" s="22" t="s">
        <v>1954</v>
      </c>
      <c r="J628" s="21" t="s">
        <v>1965</v>
      </c>
      <c r="K628" s="21"/>
      <c r="L628" s="21"/>
      <c r="N628" s="22" t="s">
        <v>1456</v>
      </c>
      <c r="O628" s="22" t="s">
        <v>1430</v>
      </c>
      <c r="P628" s="21">
        <v>71482</v>
      </c>
      <c r="Q628" s="21">
        <v>40</v>
      </c>
      <c r="R628" s="21">
        <v>13.5</v>
      </c>
      <c r="S628" s="21">
        <v>5.5</v>
      </c>
      <c r="T628" s="22" t="s">
        <v>330</v>
      </c>
      <c r="U628" s="21">
        <v>0.7</v>
      </c>
      <c r="V628" s="21">
        <v>0.7</v>
      </c>
      <c r="W628" s="25">
        <f t="shared" si="90"/>
        <v>2383.5714285714289</v>
      </c>
      <c r="X628" s="25">
        <f t="shared" si="91"/>
        <v>2079</v>
      </c>
      <c r="Y628" s="21">
        <v>1</v>
      </c>
      <c r="Z628" s="24">
        <f t="shared" si="87"/>
        <v>2383.5714285714289</v>
      </c>
      <c r="AA628" s="24">
        <f t="shared" si="88"/>
        <v>2079</v>
      </c>
      <c r="AB628" s="21"/>
      <c r="AC628" s="21"/>
      <c r="AD628" s="21"/>
      <c r="AE628" s="21"/>
      <c r="AF628" s="21" t="s">
        <v>247</v>
      </c>
      <c r="AG628" s="21"/>
      <c r="AH628" s="24"/>
      <c r="AI628" s="24"/>
      <c r="AJ628" s="21">
        <v>2079</v>
      </c>
      <c r="AK628" s="21">
        <v>40</v>
      </c>
      <c r="AL628" s="22" t="s">
        <v>161</v>
      </c>
      <c r="AM628" s="22">
        <v>0.11</v>
      </c>
      <c r="AO628" s="22" t="s">
        <v>1447</v>
      </c>
      <c r="AP628" s="22" t="s">
        <v>1432</v>
      </c>
      <c r="AQ628" s="22" t="str">
        <f t="shared" si="89"/>
        <v>Microphytoplankton</v>
      </c>
      <c r="AR628" s="22">
        <v>1</v>
      </c>
      <c r="AS628" s="22">
        <v>0</v>
      </c>
      <c r="AT628" s="22">
        <v>1</v>
      </c>
      <c r="AU628" s="22">
        <v>0</v>
      </c>
      <c r="AV628" s="22">
        <v>0</v>
      </c>
      <c r="AW628" s="22">
        <v>0</v>
      </c>
      <c r="AX628" s="22">
        <v>1</v>
      </c>
      <c r="AY628" s="22">
        <v>0</v>
      </c>
    </row>
    <row r="629" spans="1:51">
      <c r="A629" s="21" t="s">
        <v>1966</v>
      </c>
      <c r="B629" s="22" t="s">
        <v>663</v>
      </c>
      <c r="C629" s="23" t="s">
        <v>822</v>
      </c>
      <c r="D629" s="23" t="s">
        <v>965</v>
      </c>
      <c r="E629" s="22" t="s">
        <v>62</v>
      </c>
      <c r="F629" s="23" t="s">
        <v>1434</v>
      </c>
      <c r="G629" s="23" t="s">
        <v>1473</v>
      </c>
      <c r="H629" s="23" t="s">
        <v>1545</v>
      </c>
      <c r="I629" s="22" t="s">
        <v>1954</v>
      </c>
      <c r="J629" s="21" t="s">
        <v>1965</v>
      </c>
      <c r="K629" s="21" t="s">
        <v>184</v>
      </c>
      <c r="L629" s="21" t="s">
        <v>1294</v>
      </c>
      <c r="N629" s="22" t="s">
        <v>1456</v>
      </c>
      <c r="O629" s="22" t="s">
        <v>1430</v>
      </c>
      <c r="P629" s="21">
        <v>71494</v>
      </c>
      <c r="Q629" s="22">
        <v>19</v>
      </c>
      <c r="R629" s="22">
        <v>9</v>
      </c>
      <c r="S629" s="22">
        <v>4.5</v>
      </c>
      <c r="T629" s="22" t="s">
        <v>330</v>
      </c>
      <c r="U629" s="22">
        <v>0.7</v>
      </c>
      <c r="V629" s="21">
        <v>0.7</v>
      </c>
      <c r="W629" s="25">
        <f t="shared" si="90"/>
        <v>848.57142857142867</v>
      </c>
      <c r="X629" s="25">
        <f t="shared" si="91"/>
        <v>538.65</v>
      </c>
      <c r="Y629" s="21">
        <v>1</v>
      </c>
      <c r="Z629" s="24">
        <f t="shared" si="87"/>
        <v>848.57142857142867</v>
      </c>
      <c r="AA629" s="24">
        <f t="shared" si="88"/>
        <v>538.65</v>
      </c>
      <c r="AE629" s="21"/>
      <c r="AF629" s="21" t="s">
        <v>247</v>
      </c>
      <c r="AJ629" s="21">
        <v>538.70000000000005</v>
      </c>
      <c r="AK629" s="21">
        <v>19</v>
      </c>
      <c r="AL629" s="22" t="s">
        <v>161</v>
      </c>
      <c r="AM629" s="22">
        <v>0.11</v>
      </c>
      <c r="AO629" s="22" t="s">
        <v>1447</v>
      </c>
      <c r="AP629" s="22" t="s">
        <v>1432</v>
      </c>
      <c r="AQ629" s="22" t="str">
        <f t="shared" si="89"/>
        <v>Nanophytoplankton</v>
      </c>
      <c r="AR629" s="22">
        <v>1</v>
      </c>
      <c r="AS629" s="22">
        <v>0</v>
      </c>
      <c r="AT629" s="22">
        <v>1</v>
      </c>
      <c r="AU629" s="22">
        <v>0</v>
      </c>
      <c r="AV629" s="22">
        <v>0</v>
      </c>
      <c r="AW629" s="22">
        <v>0</v>
      </c>
      <c r="AX629" s="22">
        <v>1</v>
      </c>
      <c r="AY629" s="22">
        <v>0</v>
      </c>
    </row>
    <row r="630" spans="1:51">
      <c r="A630" s="21" t="s">
        <v>1967</v>
      </c>
      <c r="B630" s="22" t="s">
        <v>663</v>
      </c>
      <c r="C630" s="23" t="s">
        <v>822</v>
      </c>
      <c r="D630" s="23" t="s">
        <v>965</v>
      </c>
      <c r="E630" s="22" t="s">
        <v>62</v>
      </c>
      <c r="F630" s="23" t="s">
        <v>1434</v>
      </c>
      <c r="G630" s="23" t="s">
        <v>1473</v>
      </c>
      <c r="H630" s="23" t="s">
        <v>1545</v>
      </c>
      <c r="I630" s="22" t="s">
        <v>1954</v>
      </c>
      <c r="J630" s="21" t="s">
        <v>1675</v>
      </c>
      <c r="K630" s="21"/>
      <c r="L630" s="21"/>
      <c r="N630" s="22" t="s">
        <v>413</v>
      </c>
      <c r="O630" s="22" t="s">
        <v>1430</v>
      </c>
      <c r="P630" s="21">
        <v>71485</v>
      </c>
      <c r="Q630" s="22">
        <v>105</v>
      </c>
      <c r="R630" s="22">
        <v>35</v>
      </c>
      <c r="S630" s="22">
        <v>10</v>
      </c>
      <c r="T630" s="22" t="s">
        <v>330</v>
      </c>
      <c r="U630" s="22">
        <v>0.6</v>
      </c>
      <c r="V630" s="21">
        <v>0.6</v>
      </c>
      <c r="W630" s="25">
        <f t="shared" si="90"/>
        <v>16916.666666666668</v>
      </c>
      <c r="X630" s="25">
        <f t="shared" si="91"/>
        <v>22050</v>
      </c>
      <c r="Y630" s="21">
        <v>1</v>
      </c>
      <c r="Z630" s="24">
        <f t="shared" si="87"/>
        <v>16916.666666666668</v>
      </c>
      <c r="AA630" s="24">
        <f t="shared" si="88"/>
        <v>22050</v>
      </c>
      <c r="AE630" s="21"/>
      <c r="AF630" s="21" t="s">
        <v>247</v>
      </c>
      <c r="AJ630" s="21">
        <v>22050</v>
      </c>
      <c r="AK630" s="21">
        <v>105</v>
      </c>
      <c r="AL630" s="22" t="s">
        <v>161</v>
      </c>
      <c r="AM630" s="22">
        <v>0.11</v>
      </c>
      <c r="AO630" s="22" t="s">
        <v>383</v>
      </c>
      <c r="AP630" s="22" t="s">
        <v>1432</v>
      </c>
      <c r="AQ630" s="22" t="str">
        <f t="shared" si="89"/>
        <v>Microphytoplankton</v>
      </c>
      <c r="AR630" s="22">
        <v>1</v>
      </c>
      <c r="AS630" s="22">
        <v>0</v>
      </c>
      <c r="AT630" s="22">
        <v>1</v>
      </c>
      <c r="AU630" s="22">
        <v>0</v>
      </c>
      <c r="AV630" s="22">
        <v>0</v>
      </c>
      <c r="AW630" s="22">
        <v>0</v>
      </c>
      <c r="AX630" s="22">
        <v>1</v>
      </c>
      <c r="AY630" s="22">
        <v>0</v>
      </c>
    </row>
    <row r="631" spans="1:51">
      <c r="A631" s="21" t="s">
        <v>1968</v>
      </c>
      <c r="B631" s="22" t="s">
        <v>663</v>
      </c>
      <c r="C631" s="23" t="s">
        <v>822</v>
      </c>
      <c r="D631" s="23" t="s">
        <v>965</v>
      </c>
      <c r="E631" s="22" t="s">
        <v>62</v>
      </c>
      <c r="F631" s="23" t="s">
        <v>1434</v>
      </c>
      <c r="G631" s="23" t="s">
        <v>1473</v>
      </c>
      <c r="H631" s="23" t="s">
        <v>1545</v>
      </c>
      <c r="I631" s="22" t="s">
        <v>1954</v>
      </c>
      <c r="J631" s="21" t="s">
        <v>1887</v>
      </c>
      <c r="K631" s="21"/>
      <c r="L631" s="21"/>
      <c r="N631" s="22" t="s">
        <v>1969</v>
      </c>
      <c r="O631" s="22" t="s">
        <v>1430</v>
      </c>
      <c r="P631" s="22">
        <v>71492</v>
      </c>
      <c r="Q631" s="21">
        <v>20</v>
      </c>
      <c r="R631" s="21">
        <v>6</v>
      </c>
      <c r="S631" s="21">
        <v>5</v>
      </c>
      <c r="T631" s="22" t="s">
        <v>330</v>
      </c>
      <c r="U631" s="21">
        <v>0.7</v>
      </c>
      <c r="V631" s="21">
        <v>0.7</v>
      </c>
      <c r="W631" s="25">
        <f t="shared" si="90"/>
        <v>714.28571428571433</v>
      </c>
      <c r="X631" s="25">
        <f t="shared" si="91"/>
        <v>420</v>
      </c>
      <c r="Y631" s="21">
        <v>1</v>
      </c>
      <c r="Z631" s="24">
        <f t="shared" si="87"/>
        <v>714.28571428571433</v>
      </c>
      <c r="AA631" s="24">
        <f t="shared" si="88"/>
        <v>420</v>
      </c>
      <c r="AB631" s="21"/>
      <c r="AC631" s="21"/>
      <c r="AD631" s="21"/>
      <c r="AE631" s="21"/>
      <c r="AF631" s="21" t="s">
        <v>247</v>
      </c>
      <c r="AG631" s="21"/>
      <c r="AH631" s="24"/>
      <c r="AI631" s="24"/>
      <c r="AJ631" s="21">
        <v>420</v>
      </c>
      <c r="AK631" s="21">
        <v>20</v>
      </c>
      <c r="AL631" s="22" t="s">
        <v>161</v>
      </c>
      <c r="AM631" s="22">
        <v>0.11</v>
      </c>
      <c r="AO631" s="22" t="s">
        <v>1447</v>
      </c>
      <c r="AP631" s="22" t="s">
        <v>1432</v>
      </c>
      <c r="AQ631" s="22" t="str">
        <f t="shared" si="89"/>
        <v>Microphytoplankton</v>
      </c>
      <c r="AR631" s="22">
        <v>1</v>
      </c>
      <c r="AS631" s="22">
        <v>0</v>
      </c>
      <c r="AT631" s="22">
        <v>1</v>
      </c>
      <c r="AU631" s="22">
        <v>0</v>
      </c>
      <c r="AV631" s="22">
        <v>0</v>
      </c>
      <c r="AW631" s="22">
        <v>0</v>
      </c>
      <c r="AX631" s="22">
        <v>1</v>
      </c>
      <c r="AY631" s="22">
        <v>0</v>
      </c>
    </row>
    <row r="632" spans="1:51">
      <c r="A632" s="21" t="s">
        <v>1970</v>
      </c>
      <c r="B632" s="22" t="s">
        <v>663</v>
      </c>
      <c r="C632" s="23" t="s">
        <v>822</v>
      </c>
      <c r="D632" s="23" t="s">
        <v>965</v>
      </c>
      <c r="E632" s="22" t="s">
        <v>62</v>
      </c>
      <c r="F632" s="23" t="s">
        <v>1434</v>
      </c>
      <c r="G632" s="23" t="s">
        <v>1473</v>
      </c>
      <c r="H632" s="23" t="s">
        <v>1545</v>
      </c>
      <c r="I632" s="22" t="s">
        <v>1954</v>
      </c>
      <c r="J632" s="21" t="s">
        <v>1971</v>
      </c>
      <c r="K632" s="21"/>
      <c r="L632" s="21"/>
      <c r="N632" s="22" t="s">
        <v>694</v>
      </c>
      <c r="O632" s="22" t="s">
        <v>1430</v>
      </c>
      <c r="P632" s="21">
        <v>71460</v>
      </c>
      <c r="Q632" s="21">
        <v>30</v>
      </c>
      <c r="R632" s="21">
        <v>10</v>
      </c>
      <c r="S632" s="21">
        <v>4</v>
      </c>
      <c r="T632" s="22" t="s">
        <v>330</v>
      </c>
      <c r="U632" s="21">
        <v>0.5</v>
      </c>
      <c r="V632" s="21">
        <v>0.5</v>
      </c>
      <c r="W632" s="25">
        <f t="shared" si="90"/>
        <v>1840</v>
      </c>
      <c r="X632" s="25">
        <f t="shared" si="91"/>
        <v>600</v>
      </c>
      <c r="Y632" s="21">
        <v>1</v>
      </c>
      <c r="Z632" s="24">
        <f t="shared" si="87"/>
        <v>1840</v>
      </c>
      <c r="AA632" s="24">
        <f t="shared" si="88"/>
        <v>600</v>
      </c>
      <c r="AB632" s="21"/>
      <c r="AC632" s="21"/>
      <c r="AD632" s="21"/>
      <c r="AE632" s="21"/>
      <c r="AF632" s="21" t="s">
        <v>247</v>
      </c>
      <c r="AG632" s="21"/>
      <c r="AH632" s="24"/>
      <c r="AI632" s="24"/>
      <c r="AJ632" s="21">
        <v>600</v>
      </c>
      <c r="AK632" s="21">
        <v>30</v>
      </c>
      <c r="AL632" s="22" t="s">
        <v>161</v>
      </c>
      <c r="AM632" s="22">
        <v>0.11</v>
      </c>
      <c r="AO632" s="22" t="s">
        <v>1447</v>
      </c>
      <c r="AP632" s="22" t="s">
        <v>1432</v>
      </c>
      <c r="AQ632" s="22" t="str">
        <f t="shared" si="89"/>
        <v>Microphytoplankton</v>
      </c>
      <c r="AR632" s="22">
        <v>1</v>
      </c>
      <c r="AS632" s="22">
        <v>0</v>
      </c>
      <c r="AT632" s="22">
        <v>1</v>
      </c>
      <c r="AU632" s="22">
        <v>0</v>
      </c>
      <c r="AV632" s="22">
        <v>0</v>
      </c>
      <c r="AW632" s="22">
        <v>0</v>
      </c>
      <c r="AX632" s="22">
        <v>1</v>
      </c>
      <c r="AY632" s="22">
        <v>0</v>
      </c>
    </row>
    <row r="633" spans="1:51">
      <c r="A633" s="21" t="s">
        <v>1972</v>
      </c>
      <c r="B633" s="22" t="s">
        <v>663</v>
      </c>
      <c r="C633" s="23" t="s">
        <v>822</v>
      </c>
      <c r="D633" s="23" t="s">
        <v>965</v>
      </c>
      <c r="E633" s="22" t="s">
        <v>62</v>
      </c>
      <c r="F633" s="23" t="s">
        <v>1434</v>
      </c>
      <c r="G633" s="23" t="s">
        <v>1473</v>
      </c>
      <c r="H633" s="23" t="s">
        <v>1545</v>
      </c>
      <c r="I633" s="22" t="s">
        <v>1954</v>
      </c>
      <c r="J633" s="21" t="s">
        <v>1973</v>
      </c>
      <c r="K633" s="21"/>
      <c r="L633" s="21"/>
      <c r="N633" s="22" t="s">
        <v>1974</v>
      </c>
      <c r="O633" s="22" t="s">
        <v>1430</v>
      </c>
      <c r="P633" s="21">
        <v>71486</v>
      </c>
      <c r="Q633" s="22">
        <v>27</v>
      </c>
      <c r="R633" s="22">
        <v>7.5</v>
      </c>
      <c r="S633" s="22">
        <v>2</v>
      </c>
      <c r="T633" s="22" t="s">
        <v>1543</v>
      </c>
      <c r="U633" s="22">
        <v>0.6</v>
      </c>
      <c r="V633" s="21">
        <v>0.6</v>
      </c>
      <c r="W633" s="25">
        <f>2*(Q633/2+R633/2)+S633*R633*2+S633*Q633*2</f>
        <v>172.5</v>
      </c>
      <c r="X633" s="25">
        <f>Q633*R633*S633/2</f>
        <v>202.5</v>
      </c>
      <c r="Y633" s="21">
        <v>1</v>
      </c>
      <c r="Z633" s="24">
        <f t="shared" si="87"/>
        <v>172.5</v>
      </c>
      <c r="AA633" s="24">
        <f t="shared" si="88"/>
        <v>202.5</v>
      </c>
      <c r="AE633" s="21"/>
      <c r="AF633" s="21" t="s">
        <v>247</v>
      </c>
      <c r="AJ633" s="21">
        <v>202.5</v>
      </c>
      <c r="AK633" s="21">
        <v>27</v>
      </c>
      <c r="AL633" s="22" t="s">
        <v>161</v>
      </c>
      <c r="AM633" s="22">
        <v>0.11</v>
      </c>
      <c r="AO633" s="22" t="s">
        <v>1447</v>
      </c>
      <c r="AP633" s="22" t="s">
        <v>1432</v>
      </c>
      <c r="AQ633" s="22" t="str">
        <f t="shared" si="89"/>
        <v>Microphytoplankton</v>
      </c>
      <c r="AR633" s="22">
        <v>1</v>
      </c>
      <c r="AS633" s="22">
        <v>0</v>
      </c>
      <c r="AT633" s="22">
        <v>1</v>
      </c>
      <c r="AU633" s="22">
        <v>0</v>
      </c>
      <c r="AV633" s="22">
        <v>0</v>
      </c>
      <c r="AW633" s="22">
        <v>0</v>
      </c>
      <c r="AX633" s="22">
        <v>1</v>
      </c>
      <c r="AY633" s="22">
        <v>0</v>
      </c>
    </row>
    <row r="634" spans="1:51">
      <c r="A634" s="22" t="s">
        <v>1975</v>
      </c>
      <c r="B634" s="22" t="s">
        <v>663</v>
      </c>
      <c r="C634" s="23" t="s">
        <v>822</v>
      </c>
      <c r="D634" s="23" t="s">
        <v>965</v>
      </c>
      <c r="E634" s="22" t="s">
        <v>62</v>
      </c>
      <c r="F634" s="23" t="s">
        <v>1434</v>
      </c>
      <c r="G634" s="23" t="s">
        <v>1473</v>
      </c>
      <c r="H634" s="23" t="s">
        <v>1545</v>
      </c>
      <c r="I634" s="22" t="s">
        <v>1954</v>
      </c>
      <c r="J634" s="22" t="s">
        <v>1976</v>
      </c>
      <c r="N634" s="22" t="s">
        <v>1693</v>
      </c>
      <c r="O634" s="22" t="s">
        <v>1430</v>
      </c>
      <c r="P634" s="21">
        <v>71403</v>
      </c>
      <c r="Q634" s="22">
        <v>73.5</v>
      </c>
      <c r="R634" s="22">
        <v>11.5</v>
      </c>
      <c r="S634" s="22">
        <v>3.5</v>
      </c>
      <c r="T634" s="22" t="s">
        <v>330</v>
      </c>
      <c r="U634" s="22">
        <v>0.7</v>
      </c>
      <c r="V634" s="21">
        <v>0.7</v>
      </c>
      <c r="W634" s="25">
        <f t="shared" ref="W634:W666" si="92">(Q634*R634*2+Q634*S634*2+R634*S634*2)/V634</f>
        <v>3265</v>
      </c>
      <c r="X634" s="25">
        <f t="shared" ref="X634:X666" si="93">Q634*R634*S634*U634</f>
        <v>2070.8624999999997</v>
      </c>
      <c r="Y634" s="21">
        <v>1</v>
      </c>
      <c r="Z634" s="24">
        <f t="shared" si="87"/>
        <v>3265</v>
      </c>
      <c r="AA634" s="24">
        <f t="shared" si="88"/>
        <v>2070.8624999999997</v>
      </c>
      <c r="AE634" s="21"/>
      <c r="AF634" s="21" t="s">
        <v>247</v>
      </c>
      <c r="AJ634" s="21">
        <v>2042</v>
      </c>
      <c r="AK634" s="21">
        <v>73.5</v>
      </c>
      <c r="AL634" s="22" t="s">
        <v>161</v>
      </c>
      <c r="AM634" s="22">
        <v>0.11</v>
      </c>
      <c r="AO634" s="22" t="s">
        <v>1447</v>
      </c>
      <c r="AP634" s="22" t="s">
        <v>1432</v>
      </c>
      <c r="AQ634" s="22" t="str">
        <f t="shared" si="89"/>
        <v>Microphytoplankton</v>
      </c>
      <c r="AR634" s="22">
        <v>1</v>
      </c>
      <c r="AS634" s="22">
        <v>0</v>
      </c>
      <c r="AT634" s="22">
        <v>1</v>
      </c>
      <c r="AU634" s="22">
        <v>0</v>
      </c>
      <c r="AV634" s="22">
        <v>0</v>
      </c>
      <c r="AW634" s="22">
        <v>0</v>
      </c>
      <c r="AX634" s="22">
        <v>1</v>
      </c>
      <c r="AY634" s="22">
        <v>0</v>
      </c>
    </row>
    <row r="635" spans="1:51">
      <c r="A635" s="21" t="s">
        <v>1977</v>
      </c>
      <c r="B635" s="22" t="s">
        <v>663</v>
      </c>
      <c r="C635" s="23" t="s">
        <v>822</v>
      </c>
      <c r="D635" s="23" t="s">
        <v>965</v>
      </c>
      <c r="E635" s="22" t="s">
        <v>62</v>
      </c>
      <c r="F635" s="23" t="s">
        <v>1434</v>
      </c>
      <c r="G635" s="23" t="s">
        <v>1473</v>
      </c>
      <c r="H635" s="23" t="s">
        <v>1545</v>
      </c>
      <c r="I635" s="22" t="s">
        <v>1954</v>
      </c>
      <c r="J635" s="21" t="s">
        <v>1463</v>
      </c>
      <c r="K635" s="21"/>
      <c r="L635" s="21"/>
      <c r="N635" s="22" t="s">
        <v>694</v>
      </c>
      <c r="O635" s="22" t="s">
        <v>1430</v>
      </c>
      <c r="P635" s="21">
        <v>71484</v>
      </c>
      <c r="Q635" s="21">
        <v>92</v>
      </c>
      <c r="R635" s="21">
        <v>13</v>
      </c>
      <c r="S635" s="21">
        <v>5</v>
      </c>
      <c r="T635" s="22" t="s">
        <v>330</v>
      </c>
      <c r="U635" s="21">
        <v>0.7</v>
      </c>
      <c r="V635" s="21">
        <v>0.7</v>
      </c>
      <c r="W635" s="25">
        <f t="shared" si="92"/>
        <v>4917.1428571428578</v>
      </c>
      <c r="X635" s="25">
        <f t="shared" si="93"/>
        <v>4186</v>
      </c>
      <c r="Y635" s="21">
        <v>1</v>
      </c>
      <c r="Z635" s="24">
        <f t="shared" si="87"/>
        <v>4917.1428571428578</v>
      </c>
      <c r="AA635" s="24">
        <f t="shared" si="88"/>
        <v>4186</v>
      </c>
      <c r="AB635" s="21"/>
      <c r="AC635" s="21"/>
      <c r="AD635" s="21"/>
      <c r="AE635" s="21"/>
      <c r="AF635" s="21" t="s">
        <v>247</v>
      </c>
      <c r="AG635" s="21"/>
      <c r="AH635" s="24"/>
      <c r="AI635" s="24"/>
      <c r="AJ635" s="21">
        <v>4186</v>
      </c>
      <c r="AK635" s="21">
        <v>92</v>
      </c>
      <c r="AL635" s="22" t="s">
        <v>161</v>
      </c>
      <c r="AM635" s="22">
        <v>0.11</v>
      </c>
      <c r="AO635" s="22" t="s">
        <v>1447</v>
      </c>
      <c r="AP635" s="22" t="s">
        <v>1432</v>
      </c>
      <c r="AQ635" s="22" t="str">
        <f t="shared" si="89"/>
        <v>Microphytoplankton</v>
      </c>
      <c r="AR635" s="22">
        <v>1</v>
      </c>
      <c r="AS635" s="22">
        <v>0</v>
      </c>
      <c r="AT635" s="22">
        <v>1</v>
      </c>
      <c r="AU635" s="22">
        <v>0</v>
      </c>
      <c r="AV635" s="22">
        <v>0</v>
      </c>
      <c r="AW635" s="22">
        <v>0</v>
      </c>
      <c r="AX635" s="22">
        <v>1</v>
      </c>
      <c r="AY635" s="22">
        <v>0</v>
      </c>
    </row>
    <row r="636" spans="1:51">
      <c r="A636" s="21" t="s">
        <v>1978</v>
      </c>
      <c r="B636" s="22" t="s">
        <v>663</v>
      </c>
      <c r="C636" s="23" t="s">
        <v>822</v>
      </c>
      <c r="D636" s="23" t="s">
        <v>965</v>
      </c>
      <c r="E636" s="22" t="s">
        <v>62</v>
      </c>
      <c r="F636" s="23" t="s">
        <v>1434</v>
      </c>
      <c r="G636" s="23" t="s">
        <v>1473</v>
      </c>
      <c r="H636" s="23" t="s">
        <v>1545</v>
      </c>
      <c r="I636" s="22" t="s">
        <v>1954</v>
      </c>
      <c r="J636" s="21" t="s">
        <v>1979</v>
      </c>
      <c r="K636" s="21"/>
      <c r="L636" s="21"/>
      <c r="N636" s="22" t="s">
        <v>1980</v>
      </c>
      <c r="O636" s="22" t="s">
        <v>1430</v>
      </c>
      <c r="P636" s="21">
        <v>71495</v>
      </c>
      <c r="Q636" s="22">
        <v>27</v>
      </c>
      <c r="R636" s="22">
        <v>9</v>
      </c>
      <c r="S636" s="22">
        <v>4.5</v>
      </c>
      <c r="T636" s="22" t="s">
        <v>330</v>
      </c>
      <c r="U636" s="22">
        <v>0.7</v>
      </c>
      <c r="V636" s="21">
        <v>0.7</v>
      </c>
      <c r="W636" s="25">
        <f t="shared" si="92"/>
        <v>1157.1428571428571</v>
      </c>
      <c r="X636" s="25">
        <f t="shared" si="93"/>
        <v>765.44999999999993</v>
      </c>
      <c r="Y636" s="21">
        <v>1</v>
      </c>
      <c r="Z636" s="24">
        <f t="shared" si="87"/>
        <v>1157.1428571428571</v>
      </c>
      <c r="AA636" s="24">
        <f t="shared" si="88"/>
        <v>765.44999999999993</v>
      </c>
      <c r="AE636" s="21"/>
      <c r="AF636" s="21" t="s">
        <v>247</v>
      </c>
      <c r="AJ636" s="21">
        <v>765.5</v>
      </c>
      <c r="AK636" s="21">
        <v>27</v>
      </c>
      <c r="AL636" s="22" t="s">
        <v>161</v>
      </c>
      <c r="AM636" s="22">
        <v>0.11</v>
      </c>
      <c r="AO636" s="22" t="s">
        <v>1447</v>
      </c>
      <c r="AP636" s="22" t="s">
        <v>1432</v>
      </c>
      <c r="AQ636" s="22" t="str">
        <f t="shared" si="89"/>
        <v>Microphytoplankton</v>
      </c>
      <c r="AR636" s="22">
        <v>1</v>
      </c>
      <c r="AS636" s="22">
        <v>0</v>
      </c>
      <c r="AT636" s="22">
        <v>1</v>
      </c>
      <c r="AU636" s="22">
        <v>0</v>
      </c>
      <c r="AV636" s="22">
        <v>0</v>
      </c>
      <c r="AW636" s="22">
        <v>0</v>
      </c>
      <c r="AX636" s="22">
        <v>1</v>
      </c>
      <c r="AY636" s="22">
        <v>0</v>
      </c>
    </row>
    <row r="637" spans="1:51">
      <c r="A637" s="21" t="s">
        <v>1981</v>
      </c>
      <c r="B637" s="22" t="s">
        <v>663</v>
      </c>
      <c r="C637" s="23" t="s">
        <v>822</v>
      </c>
      <c r="D637" s="23" t="s">
        <v>965</v>
      </c>
      <c r="E637" s="22" t="s">
        <v>62</v>
      </c>
      <c r="F637" s="23" t="s">
        <v>1434</v>
      </c>
      <c r="G637" s="23" t="s">
        <v>1473</v>
      </c>
      <c r="H637" s="23" t="s">
        <v>1545</v>
      </c>
      <c r="I637" s="22" t="s">
        <v>1954</v>
      </c>
      <c r="J637" s="21" t="s">
        <v>216</v>
      </c>
      <c r="K637" s="21"/>
      <c r="L637" s="21"/>
      <c r="N637" s="22" t="s">
        <v>1456</v>
      </c>
      <c r="O637" s="22" t="s">
        <v>1430</v>
      </c>
      <c r="P637" s="21">
        <v>71496</v>
      </c>
      <c r="Q637" s="22">
        <v>8.3000000000000007</v>
      </c>
      <c r="R637" s="22">
        <v>4.5</v>
      </c>
      <c r="S637" s="22">
        <v>2</v>
      </c>
      <c r="T637" s="22" t="s">
        <v>330</v>
      </c>
      <c r="U637" s="22">
        <v>1</v>
      </c>
      <c r="V637" s="22">
        <v>1</v>
      </c>
      <c r="W637" s="25">
        <f t="shared" si="92"/>
        <v>125.9</v>
      </c>
      <c r="X637" s="25">
        <f t="shared" si="93"/>
        <v>74.7</v>
      </c>
      <c r="Y637" s="21">
        <v>1</v>
      </c>
      <c r="Z637" s="24">
        <f t="shared" si="87"/>
        <v>125.9</v>
      </c>
      <c r="AA637" s="24">
        <f t="shared" si="88"/>
        <v>74.7</v>
      </c>
      <c r="AE637" s="21"/>
      <c r="AF637" s="21" t="s">
        <v>247</v>
      </c>
      <c r="AJ637" s="21">
        <v>75</v>
      </c>
      <c r="AK637" s="21">
        <v>8.3000000000000007</v>
      </c>
      <c r="AL637" s="22" t="s">
        <v>161</v>
      </c>
      <c r="AM637" s="22">
        <v>0.11</v>
      </c>
      <c r="AO637" s="22" t="s">
        <v>1447</v>
      </c>
      <c r="AP637" s="22" t="s">
        <v>1432</v>
      </c>
      <c r="AQ637" s="22" t="str">
        <f t="shared" si="89"/>
        <v>Nanophytoplankton</v>
      </c>
      <c r="AR637" s="22">
        <v>1</v>
      </c>
      <c r="AS637" s="22">
        <v>0</v>
      </c>
      <c r="AT637" s="22">
        <v>1</v>
      </c>
      <c r="AU637" s="22">
        <v>0</v>
      </c>
      <c r="AV637" s="22">
        <v>0</v>
      </c>
      <c r="AW637" s="22">
        <v>0</v>
      </c>
      <c r="AX637" s="22">
        <v>1</v>
      </c>
      <c r="AY637" s="22">
        <v>0</v>
      </c>
    </row>
    <row r="638" spans="1:51">
      <c r="A638" s="21" t="s">
        <v>1982</v>
      </c>
      <c r="B638" s="22" t="s">
        <v>663</v>
      </c>
      <c r="C638" s="23" t="s">
        <v>822</v>
      </c>
      <c r="D638" s="23" t="s">
        <v>965</v>
      </c>
      <c r="E638" s="22" t="s">
        <v>62</v>
      </c>
      <c r="F638" s="23" t="s">
        <v>1434</v>
      </c>
      <c r="G638" s="23" t="s">
        <v>1473</v>
      </c>
      <c r="H638" s="23" t="s">
        <v>1545</v>
      </c>
      <c r="I638" s="22" t="s">
        <v>1954</v>
      </c>
      <c r="J638" s="21" t="s">
        <v>1566</v>
      </c>
      <c r="K638" s="21"/>
      <c r="L638" s="21"/>
      <c r="N638" s="22" t="s">
        <v>486</v>
      </c>
      <c r="O638" s="22" t="s">
        <v>1430</v>
      </c>
      <c r="P638" s="22">
        <v>71480</v>
      </c>
      <c r="Q638" s="21">
        <v>55</v>
      </c>
      <c r="R638" s="21">
        <v>20</v>
      </c>
      <c r="S638" s="21">
        <v>5</v>
      </c>
      <c r="T638" s="22" t="s">
        <v>330</v>
      </c>
      <c r="U638" s="21">
        <v>0.5</v>
      </c>
      <c r="V638" s="21">
        <v>0.5</v>
      </c>
      <c r="W638" s="25">
        <f t="shared" si="92"/>
        <v>5900</v>
      </c>
      <c r="X638" s="25">
        <f t="shared" si="93"/>
        <v>2750</v>
      </c>
      <c r="Y638" s="21">
        <v>1</v>
      </c>
      <c r="Z638" s="24">
        <f t="shared" si="87"/>
        <v>5900</v>
      </c>
      <c r="AA638" s="24">
        <f t="shared" si="88"/>
        <v>2750</v>
      </c>
      <c r="AB638" s="21"/>
      <c r="AC638" s="21"/>
      <c r="AD638" s="21"/>
      <c r="AE638" s="21"/>
      <c r="AF638" s="21" t="s">
        <v>247</v>
      </c>
      <c r="AG638" s="21"/>
      <c r="AH638" s="24"/>
      <c r="AI638" s="24"/>
      <c r="AJ638" s="21">
        <v>2750</v>
      </c>
      <c r="AK638" s="21">
        <v>55</v>
      </c>
      <c r="AL638" s="22" t="s">
        <v>161</v>
      </c>
      <c r="AM638" s="22">
        <v>0.11</v>
      </c>
      <c r="AO638" s="22" t="s">
        <v>1447</v>
      </c>
      <c r="AP638" s="22" t="s">
        <v>1432</v>
      </c>
      <c r="AQ638" s="22" t="str">
        <f t="shared" si="89"/>
        <v>Microphytoplankton</v>
      </c>
      <c r="AR638" s="22">
        <v>1</v>
      </c>
      <c r="AS638" s="22">
        <v>0</v>
      </c>
      <c r="AT638" s="22">
        <v>1</v>
      </c>
      <c r="AU638" s="22">
        <v>0</v>
      </c>
      <c r="AV638" s="22">
        <v>0</v>
      </c>
      <c r="AW638" s="22">
        <v>0</v>
      </c>
      <c r="AX638" s="22">
        <v>1</v>
      </c>
      <c r="AY638" s="22">
        <v>0</v>
      </c>
    </row>
    <row r="639" spans="1:51">
      <c r="A639" s="21" t="s">
        <v>1983</v>
      </c>
      <c r="B639" s="22" t="s">
        <v>663</v>
      </c>
      <c r="C639" s="23" t="s">
        <v>822</v>
      </c>
      <c r="D639" s="23" t="s">
        <v>965</v>
      </c>
      <c r="E639" s="22" t="s">
        <v>62</v>
      </c>
      <c r="F639" s="23" t="s">
        <v>1434</v>
      </c>
      <c r="G639" s="23" t="s">
        <v>1473</v>
      </c>
      <c r="H639" s="23" t="s">
        <v>1545</v>
      </c>
      <c r="I639" s="22" t="s">
        <v>1954</v>
      </c>
      <c r="J639" s="21" t="s">
        <v>1984</v>
      </c>
      <c r="K639" s="21"/>
      <c r="L639" s="21"/>
      <c r="N639" s="22" t="s">
        <v>1985</v>
      </c>
      <c r="O639" s="22" t="s">
        <v>1430</v>
      </c>
      <c r="P639" s="22">
        <v>71467</v>
      </c>
      <c r="Q639" s="21">
        <v>21.5</v>
      </c>
      <c r="R639" s="21">
        <v>9.1</v>
      </c>
      <c r="S639" s="21">
        <v>6</v>
      </c>
      <c r="T639" s="22" t="s">
        <v>330</v>
      </c>
      <c r="U639" s="21">
        <v>0.7</v>
      </c>
      <c r="V639" s="21">
        <v>0.7</v>
      </c>
      <c r="W639" s="25">
        <f t="shared" si="92"/>
        <v>1083.5714285714287</v>
      </c>
      <c r="X639" s="25">
        <f t="shared" si="93"/>
        <v>821.73</v>
      </c>
      <c r="Y639" s="21">
        <v>1</v>
      </c>
      <c r="Z639" s="24">
        <f t="shared" si="87"/>
        <v>1083.5714285714287</v>
      </c>
      <c r="AA639" s="24">
        <f t="shared" si="88"/>
        <v>821.73</v>
      </c>
      <c r="AB639" s="21"/>
      <c r="AC639" s="21"/>
      <c r="AD639" s="21"/>
      <c r="AE639" s="21"/>
      <c r="AF639" s="21" t="s">
        <v>247</v>
      </c>
      <c r="AG639" s="21"/>
      <c r="AH639" s="24"/>
      <c r="AI639" s="24"/>
      <c r="AJ639" s="21">
        <v>821.7</v>
      </c>
      <c r="AK639" s="21">
        <v>22</v>
      </c>
      <c r="AL639" s="22" t="s">
        <v>161</v>
      </c>
      <c r="AM639" s="22">
        <v>0.11</v>
      </c>
      <c r="AO639" s="22" t="s">
        <v>1447</v>
      </c>
      <c r="AP639" s="22" t="s">
        <v>1432</v>
      </c>
      <c r="AQ639" s="22" t="str">
        <f t="shared" si="89"/>
        <v>Microphytoplankton</v>
      </c>
      <c r="AR639" s="22">
        <v>1</v>
      </c>
      <c r="AS639" s="22">
        <v>0</v>
      </c>
      <c r="AT639" s="22">
        <v>1</v>
      </c>
      <c r="AU639" s="22">
        <v>0</v>
      </c>
      <c r="AV639" s="22">
        <v>0</v>
      </c>
      <c r="AW639" s="22">
        <v>0</v>
      </c>
      <c r="AX639" s="22">
        <v>1</v>
      </c>
      <c r="AY639" s="22">
        <v>0</v>
      </c>
    </row>
    <row r="640" spans="1:51">
      <c r="A640" s="21" t="s">
        <v>1986</v>
      </c>
      <c r="B640" s="22" t="s">
        <v>663</v>
      </c>
      <c r="C640" s="23" t="s">
        <v>822</v>
      </c>
      <c r="D640" s="23" t="s">
        <v>965</v>
      </c>
      <c r="E640" s="22" t="s">
        <v>62</v>
      </c>
      <c r="F640" s="23" t="s">
        <v>1434</v>
      </c>
      <c r="G640" s="23" t="s">
        <v>1473</v>
      </c>
      <c r="H640" s="23" t="s">
        <v>1545</v>
      </c>
      <c r="I640" s="22" t="s">
        <v>1954</v>
      </c>
      <c r="J640" s="21" t="s">
        <v>1987</v>
      </c>
      <c r="K640" s="21"/>
      <c r="L640" s="21"/>
      <c r="N640" s="22" t="s">
        <v>413</v>
      </c>
      <c r="O640" s="22" t="s">
        <v>1430</v>
      </c>
      <c r="P640" s="21">
        <v>71470</v>
      </c>
      <c r="Q640" s="21">
        <v>40</v>
      </c>
      <c r="R640" s="21">
        <v>9</v>
      </c>
      <c r="S640" s="21">
        <v>3</v>
      </c>
      <c r="T640" s="22" t="s">
        <v>330</v>
      </c>
      <c r="U640" s="21">
        <v>0.5</v>
      </c>
      <c r="V640" s="21">
        <v>0.5</v>
      </c>
      <c r="W640" s="25">
        <f t="shared" si="92"/>
        <v>2028</v>
      </c>
      <c r="X640" s="25">
        <f t="shared" si="93"/>
        <v>540</v>
      </c>
      <c r="Y640" s="21">
        <v>1</v>
      </c>
      <c r="Z640" s="24">
        <f t="shared" si="87"/>
        <v>2028</v>
      </c>
      <c r="AA640" s="24">
        <f t="shared" si="88"/>
        <v>540</v>
      </c>
      <c r="AB640" s="21"/>
      <c r="AC640" s="21"/>
      <c r="AD640" s="21"/>
      <c r="AE640" s="21"/>
      <c r="AF640" s="21" t="s">
        <v>247</v>
      </c>
      <c r="AG640" s="21"/>
      <c r="AH640" s="24"/>
      <c r="AI640" s="24"/>
      <c r="AJ640" s="21">
        <v>540</v>
      </c>
      <c r="AK640" s="21">
        <v>40</v>
      </c>
      <c r="AL640" s="22" t="s">
        <v>161</v>
      </c>
      <c r="AM640" s="22">
        <v>0.11</v>
      </c>
      <c r="AO640" s="22" t="s">
        <v>1447</v>
      </c>
      <c r="AP640" s="22" t="s">
        <v>1432</v>
      </c>
      <c r="AQ640" s="22" t="str">
        <f t="shared" si="89"/>
        <v>Microphytoplankton</v>
      </c>
      <c r="AR640" s="22">
        <v>1</v>
      </c>
      <c r="AS640" s="22">
        <v>0</v>
      </c>
      <c r="AT640" s="22">
        <v>1</v>
      </c>
      <c r="AU640" s="22">
        <v>0</v>
      </c>
      <c r="AV640" s="22">
        <v>0</v>
      </c>
      <c r="AW640" s="22">
        <v>0</v>
      </c>
      <c r="AX640" s="22">
        <v>1</v>
      </c>
      <c r="AY640" s="22">
        <v>0</v>
      </c>
    </row>
    <row r="641" spans="1:51">
      <c r="A641" s="21" t="s">
        <v>1988</v>
      </c>
      <c r="B641" s="22" t="s">
        <v>663</v>
      </c>
      <c r="C641" s="23" t="s">
        <v>822</v>
      </c>
      <c r="D641" s="23" t="s">
        <v>965</v>
      </c>
      <c r="E641" s="22" t="s">
        <v>62</v>
      </c>
      <c r="F641" s="23" t="s">
        <v>1434</v>
      </c>
      <c r="G641" s="23" t="s">
        <v>1473</v>
      </c>
      <c r="H641" s="23" t="s">
        <v>1545</v>
      </c>
      <c r="I641" s="22" t="s">
        <v>1954</v>
      </c>
      <c r="J641" s="21" t="s">
        <v>1640</v>
      </c>
      <c r="K641" s="21"/>
      <c r="L641" s="21"/>
      <c r="N641" s="22" t="s">
        <v>413</v>
      </c>
      <c r="O641" s="22" t="s">
        <v>1430</v>
      </c>
      <c r="P641" s="21">
        <v>71440</v>
      </c>
      <c r="Q641" s="21">
        <v>70</v>
      </c>
      <c r="R641" s="21">
        <v>15</v>
      </c>
      <c r="S641" s="21">
        <v>4</v>
      </c>
      <c r="T641" s="22" t="s">
        <v>330</v>
      </c>
      <c r="U641" s="21">
        <v>0.7</v>
      </c>
      <c r="V641" s="21">
        <v>0.7</v>
      </c>
      <c r="W641" s="25">
        <f t="shared" si="92"/>
        <v>3971.4285714285716</v>
      </c>
      <c r="X641" s="25">
        <f t="shared" si="93"/>
        <v>2940</v>
      </c>
      <c r="Y641" s="21">
        <v>1</v>
      </c>
      <c r="Z641" s="24">
        <f t="shared" si="87"/>
        <v>3971.4285714285716</v>
      </c>
      <c r="AA641" s="24">
        <f t="shared" si="88"/>
        <v>2940</v>
      </c>
      <c r="AB641" s="21"/>
      <c r="AC641" s="21"/>
      <c r="AD641" s="21"/>
      <c r="AE641" s="21"/>
      <c r="AF641" s="21" t="s">
        <v>247</v>
      </c>
      <c r="AG641" s="21"/>
      <c r="AH641" s="24"/>
      <c r="AI641" s="24"/>
      <c r="AJ641" s="21">
        <v>2940</v>
      </c>
      <c r="AK641" s="21">
        <v>70</v>
      </c>
      <c r="AL641" s="22" t="s">
        <v>161</v>
      </c>
      <c r="AM641" s="22">
        <v>0.11</v>
      </c>
      <c r="AO641" s="22" t="s">
        <v>1447</v>
      </c>
      <c r="AP641" s="22" t="s">
        <v>1432</v>
      </c>
      <c r="AQ641" s="22" t="str">
        <f t="shared" si="89"/>
        <v>Microphytoplankton</v>
      </c>
      <c r="AR641" s="22">
        <v>1</v>
      </c>
      <c r="AS641" s="22">
        <v>0</v>
      </c>
      <c r="AT641" s="22">
        <v>1</v>
      </c>
      <c r="AU641" s="22">
        <v>0</v>
      </c>
      <c r="AV641" s="22">
        <v>0</v>
      </c>
      <c r="AW641" s="22">
        <v>0</v>
      </c>
      <c r="AX641" s="22">
        <v>1</v>
      </c>
      <c r="AY641" s="22">
        <v>0</v>
      </c>
    </row>
    <row r="642" spans="1:51">
      <c r="A642" s="21" t="s">
        <v>1989</v>
      </c>
      <c r="B642" s="22" t="s">
        <v>663</v>
      </c>
      <c r="C642" s="23" t="s">
        <v>822</v>
      </c>
      <c r="D642" s="23" t="s">
        <v>965</v>
      </c>
      <c r="E642" s="22" t="s">
        <v>62</v>
      </c>
      <c r="F642" s="23" t="s">
        <v>1434</v>
      </c>
      <c r="G642" s="23" t="s">
        <v>1473</v>
      </c>
      <c r="H642" s="23" t="s">
        <v>1545</v>
      </c>
      <c r="I642" s="22" t="s">
        <v>1954</v>
      </c>
      <c r="J642" s="21" t="s">
        <v>1990</v>
      </c>
      <c r="K642" s="21"/>
      <c r="L642" s="21"/>
      <c r="N642" s="22" t="s">
        <v>1991</v>
      </c>
      <c r="O642" s="22" t="s">
        <v>1430</v>
      </c>
      <c r="P642" s="21">
        <v>71430</v>
      </c>
      <c r="Q642" s="21">
        <v>40</v>
      </c>
      <c r="R642" s="21">
        <v>14</v>
      </c>
      <c r="S642" s="21">
        <v>4</v>
      </c>
      <c r="T642" s="22" t="s">
        <v>330</v>
      </c>
      <c r="U642" s="21">
        <v>0.7</v>
      </c>
      <c r="V642" s="21">
        <v>0.7</v>
      </c>
      <c r="W642" s="25">
        <f t="shared" si="92"/>
        <v>2217.1428571428573</v>
      </c>
      <c r="X642" s="25">
        <f t="shared" si="93"/>
        <v>1568</v>
      </c>
      <c r="Y642" s="21">
        <v>1</v>
      </c>
      <c r="Z642" s="24">
        <f t="shared" ref="Z642:Z705" si="94">Y642*W642</f>
        <v>2217.1428571428573</v>
      </c>
      <c r="AA642" s="24">
        <f t="shared" ref="AA642:AA705" si="95">Y642*X642</f>
        <v>1568</v>
      </c>
      <c r="AB642" s="21"/>
      <c r="AC642" s="21"/>
      <c r="AD642" s="21"/>
      <c r="AE642" s="21"/>
      <c r="AF642" s="21" t="s">
        <v>247</v>
      </c>
      <c r="AG642" s="21"/>
      <c r="AH642" s="24"/>
      <c r="AI642" s="24"/>
      <c r="AJ642" s="21">
        <v>1568</v>
      </c>
      <c r="AK642" s="21">
        <v>40</v>
      </c>
      <c r="AL642" s="22" t="s">
        <v>161</v>
      </c>
      <c r="AM642" s="22">
        <v>0.11</v>
      </c>
      <c r="AO642" s="22" t="s">
        <v>1447</v>
      </c>
      <c r="AP642" s="22" t="s">
        <v>1432</v>
      </c>
      <c r="AQ642" s="22" t="str">
        <f t="shared" ref="AQ642:AQ705" si="96">IF(AND($AK642&lt;20,AJ642&lt;10000),"Nanophytoplankton","Microphytoplankton")</f>
        <v>Microphytoplankton</v>
      </c>
      <c r="AR642" s="22">
        <v>1</v>
      </c>
      <c r="AS642" s="22">
        <v>0</v>
      </c>
      <c r="AT642" s="22">
        <v>1</v>
      </c>
      <c r="AU642" s="22">
        <v>0</v>
      </c>
      <c r="AV642" s="22">
        <v>0</v>
      </c>
      <c r="AW642" s="22">
        <v>0</v>
      </c>
      <c r="AX642" s="22">
        <v>1</v>
      </c>
      <c r="AY642" s="22">
        <v>0</v>
      </c>
    </row>
    <row r="643" spans="1:51">
      <c r="A643" s="22" t="s">
        <v>1992</v>
      </c>
      <c r="B643" s="22" t="s">
        <v>663</v>
      </c>
      <c r="C643" s="23" t="s">
        <v>822</v>
      </c>
      <c r="D643" s="23" t="s">
        <v>965</v>
      </c>
      <c r="E643" s="22" t="s">
        <v>62</v>
      </c>
      <c r="F643" s="23" t="s">
        <v>1434</v>
      </c>
      <c r="G643" s="23" t="s">
        <v>1473</v>
      </c>
      <c r="H643" s="23" t="s">
        <v>1545</v>
      </c>
      <c r="I643" s="22" t="s">
        <v>1954</v>
      </c>
      <c r="J643" s="22" t="s">
        <v>1993</v>
      </c>
      <c r="N643" s="22" t="s">
        <v>413</v>
      </c>
      <c r="O643" s="22" t="s">
        <v>1430</v>
      </c>
      <c r="P643" s="21">
        <v>71404</v>
      </c>
      <c r="Q643" s="22">
        <v>57.5</v>
      </c>
      <c r="R643" s="22">
        <v>11.5</v>
      </c>
      <c r="S643" s="22">
        <v>4</v>
      </c>
      <c r="T643" s="22" t="s">
        <v>330</v>
      </c>
      <c r="U643" s="22">
        <v>0.6</v>
      </c>
      <c r="V643" s="21">
        <v>0.6</v>
      </c>
      <c r="W643" s="25">
        <f t="shared" si="92"/>
        <v>3124.166666666667</v>
      </c>
      <c r="X643" s="25">
        <f t="shared" si="93"/>
        <v>1587</v>
      </c>
      <c r="Y643" s="21">
        <v>1</v>
      </c>
      <c r="Z643" s="24">
        <f t="shared" si="94"/>
        <v>3124.166666666667</v>
      </c>
      <c r="AA643" s="24">
        <f t="shared" si="95"/>
        <v>1587</v>
      </c>
      <c r="AE643" s="21"/>
      <c r="AF643" s="21" t="s">
        <v>247</v>
      </c>
      <c r="AJ643" s="21">
        <v>1582</v>
      </c>
      <c r="AK643" s="21">
        <v>57.5</v>
      </c>
      <c r="AL643" s="22" t="s">
        <v>161</v>
      </c>
      <c r="AM643" s="22">
        <v>0.11</v>
      </c>
      <c r="AO643" s="22" t="s">
        <v>1447</v>
      </c>
      <c r="AP643" s="22" t="s">
        <v>1432</v>
      </c>
      <c r="AQ643" s="22" t="str">
        <f t="shared" si="96"/>
        <v>Microphytoplankton</v>
      </c>
      <c r="AR643" s="22">
        <v>1</v>
      </c>
      <c r="AS643" s="22">
        <v>0</v>
      </c>
      <c r="AT643" s="22">
        <v>1</v>
      </c>
      <c r="AU643" s="22">
        <v>0</v>
      </c>
      <c r="AV643" s="22">
        <v>0</v>
      </c>
      <c r="AW643" s="22">
        <v>0</v>
      </c>
      <c r="AX643" s="22">
        <v>1</v>
      </c>
      <c r="AY643" s="22">
        <v>0</v>
      </c>
    </row>
    <row r="644" spans="1:51">
      <c r="A644" s="21" t="s">
        <v>1994</v>
      </c>
      <c r="B644" s="22" t="s">
        <v>663</v>
      </c>
      <c r="C644" s="23" t="s">
        <v>822</v>
      </c>
      <c r="D644" s="23" t="s">
        <v>965</v>
      </c>
      <c r="E644" s="22" t="s">
        <v>62</v>
      </c>
      <c r="F644" s="23" t="s">
        <v>1434</v>
      </c>
      <c r="G644" s="23" t="s">
        <v>1473</v>
      </c>
      <c r="H644" s="23" t="s">
        <v>1545</v>
      </c>
      <c r="I644" s="22" t="s">
        <v>1954</v>
      </c>
      <c r="J644" s="21" t="s">
        <v>1995</v>
      </c>
      <c r="K644" s="21"/>
      <c r="L644" s="21"/>
      <c r="N644" s="22" t="s">
        <v>1996</v>
      </c>
      <c r="O644" s="22" t="s">
        <v>1430</v>
      </c>
      <c r="P644" s="22">
        <v>71493</v>
      </c>
      <c r="Q644" s="21">
        <v>16</v>
      </c>
      <c r="R644" s="21">
        <v>13</v>
      </c>
      <c r="S644" s="21">
        <v>3</v>
      </c>
      <c r="T644" s="22" t="s">
        <v>330</v>
      </c>
      <c r="U644" s="21">
        <v>0.7</v>
      </c>
      <c r="V644" s="21">
        <v>0.7</v>
      </c>
      <c r="W644" s="25">
        <f t="shared" si="92"/>
        <v>842.85714285714289</v>
      </c>
      <c r="X644" s="25">
        <f t="shared" si="93"/>
        <v>436.79999999999995</v>
      </c>
      <c r="Y644" s="21">
        <v>1</v>
      </c>
      <c r="Z644" s="24">
        <f t="shared" si="94"/>
        <v>842.85714285714289</v>
      </c>
      <c r="AA644" s="24">
        <f t="shared" si="95"/>
        <v>436.79999999999995</v>
      </c>
      <c r="AB644" s="21"/>
      <c r="AC644" s="21"/>
      <c r="AD644" s="21"/>
      <c r="AE644" s="21"/>
      <c r="AF644" s="21" t="s">
        <v>247</v>
      </c>
      <c r="AG644" s="21"/>
      <c r="AH644" s="24"/>
      <c r="AI644" s="24"/>
      <c r="AJ644" s="21">
        <v>436.8</v>
      </c>
      <c r="AK644" s="21">
        <v>16</v>
      </c>
      <c r="AL644" s="22" t="s">
        <v>161</v>
      </c>
      <c r="AM644" s="22">
        <v>0.11</v>
      </c>
      <c r="AO644" s="22" t="s">
        <v>1447</v>
      </c>
      <c r="AP644" s="22" t="s">
        <v>1432</v>
      </c>
      <c r="AQ644" s="22" t="str">
        <f t="shared" si="96"/>
        <v>Nanophytoplankton</v>
      </c>
      <c r="AR644" s="22">
        <v>1</v>
      </c>
      <c r="AS644" s="22">
        <v>0</v>
      </c>
      <c r="AT644" s="22">
        <v>1</v>
      </c>
      <c r="AU644" s="22">
        <v>0</v>
      </c>
      <c r="AV644" s="22">
        <v>0</v>
      </c>
      <c r="AW644" s="22">
        <v>0</v>
      </c>
      <c r="AX644" s="22">
        <v>1</v>
      </c>
      <c r="AY644" s="22">
        <v>0</v>
      </c>
    </row>
    <row r="645" spans="1:51" ht="13.5" customHeight="1">
      <c r="A645" s="21" t="s">
        <v>1997</v>
      </c>
      <c r="B645" s="22" t="s">
        <v>663</v>
      </c>
      <c r="C645" s="23" t="s">
        <v>822</v>
      </c>
      <c r="D645" s="23" t="s">
        <v>965</v>
      </c>
      <c r="E645" s="22" t="s">
        <v>62</v>
      </c>
      <c r="F645" s="23" t="s">
        <v>1434</v>
      </c>
      <c r="G645" s="23" t="s">
        <v>1473</v>
      </c>
      <c r="H645" s="23" t="s">
        <v>1545</v>
      </c>
      <c r="I645" s="22" t="s">
        <v>1954</v>
      </c>
      <c r="J645" s="21" t="s">
        <v>211</v>
      </c>
      <c r="K645" s="21"/>
      <c r="L645" s="21"/>
      <c r="M645" s="22" t="s">
        <v>1</v>
      </c>
      <c r="N645" s="22" t="s">
        <v>1468</v>
      </c>
      <c r="O645" s="22" t="s">
        <v>1430</v>
      </c>
      <c r="P645" s="21">
        <v>71400</v>
      </c>
      <c r="Q645" s="21">
        <v>30</v>
      </c>
      <c r="R645" s="21">
        <v>8</v>
      </c>
      <c r="S645" s="21">
        <v>2</v>
      </c>
      <c r="T645" s="22" t="s">
        <v>330</v>
      </c>
      <c r="U645" s="21">
        <v>0.7</v>
      </c>
      <c r="V645" s="21">
        <v>0.7</v>
      </c>
      <c r="W645" s="25">
        <f t="shared" si="92"/>
        <v>902.85714285714289</v>
      </c>
      <c r="X645" s="25">
        <f t="shared" si="93"/>
        <v>336</v>
      </c>
      <c r="Y645" s="21">
        <v>1</v>
      </c>
      <c r="Z645" s="24">
        <f t="shared" si="94"/>
        <v>902.85714285714289</v>
      </c>
      <c r="AA645" s="24">
        <f t="shared" si="95"/>
        <v>336</v>
      </c>
      <c r="AB645" s="21"/>
      <c r="AC645" s="21"/>
      <c r="AD645" s="21"/>
      <c r="AE645" s="21"/>
      <c r="AF645" s="21" t="s">
        <v>247</v>
      </c>
      <c r="AG645" s="21"/>
      <c r="AH645" s="24"/>
      <c r="AI645" s="24"/>
      <c r="AJ645" s="21">
        <v>336</v>
      </c>
      <c r="AK645" s="21">
        <v>30</v>
      </c>
      <c r="AL645" s="22" t="s">
        <v>161</v>
      </c>
      <c r="AM645" s="22">
        <v>0.11</v>
      </c>
      <c r="AO645" s="22" t="s">
        <v>1447</v>
      </c>
      <c r="AP645" s="22" t="s">
        <v>1432</v>
      </c>
      <c r="AQ645" s="22" t="str">
        <f t="shared" si="96"/>
        <v>Microphytoplankton</v>
      </c>
      <c r="AR645" s="22">
        <v>1</v>
      </c>
      <c r="AS645" s="22">
        <v>0</v>
      </c>
      <c r="AT645" s="22">
        <v>1</v>
      </c>
      <c r="AU645" s="22">
        <v>0</v>
      </c>
      <c r="AV645" s="22">
        <v>0</v>
      </c>
      <c r="AW645" s="22">
        <v>0</v>
      </c>
      <c r="AX645" s="22">
        <v>1</v>
      </c>
      <c r="AY645" s="22">
        <v>0</v>
      </c>
    </row>
    <row r="646" spans="1:51">
      <c r="A646" s="22" t="s">
        <v>1998</v>
      </c>
      <c r="B646" s="22" t="s">
        <v>663</v>
      </c>
      <c r="C646" s="23" t="s">
        <v>822</v>
      </c>
      <c r="D646" s="23" t="s">
        <v>965</v>
      </c>
      <c r="E646" s="22" t="s">
        <v>62</v>
      </c>
      <c r="F646" s="23" t="s">
        <v>1434</v>
      </c>
      <c r="G646" s="23" t="s">
        <v>1473</v>
      </c>
      <c r="H646" s="23" t="s">
        <v>1545</v>
      </c>
      <c r="I646" s="22" t="s">
        <v>1954</v>
      </c>
      <c r="J646" s="22" t="s">
        <v>1556</v>
      </c>
      <c r="M646" s="22" t="s">
        <v>1</v>
      </c>
      <c r="N646" s="22" t="s">
        <v>1468</v>
      </c>
      <c r="O646" s="22" t="s">
        <v>1430</v>
      </c>
      <c r="P646" s="21">
        <v>71405</v>
      </c>
      <c r="Q646" s="22">
        <v>30</v>
      </c>
      <c r="R646" s="22">
        <v>8</v>
      </c>
      <c r="S646" s="22">
        <v>2</v>
      </c>
      <c r="T646" s="22" t="s">
        <v>330</v>
      </c>
      <c r="U646" s="22">
        <v>0.7</v>
      </c>
      <c r="V646" s="21">
        <v>0.7</v>
      </c>
      <c r="W646" s="25">
        <f t="shared" si="92"/>
        <v>902.85714285714289</v>
      </c>
      <c r="X646" s="25">
        <f t="shared" si="93"/>
        <v>336</v>
      </c>
      <c r="Y646" s="21">
        <v>1</v>
      </c>
      <c r="Z646" s="24">
        <f t="shared" si="94"/>
        <v>902.85714285714289</v>
      </c>
      <c r="AA646" s="24">
        <f t="shared" si="95"/>
        <v>336</v>
      </c>
      <c r="AE646" s="21"/>
      <c r="AF646" s="21" t="s">
        <v>247</v>
      </c>
      <c r="AJ646" s="21">
        <v>336</v>
      </c>
      <c r="AK646" s="21">
        <v>30</v>
      </c>
      <c r="AL646" s="22" t="s">
        <v>161</v>
      </c>
      <c r="AM646" s="22">
        <v>0.11</v>
      </c>
      <c r="AO646" s="22" t="s">
        <v>1447</v>
      </c>
      <c r="AP646" s="22" t="s">
        <v>1432</v>
      </c>
      <c r="AQ646" s="22" t="str">
        <f t="shared" si="96"/>
        <v>Microphytoplankton</v>
      </c>
      <c r="AR646" s="22">
        <v>1</v>
      </c>
      <c r="AS646" s="22">
        <v>0</v>
      </c>
      <c r="AT646" s="22">
        <v>1</v>
      </c>
      <c r="AU646" s="22">
        <v>0</v>
      </c>
      <c r="AV646" s="22">
        <v>0</v>
      </c>
      <c r="AW646" s="22">
        <v>0</v>
      </c>
      <c r="AX646" s="22">
        <v>1</v>
      </c>
      <c r="AY646" s="22">
        <v>0</v>
      </c>
    </row>
    <row r="647" spans="1:51">
      <c r="A647" s="21" t="s">
        <v>1999</v>
      </c>
      <c r="B647" s="22" t="s">
        <v>663</v>
      </c>
      <c r="C647" s="23" t="s">
        <v>822</v>
      </c>
      <c r="D647" s="23" t="s">
        <v>965</v>
      </c>
      <c r="E647" s="22" t="s">
        <v>62</v>
      </c>
      <c r="F647" s="23" t="s">
        <v>1434</v>
      </c>
      <c r="G647" s="23" t="s">
        <v>1473</v>
      </c>
      <c r="H647" s="23" t="s">
        <v>1545</v>
      </c>
      <c r="I647" s="22" t="s">
        <v>1954</v>
      </c>
      <c r="J647" s="21" t="s">
        <v>2000</v>
      </c>
      <c r="K647" s="21"/>
      <c r="L647" s="21"/>
      <c r="N647" s="22" t="s">
        <v>1456</v>
      </c>
      <c r="O647" s="22" t="s">
        <v>1430</v>
      </c>
      <c r="P647" s="22">
        <v>71435</v>
      </c>
      <c r="Q647" s="21">
        <v>19</v>
      </c>
      <c r="R647" s="21">
        <v>7</v>
      </c>
      <c r="S647" s="21">
        <v>3</v>
      </c>
      <c r="T647" s="22" t="s">
        <v>330</v>
      </c>
      <c r="U647" s="21">
        <v>0.7</v>
      </c>
      <c r="V647" s="21">
        <v>0.7</v>
      </c>
      <c r="W647" s="25">
        <f t="shared" si="92"/>
        <v>602.85714285714289</v>
      </c>
      <c r="X647" s="25">
        <f t="shared" si="93"/>
        <v>279.29999999999995</v>
      </c>
      <c r="Y647" s="21">
        <v>1</v>
      </c>
      <c r="Z647" s="24">
        <f t="shared" si="94"/>
        <v>602.85714285714289</v>
      </c>
      <c r="AA647" s="24">
        <f t="shared" si="95"/>
        <v>279.29999999999995</v>
      </c>
      <c r="AB647" s="21"/>
      <c r="AC647" s="21"/>
      <c r="AD647" s="21"/>
      <c r="AE647" s="21"/>
      <c r="AF647" s="21" t="s">
        <v>247</v>
      </c>
      <c r="AG647" s="21"/>
      <c r="AH647" s="24"/>
      <c r="AI647" s="24"/>
      <c r="AJ647" s="21">
        <v>279</v>
      </c>
      <c r="AK647" s="21">
        <v>19</v>
      </c>
      <c r="AL647" s="22" t="s">
        <v>161</v>
      </c>
      <c r="AM647" s="22">
        <v>0.11</v>
      </c>
      <c r="AO647" s="22" t="s">
        <v>1447</v>
      </c>
      <c r="AP647" s="22" t="s">
        <v>1432</v>
      </c>
      <c r="AQ647" s="22" t="str">
        <f t="shared" si="96"/>
        <v>Nanophytoplankton</v>
      </c>
      <c r="AR647" s="22">
        <v>1</v>
      </c>
      <c r="AS647" s="22">
        <v>0</v>
      </c>
      <c r="AT647" s="22">
        <v>1</v>
      </c>
      <c r="AU647" s="22">
        <v>0</v>
      </c>
      <c r="AV647" s="22">
        <v>0</v>
      </c>
      <c r="AW647" s="22">
        <v>0</v>
      </c>
      <c r="AX647" s="22">
        <v>1</v>
      </c>
      <c r="AY647" s="22">
        <v>0</v>
      </c>
    </row>
    <row r="648" spans="1:51">
      <c r="A648" s="21" t="s">
        <v>2001</v>
      </c>
      <c r="B648" s="22" t="s">
        <v>663</v>
      </c>
      <c r="C648" s="23" t="s">
        <v>822</v>
      </c>
      <c r="D648" s="23" t="s">
        <v>965</v>
      </c>
      <c r="E648" s="22" t="s">
        <v>62</v>
      </c>
      <c r="F648" s="23" t="s">
        <v>1434</v>
      </c>
      <c r="G648" s="23" t="s">
        <v>1473</v>
      </c>
      <c r="H648" s="23" t="s">
        <v>1545</v>
      </c>
      <c r="I648" s="22" t="s">
        <v>1954</v>
      </c>
      <c r="J648" s="21" t="s">
        <v>2002</v>
      </c>
      <c r="K648" s="21"/>
      <c r="L648" s="21"/>
      <c r="N648" s="22" t="s">
        <v>2003</v>
      </c>
      <c r="O648" s="22" t="s">
        <v>1430</v>
      </c>
      <c r="P648" s="21">
        <v>71491</v>
      </c>
      <c r="Q648" s="21">
        <v>50</v>
      </c>
      <c r="R648" s="21">
        <v>8</v>
      </c>
      <c r="S648" s="21">
        <v>3</v>
      </c>
      <c r="T648" s="22" t="s">
        <v>330</v>
      </c>
      <c r="U648" s="21">
        <v>0.6</v>
      </c>
      <c r="V648" s="21">
        <v>0.6</v>
      </c>
      <c r="W648" s="25">
        <f t="shared" si="92"/>
        <v>1913.3333333333335</v>
      </c>
      <c r="X648" s="25">
        <f t="shared" si="93"/>
        <v>720</v>
      </c>
      <c r="Y648" s="21">
        <v>1</v>
      </c>
      <c r="Z648" s="24">
        <f t="shared" si="94"/>
        <v>1913.3333333333335</v>
      </c>
      <c r="AA648" s="24">
        <f t="shared" si="95"/>
        <v>720</v>
      </c>
      <c r="AB648" s="21"/>
      <c r="AC648" s="21"/>
      <c r="AD648" s="21"/>
      <c r="AE648" s="21"/>
      <c r="AF648" s="21" t="s">
        <v>247</v>
      </c>
      <c r="AG648" s="21"/>
      <c r="AH648" s="24"/>
      <c r="AI648" s="24"/>
      <c r="AJ648" s="21">
        <v>720</v>
      </c>
      <c r="AK648" s="21">
        <v>50</v>
      </c>
      <c r="AL648" s="22" t="s">
        <v>161</v>
      </c>
      <c r="AM648" s="22">
        <v>0.11</v>
      </c>
      <c r="AO648" s="22" t="s">
        <v>1447</v>
      </c>
      <c r="AP648" s="22" t="s">
        <v>1432</v>
      </c>
      <c r="AQ648" s="22" t="str">
        <f t="shared" si="96"/>
        <v>Microphytoplankton</v>
      </c>
      <c r="AR648" s="22">
        <v>1</v>
      </c>
      <c r="AS648" s="22">
        <v>0</v>
      </c>
      <c r="AT648" s="22">
        <v>1</v>
      </c>
      <c r="AU648" s="22">
        <v>0</v>
      </c>
      <c r="AV648" s="22">
        <v>0</v>
      </c>
      <c r="AW648" s="22">
        <v>0</v>
      </c>
      <c r="AX648" s="22">
        <v>1</v>
      </c>
      <c r="AY648" s="22">
        <v>0</v>
      </c>
    </row>
    <row r="649" spans="1:51">
      <c r="A649" s="21" t="s">
        <v>2004</v>
      </c>
      <c r="B649" s="22" t="s">
        <v>663</v>
      </c>
      <c r="C649" s="23" t="s">
        <v>822</v>
      </c>
      <c r="D649" s="23" t="s">
        <v>965</v>
      </c>
      <c r="E649" s="22" t="s">
        <v>62</v>
      </c>
      <c r="F649" s="23" t="s">
        <v>1434</v>
      </c>
      <c r="G649" s="23" t="s">
        <v>1473</v>
      </c>
      <c r="H649" s="23" t="s">
        <v>1545</v>
      </c>
      <c r="I649" s="22" t="s">
        <v>1954</v>
      </c>
      <c r="J649" s="21" t="s">
        <v>2005</v>
      </c>
      <c r="K649" s="21"/>
      <c r="L649" s="21"/>
      <c r="N649" s="22" t="s">
        <v>694</v>
      </c>
      <c r="O649" s="22" t="s">
        <v>1430</v>
      </c>
      <c r="P649" s="21">
        <v>71465</v>
      </c>
      <c r="Q649" s="21">
        <v>31</v>
      </c>
      <c r="R649" s="21">
        <v>12</v>
      </c>
      <c r="S649" s="21">
        <v>3</v>
      </c>
      <c r="T649" s="22" t="s">
        <v>330</v>
      </c>
      <c r="U649" s="21">
        <v>0.6</v>
      </c>
      <c r="V649" s="21">
        <v>0.6</v>
      </c>
      <c r="W649" s="25">
        <f t="shared" si="92"/>
        <v>1670</v>
      </c>
      <c r="X649" s="25">
        <f t="shared" si="93"/>
        <v>669.6</v>
      </c>
      <c r="Y649" s="21">
        <v>1</v>
      </c>
      <c r="Z649" s="24">
        <f t="shared" si="94"/>
        <v>1670</v>
      </c>
      <c r="AA649" s="24">
        <f t="shared" si="95"/>
        <v>669.6</v>
      </c>
      <c r="AB649" s="21"/>
      <c r="AC649" s="21"/>
      <c r="AD649" s="21"/>
      <c r="AE649" s="21"/>
      <c r="AF649" s="21" t="s">
        <v>247</v>
      </c>
      <c r="AG649" s="21"/>
      <c r="AH649" s="24"/>
      <c r="AI649" s="24"/>
      <c r="AJ649" s="21">
        <v>670</v>
      </c>
      <c r="AK649" s="21">
        <v>31</v>
      </c>
      <c r="AL649" s="22" t="s">
        <v>161</v>
      </c>
      <c r="AM649" s="22">
        <v>0.11</v>
      </c>
      <c r="AO649" s="22" t="s">
        <v>1447</v>
      </c>
      <c r="AP649" s="22" t="s">
        <v>1432</v>
      </c>
      <c r="AQ649" s="22" t="str">
        <f t="shared" si="96"/>
        <v>Microphytoplankton</v>
      </c>
      <c r="AR649" s="22">
        <v>1</v>
      </c>
      <c r="AS649" s="22">
        <v>0</v>
      </c>
      <c r="AT649" s="22">
        <v>1</v>
      </c>
      <c r="AU649" s="22">
        <v>0</v>
      </c>
      <c r="AV649" s="22">
        <v>0</v>
      </c>
      <c r="AW649" s="22">
        <v>0</v>
      </c>
      <c r="AX649" s="22">
        <v>1</v>
      </c>
      <c r="AY649" s="22">
        <v>0</v>
      </c>
    </row>
    <row r="650" spans="1:51">
      <c r="A650" s="21" t="s">
        <v>2006</v>
      </c>
      <c r="B650" s="22" t="s">
        <v>663</v>
      </c>
      <c r="C650" s="23" t="s">
        <v>822</v>
      </c>
      <c r="D650" s="23" t="s">
        <v>965</v>
      </c>
      <c r="E650" s="22" t="s">
        <v>62</v>
      </c>
      <c r="F650" s="23" t="s">
        <v>1434</v>
      </c>
      <c r="G650" s="23" t="s">
        <v>1473</v>
      </c>
      <c r="H650" s="23" t="s">
        <v>2007</v>
      </c>
      <c r="I650" s="22" t="s">
        <v>2008</v>
      </c>
      <c r="J650" s="22" t="s">
        <v>2009</v>
      </c>
      <c r="N650" s="22" t="s">
        <v>2010</v>
      </c>
      <c r="O650" s="22" t="s">
        <v>1430</v>
      </c>
      <c r="P650" s="21">
        <v>73035</v>
      </c>
      <c r="Q650" s="21">
        <v>37</v>
      </c>
      <c r="R650" s="21">
        <v>21</v>
      </c>
      <c r="S650" s="21">
        <v>5</v>
      </c>
      <c r="T650" s="22" t="s">
        <v>330</v>
      </c>
      <c r="U650" s="21">
        <v>0.8</v>
      </c>
      <c r="V650" s="21">
        <v>0.8</v>
      </c>
      <c r="W650" s="25">
        <f t="shared" si="92"/>
        <v>2667.5</v>
      </c>
      <c r="X650" s="25">
        <f t="shared" si="93"/>
        <v>3108</v>
      </c>
      <c r="Y650" s="21">
        <v>1</v>
      </c>
      <c r="Z650" s="24">
        <f t="shared" si="94"/>
        <v>2667.5</v>
      </c>
      <c r="AA650" s="24">
        <f t="shared" si="95"/>
        <v>3108</v>
      </c>
      <c r="AB650" s="21"/>
      <c r="AC650" s="21"/>
      <c r="AD650" s="21"/>
      <c r="AE650" s="21"/>
      <c r="AF650" s="21" t="s">
        <v>247</v>
      </c>
      <c r="AG650" s="21"/>
      <c r="AH650" s="24"/>
      <c r="AI650" s="24"/>
      <c r="AJ650" s="21">
        <v>3100</v>
      </c>
      <c r="AK650" s="21">
        <v>37</v>
      </c>
      <c r="AL650" s="22" t="s">
        <v>161</v>
      </c>
      <c r="AM650" s="22">
        <v>0.11</v>
      </c>
      <c r="AO650" s="22" t="s">
        <v>1447</v>
      </c>
      <c r="AP650" s="22" t="s">
        <v>1432</v>
      </c>
      <c r="AQ650" s="22" t="str">
        <f t="shared" si="96"/>
        <v>Microphytoplankton</v>
      </c>
      <c r="AR650" s="22">
        <v>1</v>
      </c>
      <c r="AS650" s="22">
        <v>0</v>
      </c>
      <c r="AT650" s="22">
        <v>1</v>
      </c>
      <c r="AU650" s="22">
        <v>0</v>
      </c>
      <c r="AV650" s="22">
        <v>0</v>
      </c>
      <c r="AW650" s="22">
        <v>0</v>
      </c>
      <c r="AX650" s="22">
        <v>1</v>
      </c>
      <c r="AY650" s="22">
        <v>0</v>
      </c>
    </row>
    <row r="651" spans="1:51">
      <c r="A651" s="21" t="s">
        <v>2011</v>
      </c>
      <c r="B651" s="22" t="s">
        <v>663</v>
      </c>
      <c r="C651" s="23" t="s">
        <v>822</v>
      </c>
      <c r="D651" s="23" t="s">
        <v>965</v>
      </c>
      <c r="E651" s="22" t="s">
        <v>62</v>
      </c>
      <c r="F651" s="23" t="s">
        <v>1434</v>
      </c>
      <c r="G651" s="23" t="s">
        <v>1473</v>
      </c>
      <c r="H651" s="23" t="s">
        <v>2007</v>
      </c>
      <c r="I651" s="22" t="s">
        <v>2008</v>
      </c>
      <c r="J651" s="22" t="s">
        <v>2012</v>
      </c>
      <c r="N651" s="22" t="s">
        <v>1485</v>
      </c>
      <c r="O651" s="22" t="s">
        <v>1430</v>
      </c>
      <c r="P651" s="21">
        <v>73036</v>
      </c>
      <c r="Q651" s="21">
        <v>23</v>
      </c>
      <c r="R651" s="21">
        <v>6.5</v>
      </c>
      <c r="S651" s="21">
        <v>2</v>
      </c>
      <c r="T651" s="22" t="s">
        <v>330</v>
      </c>
      <c r="U651" s="21">
        <v>0.8</v>
      </c>
      <c r="V651" s="21">
        <v>0.8</v>
      </c>
      <c r="W651" s="25">
        <f t="shared" si="92"/>
        <v>521.25</v>
      </c>
      <c r="X651" s="25">
        <f t="shared" si="93"/>
        <v>239.20000000000002</v>
      </c>
      <c r="Y651" s="21">
        <v>1</v>
      </c>
      <c r="Z651" s="24">
        <f t="shared" si="94"/>
        <v>521.25</v>
      </c>
      <c r="AA651" s="24">
        <f t="shared" si="95"/>
        <v>239.20000000000002</v>
      </c>
      <c r="AB651" s="21"/>
      <c r="AC651" s="21"/>
      <c r="AD651" s="21"/>
      <c r="AE651" s="21"/>
      <c r="AF651" s="21" t="s">
        <v>247</v>
      </c>
      <c r="AG651" s="21"/>
      <c r="AH651" s="24"/>
      <c r="AI651" s="24"/>
      <c r="AJ651" s="21">
        <v>239</v>
      </c>
      <c r="AK651" s="21">
        <v>23</v>
      </c>
      <c r="AL651" s="22" t="s">
        <v>161</v>
      </c>
      <c r="AM651" s="22">
        <v>0.11</v>
      </c>
      <c r="AO651" s="22" t="s">
        <v>1447</v>
      </c>
      <c r="AP651" s="22" t="s">
        <v>1432</v>
      </c>
      <c r="AQ651" s="22" t="str">
        <f t="shared" si="96"/>
        <v>Microphytoplankton</v>
      </c>
      <c r="AR651" s="22">
        <v>1</v>
      </c>
      <c r="AS651" s="22">
        <v>0</v>
      </c>
      <c r="AT651" s="22">
        <v>1</v>
      </c>
      <c r="AU651" s="22">
        <v>0</v>
      </c>
      <c r="AV651" s="22">
        <v>0</v>
      </c>
      <c r="AW651" s="22">
        <v>0</v>
      </c>
      <c r="AX651" s="22">
        <v>1</v>
      </c>
      <c r="AY651" s="22">
        <v>0</v>
      </c>
    </row>
    <row r="652" spans="1:51">
      <c r="A652" s="21" t="s">
        <v>2013</v>
      </c>
      <c r="B652" s="22" t="s">
        <v>663</v>
      </c>
      <c r="C652" s="23" t="s">
        <v>822</v>
      </c>
      <c r="D652" s="23" t="s">
        <v>965</v>
      </c>
      <c r="E652" s="22" t="s">
        <v>62</v>
      </c>
      <c r="F652" s="23" t="s">
        <v>1434</v>
      </c>
      <c r="G652" s="23" t="s">
        <v>1473</v>
      </c>
      <c r="H652" s="23" t="s">
        <v>2007</v>
      </c>
      <c r="I652" s="22" t="s">
        <v>2008</v>
      </c>
      <c r="J652" s="22" t="s">
        <v>2014</v>
      </c>
      <c r="N652" s="22" t="s">
        <v>1806</v>
      </c>
      <c r="O652" s="22" t="s">
        <v>1430</v>
      </c>
      <c r="P652" s="21">
        <v>73020</v>
      </c>
      <c r="Q652" s="21">
        <v>35</v>
      </c>
      <c r="R652" s="21">
        <v>14</v>
      </c>
      <c r="S652" s="21">
        <v>10</v>
      </c>
      <c r="T652" s="22" t="s">
        <v>330</v>
      </c>
      <c r="U652" s="21">
        <v>0.8</v>
      </c>
      <c r="V652" s="21">
        <v>0.8</v>
      </c>
      <c r="W652" s="25">
        <f t="shared" si="92"/>
        <v>2450</v>
      </c>
      <c r="X652" s="25">
        <f t="shared" si="93"/>
        <v>3920</v>
      </c>
      <c r="Y652" s="21">
        <v>1</v>
      </c>
      <c r="Z652" s="24">
        <f t="shared" si="94"/>
        <v>2450</v>
      </c>
      <c r="AA652" s="24">
        <f t="shared" si="95"/>
        <v>3920</v>
      </c>
      <c r="AB652" s="21"/>
      <c r="AC652" s="21"/>
      <c r="AD652" s="21"/>
      <c r="AE652" s="21"/>
      <c r="AF652" s="21" t="s">
        <v>247</v>
      </c>
      <c r="AG652" s="21"/>
      <c r="AH652" s="24"/>
      <c r="AI652" s="24"/>
      <c r="AJ652" s="21">
        <v>3920</v>
      </c>
      <c r="AK652" s="21">
        <v>35</v>
      </c>
      <c r="AL652" s="22" t="s">
        <v>161</v>
      </c>
      <c r="AM652" s="22">
        <v>0.11</v>
      </c>
      <c r="AO652" s="22" t="s">
        <v>1447</v>
      </c>
      <c r="AP652" s="22" t="s">
        <v>1432</v>
      </c>
      <c r="AQ652" s="22" t="str">
        <f t="shared" si="96"/>
        <v>Microphytoplankton</v>
      </c>
      <c r="AR652" s="22">
        <v>1</v>
      </c>
      <c r="AS652" s="22">
        <v>0</v>
      </c>
      <c r="AT652" s="22">
        <v>1</v>
      </c>
      <c r="AU652" s="22">
        <v>0</v>
      </c>
      <c r="AV652" s="22">
        <v>0</v>
      </c>
      <c r="AW652" s="22">
        <v>0</v>
      </c>
      <c r="AX652" s="22">
        <v>1</v>
      </c>
      <c r="AY652" s="22">
        <v>0</v>
      </c>
    </row>
    <row r="653" spans="1:51">
      <c r="A653" s="21" t="s">
        <v>2015</v>
      </c>
      <c r="B653" s="22" t="s">
        <v>663</v>
      </c>
      <c r="C653" s="23" t="s">
        <v>822</v>
      </c>
      <c r="D653" s="23" t="s">
        <v>965</v>
      </c>
      <c r="E653" s="22" t="s">
        <v>62</v>
      </c>
      <c r="F653" s="23" t="s">
        <v>1434</v>
      </c>
      <c r="G653" s="23" t="s">
        <v>1473</v>
      </c>
      <c r="H653" s="23" t="s">
        <v>2007</v>
      </c>
      <c r="I653" s="22" t="s">
        <v>2008</v>
      </c>
      <c r="J653" s="22" t="s">
        <v>2016</v>
      </c>
      <c r="N653" s="22" t="s">
        <v>1806</v>
      </c>
      <c r="O653" s="22" t="s">
        <v>1430</v>
      </c>
      <c r="P653" s="21">
        <v>73030</v>
      </c>
      <c r="Q653" s="21">
        <v>37</v>
      </c>
      <c r="R653" s="21">
        <v>13</v>
      </c>
      <c r="S653" s="21">
        <v>9</v>
      </c>
      <c r="T653" s="22" t="s">
        <v>330</v>
      </c>
      <c r="U653" s="21">
        <v>0.7</v>
      </c>
      <c r="V653" s="21">
        <v>0.7</v>
      </c>
      <c r="W653" s="25">
        <f t="shared" si="92"/>
        <v>2660</v>
      </c>
      <c r="X653" s="25">
        <f t="shared" si="93"/>
        <v>3030.2999999999997</v>
      </c>
      <c r="Y653" s="21">
        <v>1</v>
      </c>
      <c r="Z653" s="24">
        <f t="shared" si="94"/>
        <v>2660</v>
      </c>
      <c r="AA653" s="24">
        <f t="shared" si="95"/>
        <v>3030.2999999999997</v>
      </c>
      <c r="AB653" s="21"/>
      <c r="AC653" s="21"/>
      <c r="AD653" s="21"/>
      <c r="AE653" s="21"/>
      <c r="AF653" s="21" t="s">
        <v>247</v>
      </c>
      <c r="AG653" s="21"/>
      <c r="AH653" s="24"/>
      <c r="AI653" s="24"/>
      <c r="AJ653" s="21">
        <v>3030.3</v>
      </c>
      <c r="AK653" s="21">
        <v>37</v>
      </c>
      <c r="AL653" s="22" t="s">
        <v>161</v>
      </c>
      <c r="AM653" s="22">
        <v>0.11</v>
      </c>
      <c r="AO653" s="22" t="s">
        <v>1447</v>
      </c>
      <c r="AP653" s="22" t="s">
        <v>1432</v>
      </c>
      <c r="AQ653" s="22" t="str">
        <f t="shared" si="96"/>
        <v>Microphytoplankton</v>
      </c>
      <c r="AR653" s="22">
        <v>1</v>
      </c>
      <c r="AS653" s="22">
        <v>0</v>
      </c>
      <c r="AT653" s="22">
        <v>1</v>
      </c>
      <c r="AU653" s="22">
        <v>0</v>
      </c>
      <c r="AV653" s="22">
        <v>0</v>
      </c>
      <c r="AW653" s="22">
        <v>0</v>
      </c>
      <c r="AX653" s="22">
        <v>1</v>
      </c>
      <c r="AY653" s="22">
        <v>0</v>
      </c>
    </row>
    <row r="654" spans="1:51">
      <c r="A654" s="21" t="s">
        <v>2017</v>
      </c>
      <c r="B654" s="22" t="s">
        <v>663</v>
      </c>
      <c r="C654" s="23" t="s">
        <v>822</v>
      </c>
      <c r="D654" s="23" t="s">
        <v>965</v>
      </c>
      <c r="E654" s="22" t="s">
        <v>62</v>
      </c>
      <c r="F654" s="23" t="s">
        <v>1434</v>
      </c>
      <c r="G654" s="23" t="s">
        <v>1473</v>
      </c>
      <c r="H654" s="23" t="s">
        <v>2007</v>
      </c>
      <c r="I654" s="22" t="s">
        <v>2008</v>
      </c>
      <c r="J654" s="22" t="s">
        <v>211</v>
      </c>
      <c r="M654" s="22" t="s">
        <v>1</v>
      </c>
      <c r="N654" s="22" t="s">
        <v>1056</v>
      </c>
      <c r="O654" s="22" t="s">
        <v>1430</v>
      </c>
      <c r="P654" s="22">
        <v>73000</v>
      </c>
      <c r="Q654" s="21">
        <v>40</v>
      </c>
      <c r="R654" s="21">
        <v>17</v>
      </c>
      <c r="S654" s="21">
        <v>4</v>
      </c>
      <c r="T654" s="22" t="s">
        <v>330</v>
      </c>
      <c r="U654" s="21">
        <v>0.7</v>
      </c>
      <c r="V654" s="21">
        <v>0.7</v>
      </c>
      <c r="W654" s="25">
        <f t="shared" si="92"/>
        <v>2594.2857142857147</v>
      </c>
      <c r="X654" s="25">
        <f t="shared" si="93"/>
        <v>1903.9999999999998</v>
      </c>
      <c r="Y654" s="21">
        <v>1</v>
      </c>
      <c r="Z654" s="24">
        <f t="shared" si="94"/>
        <v>2594.2857142857147</v>
      </c>
      <c r="AA654" s="24">
        <f t="shared" si="95"/>
        <v>1903.9999999999998</v>
      </c>
      <c r="AB654" s="21"/>
      <c r="AC654" s="21"/>
      <c r="AD654" s="21"/>
      <c r="AE654" s="21"/>
      <c r="AF654" s="21" t="s">
        <v>247</v>
      </c>
      <c r="AG654" s="21"/>
      <c r="AH654" s="24"/>
      <c r="AI654" s="24"/>
      <c r="AJ654" s="21">
        <v>1904</v>
      </c>
      <c r="AK654" s="21">
        <v>40</v>
      </c>
      <c r="AL654" s="22" t="s">
        <v>161</v>
      </c>
      <c r="AM654" s="22">
        <v>0.11</v>
      </c>
      <c r="AO654" s="22" t="s">
        <v>1447</v>
      </c>
      <c r="AP654" s="22" t="s">
        <v>1432</v>
      </c>
      <c r="AQ654" s="22" t="str">
        <f t="shared" si="96"/>
        <v>Microphytoplankton</v>
      </c>
      <c r="AR654" s="22">
        <v>1</v>
      </c>
      <c r="AS654" s="22">
        <v>0</v>
      </c>
      <c r="AT654" s="22">
        <v>1</v>
      </c>
      <c r="AU654" s="22">
        <v>0</v>
      </c>
      <c r="AV654" s="22">
        <v>0</v>
      </c>
      <c r="AW654" s="22">
        <v>0</v>
      </c>
      <c r="AX654" s="22">
        <v>1</v>
      </c>
      <c r="AY654" s="22">
        <v>0</v>
      </c>
    </row>
    <row r="655" spans="1:51">
      <c r="A655" s="21" t="s">
        <v>2018</v>
      </c>
      <c r="B655" s="22" t="s">
        <v>663</v>
      </c>
      <c r="C655" s="23" t="s">
        <v>822</v>
      </c>
      <c r="D655" s="23" t="s">
        <v>965</v>
      </c>
      <c r="E655" s="22" t="s">
        <v>62</v>
      </c>
      <c r="F655" s="23" t="s">
        <v>1434</v>
      </c>
      <c r="G655" s="23" t="s">
        <v>1719</v>
      </c>
      <c r="H655" s="23" t="s">
        <v>1720</v>
      </c>
      <c r="I655" s="22" t="s">
        <v>43</v>
      </c>
      <c r="J655" s="21" t="s">
        <v>564</v>
      </c>
      <c r="K655" s="21"/>
      <c r="L655" s="21"/>
      <c r="N655" s="22" t="s">
        <v>2019</v>
      </c>
      <c r="O655" s="22" t="s">
        <v>1430</v>
      </c>
      <c r="P655" s="21">
        <v>71910</v>
      </c>
      <c r="Q655" s="21">
        <v>45</v>
      </c>
      <c r="R655" s="21">
        <v>3</v>
      </c>
      <c r="S655" s="21">
        <v>3</v>
      </c>
      <c r="T655" s="22" t="s">
        <v>330</v>
      </c>
      <c r="U655" s="21">
        <v>0.7</v>
      </c>
      <c r="V655" s="21">
        <v>0.7</v>
      </c>
      <c r="W655" s="25">
        <f t="shared" si="92"/>
        <v>797.14285714285722</v>
      </c>
      <c r="X655" s="25">
        <f t="shared" si="93"/>
        <v>283.5</v>
      </c>
      <c r="Y655" s="21">
        <v>1</v>
      </c>
      <c r="Z655" s="24">
        <f t="shared" si="94"/>
        <v>797.14285714285722</v>
      </c>
      <c r="AA655" s="24">
        <f t="shared" si="95"/>
        <v>283.5</v>
      </c>
      <c r="AB655" s="21"/>
      <c r="AC655" s="21"/>
      <c r="AD655" s="21"/>
      <c r="AE655" s="21"/>
      <c r="AF655" s="21" t="s">
        <v>247</v>
      </c>
      <c r="AG655" s="21"/>
      <c r="AH655" s="24"/>
      <c r="AI655" s="24"/>
      <c r="AJ655" s="21">
        <v>283.5</v>
      </c>
      <c r="AK655" s="21">
        <v>45</v>
      </c>
      <c r="AL655" s="22" t="s">
        <v>161</v>
      </c>
      <c r="AM655" s="22">
        <v>0.11</v>
      </c>
      <c r="AN655" s="22" t="s">
        <v>1762</v>
      </c>
      <c r="AO655" s="22" t="s">
        <v>1762</v>
      </c>
      <c r="AP655" s="22" t="s">
        <v>1432</v>
      </c>
      <c r="AQ655" s="22" t="str">
        <f t="shared" si="96"/>
        <v>Microphytoplankton</v>
      </c>
      <c r="AR655" s="22">
        <v>1</v>
      </c>
      <c r="AS655" s="22">
        <v>0</v>
      </c>
      <c r="AT655" s="22">
        <v>1</v>
      </c>
      <c r="AU655" s="22">
        <v>0</v>
      </c>
      <c r="AV655" s="22">
        <v>0</v>
      </c>
      <c r="AW655" s="22">
        <v>0</v>
      </c>
      <c r="AX655" s="22">
        <v>1</v>
      </c>
      <c r="AY655" s="22">
        <v>0</v>
      </c>
    </row>
    <row r="656" spans="1:51">
      <c r="A656" s="21" t="s">
        <v>2020</v>
      </c>
      <c r="B656" s="22" t="s">
        <v>663</v>
      </c>
      <c r="C656" s="23" t="s">
        <v>822</v>
      </c>
      <c r="D656" s="23" t="s">
        <v>965</v>
      </c>
      <c r="E656" s="22" t="s">
        <v>62</v>
      </c>
      <c r="F656" s="23" t="s">
        <v>1434</v>
      </c>
      <c r="G656" s="23" t="s">
        <v>1719</v>
      </c>
      <c r="H656" s="23" t="s">
        <v>1720</v>
      </c>
      <c r="I656" s="22" t="s">
        <v>43</v>
      </c>
      <c r="J656" s="21" t="s">
        <v>2021</v>
      </c>
      <c r="K656" s="21"/>
      <c r="L656" s="21"/>
      <c r="N656" s="22" t="s">
        <v>1542</v>
      </c>
      <c r="O656" s="22" t="s">
        <v>1430</v>
      </c>
      <c r="P656" s="21">
        <v>71955</v>
      </c>
      <c r="Q656" s="21">
        <v>19</v>
      </c>
      <c r="R656" s="21">
        <v>4</v>
      </c>
      <c r="S656" s="21">
        <v>2.5</v>
      </c>
      <c r="T656" s="22" t="s">
        <v>330</v>
      </c>
      <c r="U656" s="21">
        <v>0.8</v>
      </c>
      <c r="V656" s="21">
        <v>0.8</v>
      </c>
      <c r="W656" s="25">
        <f t="shared" si="92"/>
        <v>333.75</v>
      </c>
      <c r="X656" s="25">
        <f t="shared" si="93"/>
        <v>152</v>
      </c>
      <c r="Y656" s="21">
        <v>1</v>
      </c>
      <c r="Z656" s="24">
        <f t="shared" si="94"/>
        <v>333.75</v>
      </c>
      <c r="AA656" s="24">
        <f t="shared" si="95"/>
        <v>152</v>
      </c>
      <c r="AB656" s="21"/>
      <c r="AC656" s="21"/>
      <c r="AD656" s="21"/>
      <c r="AE656" s="21"/>
      <c r="AF656" s="21" t="s">
        <v>247</v>
      </c>
      <c r="AG656" s="21"/>
      <c r="AH656" s="24"/>
      <c r="AI656" s="24"/>
      <c r="AJ656" s="21">
        <v>152</v>
      </c>
      <c r="AK656" s="21">
        <v>19</v>
      </c>
      <c r="AL656" s="22" t="s">
        <v>161</v>
      </c>
      <c r="AM656" s="22">
        <v>0.11</v>
      </c>
      <c r="AN656" s="22" t="s">
        <v>1762</v>
      </c>
      <c r="AO656" s="22" t="s">
        <v>1447</v>
      </c>
      <c r="AP656" s="22" t="s">
        <v>1432</v>
      </c>
      <c r="AQ656" s="22" t="str">
        <f t="shared" si="96"/>
        <v>Nanophytoplankton</v>
      </c>
      <c r="AR656" s="22">
        <v>1</v>
      </c>
      <c r="AS656" s="22">
        <v>0</v>
      </c>
      <c r="AT656" s="22">
        <v>1</v>
      </c>
      <c r="AU656" s="22">
        <v>0</v>
      </c>
      <c r="AV656" s="22">
        <v>0</v>
      </c>
      <c r="AW656" s="22">
        <v>0</v>
      </c>
      <c r="AX656" s="22">
        <v>1</v>
      </c>
      <c r="AY656" s="22">
        <v>0</v>
      </c>
    </row>
    <row r="657" spans="1:51">
      <c r="A657" s="21" t="s">
        <v>2022</v>
      </c>
      <c r="B657" s="22" t="s">
        <v>663</v>
      </c>
      <c r="C657" s="23" t="s">
        <v>822</v>
      </c>
      <c r="D657" s="23" t="s">
        <v>965</v>
      </c>
      <c r="E657" s="22" t="s">
        <v>62</v>
      </c>
      <c r="F657" s="23" t="s">
        <v>1434</v>
      </c>
      <c r="G657" s="23" t="s">
        <v>1719</v>
      </c>
      <c r="H657" s="23" t="s">
        <v>1720</v>
      </c>
      <c r="I657" s="22" t="s">
        <v>43</v>
      </c>
      <c r="J657" s="21" t="s">
        <v>2023</v>
      </c>
      <c r="K657" s="21"/>
      <c r="L657" s="21"/>
      <c r="N657" s="22" t="s">
        <v>1542</v>
      </c>
      <c r="O657" s="22" t="s">
        <v>1430</v>
      </c>
      <c r="P657" s="21">
        <v>71956</v>
      </c>
      <c r="Q657" s="21">
        <v>27.5</v>
      </c>
      <c r="R657" s="21">
        <v>3</v>
      </c>
      <c r="S657" s="21">
        <v>2.5</v>
      </c>
      <c r="T657" s="22" t="s">
        <v>330</v>
      </c>
      <c r="U657" s="21">
        <v>0.8</v>
      </c>
      <c r="V657" s="21">
        <v>0.8</v>
      </c>
      <c r="W657" s="25">
        <f t="shared" si="92"/>
        <v>396.875</v>
      </c>
      <c r="X657" s="25">
        <f t="shared" si="93"/>
        <v>165</v>
      </c>
      <c r="Y657" s="21">
        <v>1</v>
      </c>
      <c r="Z657" s="24">
        <f t="shared" si="94"/>
        <v>396.875</v>
      </c>
      <c r="AA657" s="24">
        <f t="shared" si="95"/>
        <v>165</v>
      </c>
      <c r="AB657" s="21"/>
      <c r="AC657" s="21"/>
      <c r="AD657" s="21"/>
      <c r="AE657" s="21"/>
      <c r="AF657" s="21"/>
      <c r="AG657" s="21"/>
      <c r="AH657" s="24"/>
      <c r="AI657" s="24"/>
      <c r="AJ657" s="21">
        <v>165</v>
      </c>
      <c r="AK657" s="21">
        <v>27.5</v>
      </c>
      <c r="AL657" s="22" t="s">
        <v>161</v>
      </c>
      <c r="AM657" s="22">
        <v>0.11</v>
      </c>
      <c r="AN657" s="22" t="s">
        <v>1762</v>
      </c>
      <c r="AO657" s="22" t="s">
        <v>1447</v>
      </c>
      <c r="AP657" s="22" t="s">
        <v>1432</v>
      </c>
      <c r="AQ657" s="22" t="str">
        <f t="shared" si="96"/>
        <v>Microphytoplankton</v>
      </c>
      <c r="AR657" s="22">
        <v>1</v>
      </c>
      <c r="AS657" s="22">
        <v>0</v>
      </c>
      <c r="AT657" s="22">
        <v>1</v>
      </c>
      <c r="AU657" s="22">
        <v>0</v>
      </c>
      <c r="AV657" s="22">
        <v>0</v>
      </c>
      <c r="AW657" s="22">
        <v>0</v>
      </c>
      <c r="AX657" s="22">
        <v>1</v>
      </c>
      <c r="AY657" s="22">
        <v>0</v>
      </c>
    </row>
    <row r="658" spans="1:51">
      <c r="A658" s="21" t="s">
        <v>2024</v>
      </c>
      <c r="B658" s="22" t="s">
        <v>663</v>
      </c>
      <c r="C658" s="23" t="s">
        <v>822</v>
      </c>
      <c r="D658" s="23" t="s">
        <v>965</v>
      </c>
      <c r="E658" s="22" t="s">
        <v>62</v>
      </c>
      <c r="F658" s="23" t="s">
        <v>1434</v>
      </c>
      <c r="G658" s="23" t="s">
        <v>1719</v>
      </c>
      <c r="H658" s="23" t="s">
        <v>1720</v>
      </c>
      <c r="I658" s="22" t="s">
        <v>43</v>
      </c>
      <c r="J658" s="21" t="s">
        <v>2025</v>
      </c>
      <c r="K658" s="21"/>
      <c r="L658" s="21"/>
      <c r="N658" s="22" t="s">
        <v>2026</v>
      </c>
      <c r="O658" s="22" t="s">
        <v>1430</v>
      </c>
      <c r="P658" s="21">
        <v>71961</v>
      </c>
      <c r="Q658" s="21">
        <v>145</v>
      </c>
      <c r="R658" s="21">
        <v>13</v>
      </c>
      <c r="S658" s="21">
        <v>4.5</v>
      </c>
      <c r="T658" s="22" t="s">
        <v>330</v>
      </c>
      <c r="U658" s="21">
        <v>0.9</v>
      </c>
      <c r="V658" s="21">
        <v>0.9</v>
      </c>
      <c r="W658" s="25">
        <f t="shared" si="92"/>
        <v>5768.8888888888887</v>
      </c>
      <c r="X658" s="25">
        <f t="shared" si="93"/>
        <v>7634.25</v>
      </c>
      <c r="Y658" s="21">
        <v>1</v>
      </c>
      <c r="Z658" s="24">
        <f t="shared" si="94"/>
        <v>5768.8888888888887</v>
      </c>
      <c r="AA658" s="24">
        <f t="shared" si="95"/>
        <v>7634.25</v>
      </c>
      <c r="AB658" s="21"/>
      <c r="AC658" s="21"/>
      <c r="AD658" s="21"/>
      <c r="AE658" s="21"/>
      <c r="AF658" s="21" t="s">
        <v>247</v>
      </c>
      <c r="AG658" s="21"/>
      <c r="AH658" s="24"/>
      <c r="AI658" s="24"/>
      <c r="AJ658" s="21">
        <v>7634.2</v>
      </c>
      <c r="AK658" s="21">
        <v>145</v>
      </c>
      <c r="AL658" s="22" t="s">
        <v>161</v>
      </c>
      <c r="AM658" s="22">
        <v>0.11</v>
      </c>
      <c r="AN658" s="22" t="s">
        <v>1762</v>
      </c>
      <c r="AO658" s="22" t="s">
        <v>1447</v>
      </c>
      <c r="AP658" s="22" t="s">
        <v>1432</v>
      </c>
      <c r="AQ658" s="22" t="str">
        <f t="shared" si="96"/>
        <v>Microphytoplankton</v>
      </c>
      <c r="AR658" s="22">
        <v>1</v>
      </c>
      <c r="AS658" s="22">
        <v>0</v>
      </c>
      <c r="AT658" s="22">
        <v>1</v>
      </c>
      <c r="AU658" s="22">
        <v>0</v>
      </c>
      <c r="AV658" s="22">
        <v>0</v>
      </c>
      <c r="AW658" s="22">
        <v>0</v>
      </c>
      <c r="AX658" s="22">
        <v>1</v>
      </c>
      <c r="AY658" s="22">
        <v>0</v>
      </c>
    </row>
    <row r="659" spans="1:51">
      <c r="A659" s="21" t="s">
        <v>2027</v>
      </c>
      <c r="B659" s="22" t="s">
        <v>663</v>
      </c>
      <c r="C659" s="23" t="s">
        <v>822</v>
      </c>
      <c r="D659" s="23" t="s">
        <v>965</v>
      </c>
      <c r="E659" s="22" t="s">
        <v>62</v>
      </c>
      <c r="F659" s="23" t="s">
        <v>1434</v>
      </c>
      <c r="G659" s="23" t="s">
        <v>1719</v>
      </c>
      <c r="H659" s="23" t="s">
        <v>1720</v>
      </c>
      <c r="I659" s="22" t="s">
        <v>43</v>
      </c>
      <c r="J659" s="21" t="s">
        <v>2028</v>
      </c>
      <c r="K659" s="21"/>
      <c r="L659" s="21"/>
      <c r="N659" s="22" t="s">
        <v>2029</v>
      </c>
      <c r="O659" s="22" t="s">
        <v>1430</v>
      </c>
      <c r="P659" s="21">
        <v>71990</v>
      </c>
      <c r="Q659" s="21">
        <v>86</v>
      </c>
      <c r="R659" s="21">
        <v>22</v>
      </c>
      <c r="S659" s="21">
        <v>10</v>
      </c>
      <c r="T659" s="22" t="s">
        <v>330</v>
      </c>
      <c r="U659" s="21">
        <v>0.8</v>
      </c>
      <c r="V659" s="21">
        <v>0.8</v>
      </c>
      <c r="W659" s="25">
        <f t="shared" si="92"/>
        <v>7430</v>
      </c>
      <c r="X659" s="25">
        <f t="shared" si="93"/>
        <v>15136</v>
      </c>
      <c r="Y659" s="21">
        <v>1</v>
      </c>
      <c r="Z659" s="24">
        <f t="shared" si="94"/>
        <v>7430</v>
      </c>
      <c r="AA659" s="24">
        <f t="shared" si="95"/>
        <v>15136</v>
      </c>
      <c r="AB659" s="21"/>
      <c r="AC659" s="21"/>
      <c r="AD659" s="21"/>
      <c r="AE659" s="21"/>
      <c r="AF659" s="21" t="s">
        <v>247</v>
      </c>
      <c r="AG659" s="21"/>
      <c r="AH659" s="24"/>
      <c r="AI659" s="24"/>
      <c r="AJ659" s="21">
        <v>15136</v>
      </c>
      <c r="AK659" s="21">
        <v>86</v>
      </c>
      <c r="AL659" s="22" t="s">
        <v>161</v>
      </c>
      <c r="AM659" s="22">
        <v>0.11</v>
      </c>
      <c r="AN659" s="22" t="s">
        <v>1762</v>
      </c>
      <c r="AO659" s="22" t="s">
        <v>1447</v>
      </c>
      <c r="AP659" s="22" t="s">
        <v>1432</v>
      </c>
      <c r="AQ659" s="22" t="str">
        <f t="shared" si="96"/>
        <v>Microphytoplankton</v>
      </c>
      <c r="AR659" s="22">
        <v>1</v>
      </c>
      <c r="AS659" s="22">
        <v>0</v>
      </c>
      <c r="AT659" s="22">
        <v>1</v>
      </c>
      <c r="AU659" s="22">
        <v>0</v>
      </c>
      <c r="AV659" s="22">
        <v>0</v>
      </c>
      <c r="AW659" s="22">
        <v>0</v>
      </c>
      <c r="AX659" s="22">
        <v>1</v>
      </c>
      <c r="AY659" s="22">
        <v>0</v>
      </c>
    </row>
    <row r="660" spans="1:51">
      <c r="A660" s="21" t="s">
        <v>2030</v>
      </c>
      <c r="B660" s="22" t="s">
        <v>663</v>
      </c>
      <c r="C660" s="23" t="s">
        <v>822</v>
      </c>
      <c r="D660" s="23" t="s">
        <v>965</v>
      </c>
      <c r="E660" s="22" t="s">
        <v>62</v>
      </c>
      <c r="F660" s="23" t="s">
        <v>1434</v>
      </c>
      <c r="G660" s="23" t="s">
        <v>1719</v>
      </c>
      <c r="H660" s="23" t="s">
        <v>1720</v>
      </c>
      <c r="I660" s="22" t="s">
        <v>43</v>
      </c>
      <c r="J660" s="21" t="s">
        <v>1375</v>
      </c>
      <c r="K660" s="21"/>
      <c r="L660" s="21"/>
      <c r="N660" s="22" t="s">
        <v>2031</v>
      </c>
      <c r="O660" s="22" t="s">
        <v>1430</v>
      </c>
      <c r="P660" s="21">
        <v>71965</v>
      </c>
      <c r="Q660" s="22">
        <v>42</v>
      </c>
      <c r="R660" s="22">
        <v>7.5</v>
      </c>
      <c r="S660" s="22">
        <v>3.5</v>
      </c>
      <c r="T660" s="22" t="s">
        <v>330</v>
      </c>
      <c r="U660" s="22">
        <v>0.8</v>
      </c>
      <c r="V660" s="21">
        <v>0.8</v>
      </c>
      <c r="W660" s="25">
        <f t="shared" si="92"/>
        <v>1220.625</v>
      </c>
      <c r="X660" s="25">
        <f t="shared" si="93"/>
        <v>882</v>
      </c>
      <c r="Y660" s="21">
        <v>1</v>
      </c>
      <c r="Z660" s="24">
        <f t="shared" si="94"/>
        <v>1220.625</v>
      </c>
      <c r="AA660" s="24">
        <f t="shared" si="95"/>
        <v>882</v>
      </c>
      <c r="AE660" s="21"/>
      <c r="AF660" s="21" t="s">
        <v>247</v>
      </c>
      <c r="AJ660" s="21">
        <v>882</v>
      </c>
      <c r="AK660" s="21">
        <v>42</v>
      </c>
      <c r="AL660" s="22" t="s">
        <v>161</v>
      </c>
      <c r="AM660" s="22">
        <v>0.11</v>
      </c>
      <c r="AN660" s="22" t="s">
        <v>1762</v>
      </c>
      <c r="AO660" s="22" t="s">
        <v>1447</v>
      </c>
      <c r="AP660" s="22" t="s">
        <v>1432</v>
      </c>
      <c r="AQ660" s="22" t="str">
        <f t="shared" si="96"/>
        <v>Microphytoplankton</v>
      </c>
      <c r="AR660" s="22">
        <v>1</v>
      </c>
      <c r="AS660" s="22">
        <v>0</v>
      </c>
      <c r="AT660" s="22">
        <v>1</v>
      </c>
      <c r="AU660" s="22">
        <v>0</v>
      </c>
      <c r="AV660" s="22">
        <v>0</v>
      </c>
      <c r="AW660" s="22">
        <v>0</v>
      </c>
      <c r="AX660" s="22">
        <v>1</v>
      </c>
      <c r="AY660" s="22">
        <v>0</v>
      </c>
    </row>
    <row r="661" spans="1:51">
      <c r="A661" s="22" t="s">
        <v>2032</v>
      </c>
      <c r="B661" s="22" t="s">
        <v>663</v>
      </c>
      <c r="C661" s="23" t="s">
        <v>822</v>
      </c>
      <c r="D661" s="23" t="s">
        <v>965</v>
      </c>
      <c r="E661" s="22" t="s">
        <v>62</v>
      </c>
      <c r="F661" s="23" t="s">
        <v>1434</v>
      </c>
      <c r="G661" s="23" t="s">
        <v>1719</v>
      </c>
      <c r="H661" s="23" t="s">
        <v>1720</v>
      </c>
      <c r="I661" s="22" t="s">
        <v>43</v>
      </c>
      <c r="J661" s="22" t="s">
        <v>2033</v>
      </c>
      <c r="N661" s="22" t="s">
        <v>2034</v>
      </c>
      <c r="O661" s="22" t="s">
        <v>1430</v>
      </c>
      <c r="P661" s="21">
        <v>71966</v>
      </c>
      <c r="Q661" s="22">
        <v>19.5</v>
      </c>
      <c r="R661" s="22">
        <v>8.5</v>
      </c>
      <c r="S661" s="22">
        <v>2.8</v>
      </c>
      <c r="T661" s="22" t="s">
        <v>330</v>
      </c>
      <c r="U661" s="22">
        <v>0.8</v>
      </c>
      <c r="V661" s="21">
        <v>0.8</v>
      </c>
      <c r="W661" s="25">
        <f t="shared" si="92"/>
        <v>610.37499999999989</v>
      </c>
      <c r="X661" s="25">
        <f t="shared" si="93"/>
        <v>371.28</v>
      </c>
      <c r="Y661" s="21">
        <v>1</v>
      </c>
      <c r="Z661" s="24">
        <f t="shared" si="94"/>
        <v>610.37499999999989</v>
      </c>
      <c r="AA661" s="24">
        <f t="shared" si="95"/>
        <v>371.28</v>
      </c>
      <c r="AE661" s="21"/>
      <c r="AF661" s="21" t="s">
        <v>247</v>
      </c>
      <c r="AJ661" s="21">
        <v>376</v>
      </c>
      <c r="AK661" s="21">
        <v>19.5</v>
      </c>
      <c r="AL661" s="22" t="s">
        <v>161</v>
      </c>
      <c r="AM661" s="22">
        <v>0.11</v>
      </c>
      <c r="AN661" s="22" t="s">
        <v>1762</v>
      </c>
      <c r="AO661" s="22" t="s">
        <v>1447</v>
      </c>
      <c r="AP661" s="22" t="s">
        <v>1432</v>
      </c>
      <c r="AQ661" s="22" t="str">
        <f t="shared" si="96"/>
        <v>Nanophytoplankton</v>
      </c>
      <c r="AR661" s="22">
        <v>1</v>
      </c>
      <c r="AS661" s="22">
        <v>0</v>
      </c>
      <c r="AT661" s="22">
        <v>1</v>
      </c>
      <c r="AU661" s="22">
        <v>0</v>
      </c>
      <c r="AV661" s="22">
        <v>0</v>
      </c>
      <c r="AW661" s="22">
        <v>0</v>
      </c>
      <c r="AX661" s="22">
        <v>1</v>
      </c>
      <c r="AY661" s="22">
        <v>0</v>
      </c>
    </row>
    <row r="662" spans="1:51">
      <c r="A662" s="21" t="s">
        <v>2035</v>
      </c>
      <c r="B662" s="22" t="s">
        <v>663</v>
      </c>
      <c r="C662" s="23" t="s">
        <v>822</v>
      </c>
      <c r="D662" s="23" t="s">
        <v>965</v>
      </c>
      <c r="E662" s="22" t="s">
        <v>62</v>
      </c>
      <c r="F662" s="23" t="s">
        <v>1434</v>
      </c>
      <c r="G662" s="23" t="s">
        <v>1719</v>
      </c>
      <c r="H662" s="23" t="s">
        <v>1720</v>
      </c>
      <c r="I662" s="22" t="s">
        <v>43</v>
      </c>
      <c r="J662" s="21" t="s">
        <v>2036</v>
      </c>
      <c r="K662" s="21"/>
      <c r="L662" s="21"/>
      <c r="N662" s="22" t="s">
        <v>1894</v>
      </c>
      <c r="O662" s="22" t="s">
        <v>1430</v>
      </c>
      <c r="P662" s="22">
        <v>71970</v>
      </c>
      <c r="Q662" s="21">
        <v>62</v>
      </c>
      <c r="R662" s="21">
        <v>5</v>
      </c>
      <c r="S662" s="21">
        <v>4</v>
      </c>
      <c r="T662" s="22" t="s">
        <v>330</v>
      </c>
      <c r="U662" s="21">
        <v>0.75</v>
      </c>
      <c r="V662" s="21">
        <v>0.75</v>
      </c>
      <c r="W662" s="25">
        <f t="shared" si="92"/>
        <v>1541.3333333333333</v>
      </c>
      <c r="X662" s="25">
        <f t="shared" si="93"/>
        <v>930</v>
      </c>
      <c r="Y662" s="21">
        <v>1</v>
      </c>
      <c r="Z662" s="24">
        <f t="shared" si="94"/>
        <v>1541.3333333333333</v>
      </c>
      <c r="AA662" s="24">
        <f t="shared" si="95"/>
        <v>930</v>
      </c>
      <c r="AB662" s="21"/>
      <c r="AC662" s="21"/>
      <c r="AD662" s="21"/>
      <c r="AE662" s="21"/>
      <c r="AF662" s="21" t="s">
        <v>247</v>
      </c>
      <c r="AG662" s="21"/>
      <c r="AH662" s="24"/>
      <c r="AI662" s="24"/>
      <c r="AJ662" s="21">
        <v>930</v>
      </c>
      <c r="AK662" s="21">
        <v>62</v>
      </c>
      <c r="AL662" s="22" t="s">
        <v>161</v>
      </c>
      <c r="AM662" s="22">
        <v>0.11</v>
      </c>
      <c r="AN662" s="22" t="s">
        <v>1762</v>
      </c>
      <c r="AO662" s="22" t="s">
        <v>1447</v>
      </c>
      <c r="AP662" s="22" t="s">
        <v>1432</v>
      </c>
      <c r="AQ662" s="22" t="str">
        <f t="shared" si="96"/>
        <v>Microphytoplankton</v>
      </c>
      <c r="AR662" s="22">
        <v>1</v>
      </c>
      <c r="AS662" s="22">
        <v>0</v>
      </c>
      <c r="AT662" s="22">
        <v>1</v>
      </c>
      <c r="AU662" s="22">
        <v>0</v>
      </c>
      <c r="AV662" s="22">
        <v>0</v>
      </c>
      <c r="AW662" s="22">
        <v>0</v>
      </c>
      <c r="AX662" s="22">
        <v>1</v>
      </c>
      <c r="AY662" s="22">
        <v>0</v>
      </c>
    </row>
    <row r="663" spans="1:51">
      <c r="A663" s="21" t="s">
        <v>2037</v>
      </c>
      <c r="B663" s="22" t="s">
        <v>663</v>
      </c>
      <c r="C663" s="23" t="s">
        <v>822</v>
      </c>
      <c r="D663" s="23" t="s">
        <v>965</v>
      </c>
      <c r="E663" s="22" t="s">
        <v>62</v>
      </c>
      <c r="F663" s="23" t="s">
        <v>1434</v>
      </c>
      <c r="G663" s="23" t="s">
        <v>1719</v>
      </c>
      <c r="H663" s="23" t="s">
        <v>1720</v>
      </c>
      <c r="I663" s="22" t="s">
        <v>43</v>
      </c>
      <c r="J663" s="21" t="s">
        <v>2038</v>
      </c>
      <c r="K663" s="21"/>
      <c r="L663" s="21"/>
      <c r="N663" s="22" t="s">
        <v>2039</v>
      </c>
      <c r="O663" s="22" t="s">
        <v>1430</v>
      </c>
      <c r="P663" s="22">
        <v>71901</v>
      </c>
      <c r="Q663" s="21">
        <v>110</v>
      </c>
      <c r="R663" s="21">
        <v>5</v>
      </c>
      <c r="S663" s="21">
        <v>5</v>
      </c>
      <c r="T663" s="22" t="s">
        <v>330</v>
      </c>
      <c r="U663" s="21">
        <v>0.8</v>
      </c>
      <c r="V663" s="21">
        <v>0.8</v>
      </c>
      <c r="W663" s="25">
        <f t="shared" si="92"/>
        <v>2812.5</v>
      </c>
      <c r="X663" s="25">
        <f t="shared" si="93"/>
        <v>2200</v>
      </c>
      <c r="Y663" s="21">
        <v>1</v>
      </c>
      <c r="Z663" s="24">
        <f t="shared" si="94"/>
        <v>2812.5</v>
      </c>
      <c r="AA663" s="24">
        <f t="shared" si="95"/>
        <v>2200</v>
      </c>
      <c r="AB663" s="21"/>
      <c r="AC663" s="21"/>
      <c r="AD663" s="21"/>
      <c r="AE663" s="21"/>
      <c r="AF663" s="21" t="s">
        <v>247</v>
      </c>
      <c r="AG663" s="21"/>
      <c r="AH663" s="24"/>
      <c r="AI663" s="24"/>
      <c r="AJ663" s="21">
        <v>2200</v>
      </c>
      <c r="AK663" s="21">
        <v>110</v>
      </c>
      <c r="AL663" s="22" t="s">
        <v>161</v>
      </c>
      <c r="AM663" s="22">
        <v>0.11</v>
      </c>
      <c r="AN663" s="22" t="s">
        <v>1762</v>
      </c>
      <c r="AO663" s="22" t="s">
        <v>1447</v>
      </c>
      <c r="AP663" s="22" t="s">
        <v>1432</v>
      </c>
      <c r="AQ663" s="22" t="str">
        <f t="shared" si="96"/>
        <v>Microphytoplankton</v>
      </c>
      <c r="AR663" s="22">
        <v>1</v>
      </c>
      <c r="AS663" s="22">
        <v>0</v>
      </c>
      <c r="AT663" s="22">
        <v>1</v>
      </c>
      <c r="AU663" s="22">
        <v>0</v>
      </c>
      <c r="AV663" s="22">
        <v>0</v>
      </c>
      <c r="AW663" s="22">
        <v>0</v>
      </c>
      <c r="AX663" s="22">
        <v>1</v>
      </c>
      <c r="AY663" s="22">
        <v>0</v>
      </c>
    </row>
    <row r="664" spans="1:51">
      <c r="A664" s="21" t="s">
        <v>2040</v>
      </c>
      <c r="B664" s="22" t="s">
        <v>663</v>
      </c>
      <c r="C664" s="23" t="s">
        <v>822</v>
      </c>
      <c r="D664" s="23" t="s">
        <v>965</v>
      </c>
      <c r="E664" s="22" t="s">
        <v>62</v>
      </c>
      <c r="F664" s="23" t="s">
        <v>1434</v>
      </c>
      <c r="G664" s="23" t="s">
        <v>1719</v>
      </c>
      <c r="H664" s="23" t="s">
        <v>1720</v>
      </c>
      <c r="I664" s="22" t="s">
        <v>43</v>
      </c>
      <c r="J664" s="21" t="s">
        <v>2041</v>
      </c>
      <c r="K664" s="21"/>
      <c r="L664" s="21"/>
      <c r="N664" s="22" t="s">
        <v>1456</v>
      </c>
      <c r="O664" s="22" t="s">
        <v>1430</v>
      </c>
      <c r="P664" s="22">
        <v>71903</v>
      </c>
      <c r="Q664" s="21">
        <v>37.5</v>
      </c>
      <c r="R664" s="21">
        <v>4</v>
      </c>
      <c r="S664" s="21">
        <v>2.2999999999999998</v>
      </c>
      <c r="T664" s="22" t="s">
        <v>330</v>
      </c>
      <c r="U664" s="21">
        <v>0.8</v>
      </c>
      <c r="V664" s="21">
        <v>0.8</v>
      </c>
      <c r="W664" s="25">
        <f t="shared" si="92"/>
        <v>613.62499999999989</v>
      </c>
      <c r="X664" s="25">
        <f t="shared" si="93"/>
        <v>276</v>
      </c>
      <c r="Y664" s="21">
        <v>1</v>
      </c>
      <c r="Z664" s="24">
        <f t="shared" si="94"/>
        <v>613.62499999999989</v>
      </c>
      <c r="AA664" s="24">
        <f t="shared" si="95"/>
        <v>276</v>
      </c>
      <c r="AB664" s="21"/>
      <c r="AC664" s="21"/>
      <c r="AD664" s="21"/>
      <c r="AE664" s="21"/>
      <c r="AF664" s="21" t="s">
        <v>247</v>
      </c>
      <c r="AG664" s="21"/>
      <c r="AH664" s="24"/>
      <c r="AI664" s="24"/>
      <c r="AJ664" s="21">
        <v>344</v>
      </c>
      <c r="AK664" s="21">
        <v>37.5</v>
      </c>
      <c r="AL664" s="22" t="s">
        <v>161</v>
      </c>
      <c r="AM664" s="22">
        <v>0.11</v>
      </c>
      <c r="AN664" s="22" t="s">
        <v>1762</v>
      </c>
      <c r="AO664" s="22" t="s">
        <v>1447</v>
      </c>
      <c r="AP664" s="22" t="s">
        <v>1432</v>
      </c>
      <c r="AQ664" s="22" t="str">
        <f t="shared" si="96"/>
        <v>Microphytoplankton</v>
      </c>
      <c r="AR664" s="22">
        <v>1</v>
      </c>
      <c r="AS664" s="22">
        <v>0</v>
      </c>
      <c r="AT664" s="22">
        <v>1</v>
      </c>
      <c r="AU664" s="22">
        <v>0</v>
      </c>
      <c r="AV664" s="22">
        <v>0</v>
      </c>
      <c r="AW664" s="22">
        <v>0</v>
      </c>
      <c r="AX664" s="22">
        <v>1</v>
      </c>
      <c r="AY664" s="22">
        <v>0</v>
      </c>
    </row>
    <row r="665" spans="1:51">
      <c r="A665" s="21" t="s">
        <v>2042</v>
      </c>
      <c r="B665" s="22" t="s">
        <v>663</v>
      </c>
      <c r="C665" s="23" t="s">
        <v>822</v>
      </c>
      <c r="D665" s="23" t="s">
        <v>965</v>
      </c>
      <c r="E665" s="22" t="s">
        <v>62</v>
      </c>
      <c r="F665" s="23" t="s">
        <v>1434</v>
      </c>
      <c r="G665" s="23" t="s">
        <v>1719</v>
      </c>
      <c r="H665" s="23" t="s">
        <v>1720</v>
      </c>
      <c r="I665" s="22" t="s">
        <v>43</v>
      </c>
      <c r="J665" s="21" t="s">
        <v>2043</v>
      </c>
      <c r="K665" s="21"/>
      <c r="L665" s="21"/>
      <c r="N665" s="22" t="s">
        <v>1580</v>
      </c>
      <c r="O665" s="22" t="s">
        <v>1430</v>
      </c>
      <c r="P665" s="22">
        <v>71980</v>
      </c>
      <c r="Q665" s="21">
        <v>45</v>
      </c>
      <c r="R665" s="21">
        <v>2.6</v>
      </c>
      <c r="S665" s="21">
        <v>2.5</v>
      </c>
      <c r="T665" s="22" t="s">
        <v>330</v>
      </c>
      <c r="U665" s="21">
        <v>0.75</v>
      </c>
      <c r="V665" s="21">
        <v>0.75</v>
      </c>
      <c r="W665" s="25">
        <f t="shared" si="92"/>
        <v>629.33333333333337</v>
      </c>
      <c r="X665" s="25">
        <f t="shared" si="93"/>
        <v>219.375</v>
      </c>
      <c r="Y665" s="21">
        <v>1</v>
      </c>
      <c r="Z665" s="24">
        <f t="shared" si="94"/>
        <v>629.33333333333337</v>
      </c>
      <c r="AA665" s="24">
        <f t="shared" si="95"/>
        <v>219.375</v>
      </c>
      <c r="AB665" s="21"/>
      <c r="AC665" s="21"/>
      <c r="AD665" s="21"/>
      <c r="AE665" s="21"/>
      <c r="AF665" s="21" t="s">
        <v>247</v>
      </c>
      <c r="AG665" s="21"/>
      <c r="AH665" s="24"/>
      <c r="AI665" s="24"/>
      <c r="AJ665" s="21">
        <v>219.4</v>
      </c>
      <c r="AK665" s="21">
        <v>45</v>
      </c>
      <c r="AL665" s="22" t="s">
        <v>161</v>
      </c>
      <c r="AM665" s="22">
        <v>0.11</v>
      </c>
      <c r="AN665" s="22" t="s">
        <v>1762</v>
      </c>
      <c r="AO665" s="22" t="s">
        <v>1447</v>
      </c>
      <c r="AP665" s="22" t="s">
        <v>1432</v>
      </c>
      <c r="AQ665" s="22" t="str">
        <f t="shared" si="96"/>
        <v>Microphytoplankton</v>
      </c>
      <c r="AR665" s="22">
        <v>1</v>
      </c>
      <c r="AS665" s="22">
        <v>0</v>
      </c>
      <c r="AT665" s="22">
        <v>1</v>
      </c>
      <c r="AU665" s="22">
        <v>1</v>
      </c>
      <c r="AV665" s="22">
        <v>0</v>
      </c>
      <c r="AW665" s="22">
        <v>0</v>
      </c>
      <c r="AX665" s="22">
        <v>1</v>
      </c>
      <c r="AY665" s="22">
        <v>0</v>
      </c>
    </row>
    <row r="666" spans="1:51">
      <c r="A666" s="22" t="s">
        <v>2044</v>
      </c>
      <c r="B666" s="22" t="s">
        <v>663</v>
      </c>
      <c r="C666" s="23" t="s">
        <v>822</v>
      </c>
      <c r="D666" s="23" t="s">
        <v>965</v>
      </c>
      <c r="E666" s="22" t="s">
        <v>62</v>
      </c>
      <c r="F666" s="23" t="s">
        <v>1434</v>
      </c>
      <c r="G666" s="23" t="s">
        <v>1719</v>
      </c>
      <c r="H666" s="23" t="s">
        <v>1720</v>
      </c>
      <c r="I666" s="22" t="s">
        <v>43</v>
      </c>
      <c r="J666" s="22" t="s">
        <v>609</v>
      </c>
      <c r="N666" s="22" t="s">
        <v>2029</v>
      </c>
      <c r="O666" s="22" t="s">
        <v>1430</v>
      </c>
      <c r="P666" s="22">
        <v>71981</v>
      </c>
      <c r="Q666" s="22">
        <v>65</v>
      </c>
      <c r="R666" s="22">
        <v>3.5</v>
      </c>
      <c r="S666" s="22">
        <v>2.8</v>
      </c>
      <c r="T666" s="22" t="s">
        <v>330</v>
      </c>
      <c r="U666" s="22">
        <v>0.75</v>
      </c>
      <c r="V666" s="21">
        <v>0.75</v>
      </c>
      <c r="W666" s="25">
        <f t="shared" si="92"/>
        <v>1118.1333333333334</v>
      </c>
      <c r="X666" s="25">
        <f t="shared" si="93"/>
        <v>477.75</v>
      </c>
      <c r="Y666" s="21">
        <v>1</v>
      </c>
      <c r="Z666" s="24">
        <f t="shared" si="94"/>
        <v>1118.1333333333334</v>
      </c>
      <c r="AA666" s="24">
        <f t="shared" si="95"/>
        <v>477.75</v>
      </c>
      <c r="AE666" s="21"/>
      <c r="AF666" s="21" t="s">
        <v>247</v>
      </c>
      <c r="AJ666" s="21">
        <v>477.75</v>
      </c>
      <c r="AK666" s="21">
        <v>65</v>
      </c>
      <c r="AL666" s="22" t="s">
        <v>161</v>
      </c>
      <c r="AM666" s="22">
        <v>0.11</v>
      </c>
      <c r="AN666" s="22" t="s">
        <v>1762</v>
      </c>
      <c r="AO666" s="22" t="s">
        <v>1447</v>
      </c>
      <c r="AP666" s="22" t="s">
        <v>1432</v>
      </c>
      <c r="AQ666" s="22" t="str">
        <f t="shared" si="96"/>
        <v>Microphytoplankton</v>
      </c>
      <c r="AR666" s="22">
        <v>1</v>
      </c>
      <c r="AS666" s="22">
        <v>0</v>
      </c>
      <c r="AT666" s="22">
        <v>1</v>
      </c>
      <c r="AU666" s="22">
        <v>0</v>
      </c>
      <c r="AV666" s="22">
        <v>0</v>
      </c>
      <c r="AW666" s="22">
        <v>0</v>
      </c>
      <c r="AX666" s="22">
        <v>1</v>
      </c>
      <c r="AY666" s="22">
        <v>0</v>
      </c>
    </row>
    <row r="667" spans="1:51">
      <c r="A667" s="21" t="s">
        <v>2045</v>
      </c>
      <c r="B667" s="22" t="s">
        <v>663</v>
      </c>
      <c r="C667" s="23" t="s">
        <v>822</v>
      </c>
      <c r="D667" s="23" t="s">
        <v>965</v>
      </c>
      <c r="E667" s="22" t="s">
        <v>62</v>
      </c>
      <c r="F667" s="23" t="s">
        <v>1434</v>
      </c>
      <c r="G667" s="23" t="s">
        <v>1719</v>
      </c>
      <c r="H667" s="23" t="s">
        <v>1720</v>
      </c>
      <c r="I667" s="22" t="s">
        <v>43</v>
      </c>
      <c r="J667" s="21" t="s">
        <v>2046</v>
      </c>
      <c r="K667" s="21"/>
      <c r="L667" s="21"/>
      <c r="N667" s="22" t="s">
        <v>1580</v>
      </c>
      <c r="O667" s="22" t="s">
        <v>1430</v>
      </c>
      <c r="P667" s="21">
        <v>71913</v>
      </c>
      <c r="Q667" s="21">
        <v>51</v>
      </c>
      <c r="R667" s="21">
        <v>2.7</v>
      </c>
      <c r="S667" s="21">
        <v>1</v>
      </c>
      <c r="T667" s="22" t="s">
        <v>1543</v>
      </c>
      <c r="U667" s="21">
        <v>0.7</v>
      </c>
      <c r="V667" s="21">
        <v>0.7</v>
      </c>
      <c r="W667" s="25">
        <f>2*(Q667/2+R667/2)+S667*R667*2+S667*Q667*2</f>
        <v>161.1</v>
      </c>
      <c r="X667" s="25">
        <f>Q667*R667*S667/2</f>
        <v>68.850000000000009</v>
      </c>
      <c r="Y667" s="21">
        <v>1</v>
      </c>
      <c r="Z667" s="24">
        <f t="shared" si="94"/>
        <v>161.1</v>
      </c>
      <c r="AA667" s="24">
        <f t="shared" si="95"/>
        <v>68.850000000000009</v>
      </c>
      <c r="AB667" s="21"/>
      <c r="AC667" s="21"/>
      <c r="AD667" s="21"/>
      <c r="AE667" s="21"/>
      <c r="AF667" s="21" t="s">
        <v>247</v>
      </c>
      <c r="AG667" s="21"/>
      <c r="AH667" s="24"/>
      <c r="AI667" s="24"/>
      <c r="AJ667" s="21">
        <v>68.850000000000009</v>
      </c>
      <c r="AK667" s="21">
        <v>51</v>
      </c>
      <c r="AL667" s="22" t="s">
        <v>2047</v>
      </c>
      <c r="AM667" s="22">
        <v>0.11</v>
      </c>
      <c r="AN667" s="22" t="s">
        <v>1762</v>
      </c>
      <c r="AO667" s="22" t="s">
        <v>1447</v>
      </c>
      <c r="AP667" s="22" t="s">
        <v>1432</v>
      </c>
      <c r="AQ667" s="22" t="str">
        <f t="shared" si="96"/>
        <v>Microphytoplankton</v>
      </c>
      <c r="AR667" s="22">
        <v>1</v>
      </c>
      <c r="AS667" s="22">
        <v>0</v>
      </c>
      <c r="AT667" s="22">
        <v>1</v>
      </c>
      <c r="AU667" s="22">
        <v>0</v>
      </c>
      <c r="AV667" s="22">
        <v>0</v>
      </c>
      <c r="AW667" s="22">
        <v>0</v>
      </c>
      <c r="AX667" s="22">
        <v>1</v>
      </c>
      <c r="AY667" s="22">
        <v>0</v>
      </c>
    </row>
    <row r="668" spans="1:51">
      <c r="A668" s="21" t="s">
        <v>2048</v>
      </c>
      <c r="B668" s="22" t="s">
        <v>663</v>
      </c>
      <c r="C668" s="23" t="s">
        <v>822</v>
      </c>
      <c r="D668" s="23" t="s">
        <v>965</v>
      </c>
      <c r="E668" s="22" t="s">
        <v>62</v>
      </c>
      <c r="F668" s="23" t="s">
        <v>1434</v>
      </c>
      <c r="G668" s="23" t="s">
        <v>1719</v>
      </c>
      <c r="H668" s="23" t="s">
        <v>1720</v>
      </c>
      <c r="I668" s="22" t="s">
        <v>43</v>
      </c>
      <c r="J668" s="21" t="s">
        <v>2049</v>
      </c>
      <c r="K668" s="21"/>
      <c r="L668" s="21"/>
      <c r="N668" s="22" t="s">
        <v>182</v>
      </c>
      <c r="O668" s="22" t="s">
        <v>1430</v>
      </c>
      <c r="P668" s="21">
        <v>71916</v>
      </c>
      <c r="Q668" s="21">
        <v>29</v>
      </c>
      <c r="R668" s="21">
        <v>4</v>
      </c>
      <c r="S668" s="21">
        <v>2.5</v>
      </c>
      <c r="T668" s="22" t="s">
        <v>330</v>
      </c>
      <c r="U668" s="21">
        <v>0.7</v>
      </c>
      <c r="V668" s="21">
        <v>0.7</v>
      </c>
      <c r="W668" s="25">
        <f>(Q668*R668*2+Q668*S668*2+R668*S668*2)/V668</f>
        <v>567.14285714285722</v>
      </c>
      <c r="X668" s="25">
        <f>Q668*R668*S668*U668</f>
        <v>203</v>
      </c>
      <c r="Y668" s="21">
        <v>1</v>
      </c>
      <c r="Z668" s="24">
        <f t="shared" si="94"/>
        <v>567.14285714285722</v>
      </c>
      <c r="AA668" s="24">
        <f t="shared" si="95"/>
        <v>203</v>
      </c>
      <c r="AB668" s="21"/>
      <c r="AC668" s="21"/>
      <c r="AD668" s="21"/>
      <c r="AE668" s="21"/>
      <c r="AF668" s="21" t="s">
        <v>247</v>
      </c>
      <c r="AG668" s="21"/>
      <c r="AH668" s="24"/>
      <c r="AI668" s="24"/>
      <c r="AJ668" s="21">
        <v>211</v>
      </c>
      <c r="AK668" s="21">
        <v>29</v>
      </c>
      <c r="AL668" s="22" t="s">
        <v>161</v>
      </c>
      <c r="AM668" s="22">
        <v>0.11</v>
      </c>
      <c r="AO668" s="22" t="s">
        <v>1447</v>
      </c>
      <c r="AP668" s="22" t="s">
        <v>1432</v>
      </c>
      <c r="AQ668" s="22" t="str">
        <f t="shared" si="96"/>
        <v>Microphytoplankton</v>
      </c>
      <c r="AR668" s="22">
        <v>1</v>
      </c>
      <c r="AS668" s="22">
        <v>0</v>
      </c>
      <c r="AT668" s="22">
        <v>1</v>
      </c>
      <c r="AU668" s="22">
        <v>0</v>
      </c>
      <c r="AV668" s="22">
        <v>0</v>
      </c>
      <c r="AW668" s="22">
        <v>0</v>
      </c>
      <c r="AX668" s="22">
        <v>1</v>
      </c>
      <c r="AY668" s="22">
        <v>0</v>
      </c>
    </row>
    <row r="669" spans="1:51">
      <c r="A669" s="21" t="s">
        <v>2050</v>
      </c>
      <c r="B669" s="22" t="s">
        <v>663</v>
      </c>
      <c r="C669" s="23" t="s">
        <v>822</v>
      </c>
      <c r="D669" s="23" t="s">
        <v>965</v>
      </c>
      <c r="E669" s="22" t="s">
        <v>62</v>
      </c>
      <c r="F669" s="23" t="s">
        <v>1434</v>
      </c>
      <c r="G669" s="23" t="s">
        <v>1719</v>
      </c>
      <c r="H669" s="23" t="s">
        <v>1720</v>
      </c>
      <c r="I669" s="22" t="s">
        <v>43</v>
      </c>
      <c r="J669" s="21" t="s">
        <v>2051</v>
      </c>
      <c r="K669" s="21"/>
      <c r="L669" s="21"/>
      <c r="N669" s="22" t="s">
        <v>1456</v>
      </c>
      <c r="O669" s="22" t="s">
        <v>1430</v>
      </c>
      <c r="P669" s="21">
        <v>71917</v>
      </c>
      <c r="Q669" s="21">
        <v>12.5</v>
      </c>
      <c r="R669" s="21">
        <v>3.5</v>
      </c>
      <c r="S669" s="21">
        <v>2.5</v>
      </c>
      <c r="T669" s="22" t="s">
        <v>330</v>
      </c>
      <c r="U669" s="21">
        <v>0.8</v>
      </c>
      <c r="V669" s="21">
        <v>0.8</v>
      </c>
      <c r="W669" s="25">
        <f>(Q669*R669*2+Q669*S669*2+R669*S669*2)/V669</f>
        <v>209.375</v>
      </c>
      <c r="X669" s="25">
        <f>Q669*R669*S669*U669</f>
        <v>87.5</v>
      </c>
      <c r="Y669" s="21">
        <v>1</v>
      </c>
      <c r="Z669" s="24">
        <f t="shared" si="94"/>
        <v>209.375</v>
      </c>
      <c r="AA669" s="24">
        <f t="shared" si="95"/>
        <v>87.5</v>
      </c>
      <c r="AB669" s="21"/>
      <c r="AC669" s="21"/>
      <c r="AD669" s="21"/>
      <c r="AE669" s="21"/>
      <c r="AF669" s="21" t="s">
        <v>247</v>
      </c>
      <c r="AG669" s="21"/>
      <c r="AH669" s="24"/>
      <c r="AI669" s="24"/>
      <c r="AJ669" s="21">
        <v>89</v>
      </c>
      <c r="AK669" s="21">
        <v>12.5</v>
      </c>
      <c r="AL669" s="22" t="s">
        <v>161</v>
      </c>
      <c r="AM669" s="22">
        <v>0.11</v>
      </c>
      <c r="AO669" s="22" t="s">
        <v>1447</v>
      </c>
      <c r="AP669" s="22" t="s">
        <v>1432</v>
      </c>
      <c r="AQ669" s="22" t="str">
        <f t="shared" si="96"/>
        <v>Nanophytoplankton</v>
      </c>
      <c r="AR669" s="22">
        <v>1</v>
      </c>
      <c r="AS669" s="22">
        <v>0</v>
      </c>
      <c r="AT669" s="22">
        <v>1</v>
      </c>
      <c r="AU669" s="22">
        <v>0</v>
      </c>
      <c r="AV669" s="22">
        <v>0</v>
      </c>
      <c r="AW669" s="22">
        <v>0</v>
      </c>
      <c r="AX669" s="22">
        <v>1</v>
      </c>
      <c r="AY669" s="22">
        <v>0</v>
      </c>
    </row>
    <row r="670" spans="1:51">
      <c r="A670" s="21" t="s">
        <v>2052</v>
      </c>
      <c r="B670" s="22" t="s">
        <v>663</v>
      </c>
      <c r="C670" s="23" t="s">
        <v>822</v>
      </c>
      <c r="D670" s="23" t="s">
        <v>965</v>
      </c>
      <c r="E670" s="22" t="s">
        <v>62</v>
      </c>
      <c r="F670" s="23" t="s">
        <v>1434</v>
      </c>
      <c r="G670" s="23" t="s">
        <v>1719</v>
      </c>
      <c r="H670" s="23" t="s">
        <v>1720</v>
      </c>
      <c r="I670" s="22" t="s">
        <v>43</v>
      </c>
      <c r="J670" s="21" t="s">
        <v>2053</v>
      </c>
      <c r="K670" s="21"/>
      <c r="L670" s="21"/>
      <c r="N670" s="22" t="s">
        <v>1542</v>
      </c>
      <c r="O670" s="22" t="s">
        <v>1430</v>
      </c>
      <c r="P670" s="21">
        <v>71912</v>
      </c>
      <c r="Q670" s="21">
        <v>15</v>
      </c>
      <c r="R670" s="21">
        <v>2.5</v>
      </c>
      <c r="S670" s="21">
        <v>1</v>
      </c>
      <c r="T670" s="22" t="s">
        <v>1543</v>
      </c>
      <c r="U670" s="21">
        <v>0.7</v>
      </c>
      <c r="V670" s="21">
        <v>0.7</v>
      </c>
      <c r="W670" s="25">
        <f>2*(Q670/2+R670/2)+S670*R670*2+S670*Q670*2</f>
        <v>52.5</v>
      </c>
      <c r="X670" s="25">
        <f>Q670*R670*S670/2</f>
        <v>18.75</v>
      </c>
      <c r="Y670" s="21">
        <v>1</v>
      </c>
      <c r="Z670" s="24">
        <f t="shared" si="94"/>
        <v>52.5</v>
      </c>
      <c r="AA670" s="24">
        <f t="shared" si="95"/>
        <v>18.75</v>
      </c>
      <c r="AB670" s="21"/>
      <c r="AC670" s="21"/>
      <c r="AD670" s="21"/>
      <c r="AE670" s="21"/>
      <c r="AF670" s="21" t="s">
        <v>247</v>
      </c>
      <c r="AG670" s="21"/>
      <c r="AH670" s="24"/>
      <c r="AI670" s="24"/>
      <c r="AJ670" s="21">
        <v>18.75</v>
      </c>
      <c r="AK670" s="21">
        <v>15</v>
      </c>
      <c r="AL670" s="22" t="s">
        <v>2054</v>
      </c>
      <c r="AM670" s="22">
        <v>0.11</v>
      </c>
      <c r="AN670" s="22" t="s">
        <v>1762</v>
      </c>
      <c r="AO670" s="22" t="s">
        <v>1447</v>
      </c>
      <c r="AP670" s="22" t="s">
        <v>1432</v>
      </c>
      <c r="AQ670" s="22" t="str">
        <f t="shared" si="96"/>
        <v>Nanophytoplankton</v>
      </c>
      <c r="AR670" s="22">
        <v>1</v>
      </c>
      <c r="AS670" s="22">
        <v>0</v>
      </c>
      <c r="AT670" s="22">
        <v>1</v>
      </c>
      <c r="AU670" s="22">
        <v>0</v>
      </c>
      <c r="AV670" s="22">
        <v>0</v>
      </c>
      <c r="AW670" s="22">
        <v>0</v>
      </c>
      <c r="AX670" s="22">
        <v>1</v>
      </c>
      <c r="AY670" s="22">
        <v>0</v>
      </c>
    </row>
    <row r="671" spans="1:51">
      <c r="A671" s="22" t="s">
        <v>2055</v>
      </c>
      <c r="B671" s="22" t="s">
        <v>663</v>
      </c>
      <c r="C671" s="23" t="s">
        <v>822</v>
      </c>
      <c r="D671" s="23" t="s">
        <v>965</v>
      </c>
      <c r="E671" s="22" t="s">
        <v>62</v>
      </c>
      <c r="F671" s="23" t="s">
        <v>1434</v>
      </c>
      <c r="G671" s="23" t="s">
        <v>1719</v>
      </c>
      <c r="H671" s="23" t="s">
        <v>1720</v>
      </c>
      <c r="I671" s="22" t="s">
        <v>43</v>
      </c>
      <c r="J671" s="22" t="s">
        <v>1463</v>
      </c>
      <c r="N671" s="22" t="s">
        <v>2056</v>
      </c>
      <c r="O671" s="22" t="s">
        <v>1430</v>
      </c>
      <c r="P671" s="22">
        <v>71914</v>
      </c>
      <c r="Q671" s="22">
        <v>42.5</v>
      </c>
      <c r="R671" s="22">
        <v>9.5</v>
      </c>
      <c r="S671" s="22">
        <v>6</v>
      </c>
      <c r="T671" s="22" t="s">
        <v>330</v>
      </c>
      <c r="U671" s="22">
        <v>0.7</v>
      </c>
      <c r="V671" s="21">
        <v>0.7</v>
      </c>
      <c r="W671" s="25">
        <f t="shared" ref="W671:W693" si="97">(Q671*R671*2+Q671*S671*2+R671*S671*2)/V671</f>
        <v>2045.0000000000002</v>
      </c>
      <c r="X671" s="25">
        <f t="shared" ref="X671:X693" si="98">Q671*R671*S671*U671</f>
        <v>1695.75</v>
      </c>
      <c r="Y671" s="21">
        <v>1</v>
      </c>
      <c r="Z671" s="24">
        <f t="shared" si="94"/>
        <v>2045.0000000000002</v>
      </c>
      <c r="AA671" s="24">
        <f t="shared" si="95"/>
        <v>1695.75</v>
      </c>
      <c r="AE671" s="21"/>
      <c r="AF671" s="21" t="s">
        <v>247</v>
      </c>
      <c r="AJ671" s="21">
        <v>1982.5</v>
      </c>
      <c r="AK671" s="21">
        <v>42.5</v>
      </c>
      <c r="AL671" s="22" t="s">
        <v>161</v>
      </c>
      <c r="AM671" s="22">
        <v>0.11</v>
      </c>
      <c r="AN671" s="22" t="s">
        <v>1762</v>
      </c>
      <c r="AO671" s="22" t="s">
        <v>1447</v>
      </c>
      <c r="AP671" s="22" t="s">
        <v>1432</v>
      </c>
      <c r="AQ671" s="22" t="str">
        <f t="shared" si="96"/>
        <v>Microphytoplankton</v>
      </c>
      <c r="AR671" s="22">
        <v>1</v>
      </c>
      <c r="AS671" s="22">
        <v>0</v>
      </c>
      <c r="AT671" s="22">
        <v>1</v>
      </c>
      <c r="AU671" s="22">
        <v>0</v>
      </c>
      <c r="AV671" s="22">
        <v>0</v>
      </c>
      <c r="AW671" s="22">
        <v>0</v>
      </c>
      <c r="AX671" s="22">
        <v>1</v>
      </c>
      <c r="AY671" s="22">
        <v>0</v>
      </c>
    </row>
    <row r="672" spans="1:51">
      <c r="A672" s="22" t="s">
        <v>2057</v>
      </c>
      <c r="B672" s="22" t="s">
        <v>663</v>
      </c>
      <c r="C672" s="23" t="s">
        <v>822</v>
      </c>
      <c r="D672" s="23" t="s">
        <v>965</v>
      </c>
      <c r="E672" s="22" t="s">
        <v>62</v>
      </c>
      <c r="F672" s="23" t="s">
        <v>1434</v>
      </c>
      <c r="G672" s="23" t="s">
        <v>1719</v>
      </c>
      <c r="H672" s="23" t="s">
        <v>1720</v>
      </c>
      <c r="I672" s="22" t="s">
        <v>43</v>
      </c>
      <c r="J672" s="22" t="s">
        <v>2058</v>
      </c>
      <c r="N672" s="22" t="s">
        <v>2059</v>
      </c>
      <c r="O672" s="22" t="s">
        <v>1430</v>
      </c>
      <c r="P672" s="22">
        <v>71915</v>
      </c>
      <c r="Q672" s="22">
        <v>41.5</v>
      </c>
      <c r="R672" s="22">
        <v>9.5</v>
      </c>
      <c r="S672" s="22">
        <v>5</v>
      </c>
      <c r="T672" s="22" t="s">
        <v>330</v>
      </c>
      <c r="U672" s="22">
        <v>0.7</v>
      </c>
      <c r="V672" s="21">
        <v>0.7</v>
      </c>
      <c r="W672" s="25">
        <f t="shared" si="97"/>
        <v>1855.0000000000002</v>
      </c>
      <c r="X672" s="25">
        <f t="shared" si="98"/>
        <v>1379.875</v>
      </c>
      <c r="Y672" s="21">
        <v>1</v>
      </c>
      <c r="Z672" s="24">
        <f t="shared" si="94"/>
        <v>1855.0000000000002</v>
      </c>
      <c r="AA672" s="24">
        <f t="shared" si="95"/>
        <v>1379.875</v>
      </c>
      <c r="AE672" s="21"/>
      <c r="AF672" s="21" t="s">
        <v>247</v>
      </c>
      <c r="AJ672" s="21">
        <v>1479</v>
      </c>
      <c r="AK672" s="21">
        <v>41.5</v>
      </c>
      <c r="AL672" s="22" t="s">
        <v>161</v>
      </c>
      <c r="AM672" s="22">
        <v>0.11</v>
      </c>
      <c r="AN672" s="22" t="s">
        <v>1762</v>
      </c>
      <c r="AO672" s="22" t="s">
        <v>1447</v>
      </c>
      <c r="AP672" s="22" t="s">
        <v>1432</v>
      </c>
      <c r="AQ672" s="22" t="str">
        <f t="shared" si="96"/>
        <v>Microphytoplankton</v>
      </c>
      <c r="AR672" s="22">
        <v>1</v>
      </c>
      <c r="AS672" s="22">
        <v>0</v>
      </c>
      <c r="AT672" s="22">
        <v>1</v>
      </c>
      <c r="AU672" s="22">
        <v>0</v>
      </c>
      <c r="AV672" s="22">
        <v>0</v>
      </c>
      <c r="AW672" s="22">
        <v>0</v>
      </c>
      <c r="AX672" s="22">
        <v>1</v>
      </c>
      <c r="AY672" s="22">
        <v>0</v>
      </c>
    </row>
    <row r="673" spans="1:51">
      <c r="A673" s="21" t="s">
        <v>2060</v>
      </c>
      <c r="B673" s="22" t="s">
        <v>663</v>
      </c>
      <c r="C673" s="23" t="s">
        <v>822</v>
      </c>
      <c r="D673" s="23" t="s">
        <v>965</v>
      </c>
      <c r="E673" s="22" t="s">
        <v>62</v>
      </c>
      <c r="F673" s="23" t="s">
        <v>1434</v>
      </c>
      <c r="G673" s="23" t="s">
        <v>1719</v>
      </c>
      <c r="H673" s="23" t="s">
        <v>1720</v>
      </c>
      <c r="I673" s="22" t="s">
        <v>43</v>
      </c>
      <c r="J673" s="21" t="s">
        <v>2025</v>
      </c>
      <c r="K673" s="21"/>
      <c r="L673" s="21"/>
      <c r="N673" s="22" t="s">
        <v>2026</v>
      </c>
      <c r="O673" s="22" t="s">
        <v>1430</v>
      </c>
      <c r="P673" s="21">
        <v>71960</v>
      </c>
      <c r="Q673" s="21">
        <v>105</v>
      </c>
      <c r="R673" s="21">
        <v>5</v>
      </c>
      <c r="S673" s="21">
        <v>4</v>
      </c>
      <c r="T673" s="22" t="s">
        <v>330</v>
      </c>
      <c r="U673" s="21">
        <v>0.75</v>
      </c>
      <c r="V673" s="21">
        <v>0.75</v>
      </c>
      <c r="W673" s="25">
        <f t="shared" si="97"/>
        <v>2573.3333333333335</v>
      </c>
      <c r="X673" s="25">
        <f t="shared" si="98"/>
        <v>1575</v>
      </c>
      <c r="Y673" s="21">
        <v>1</v>
      </c>
      <c r="Z673" s="24">
        <f t="shared" si="94"/>
        <v>2573.3333333333335</v>
      </c>
      <c r="AA673" s="24">
        <f t="shared" si="95"/>
        <v>1575</v>
      </c>
      <c r="AB673" s="21"/>
      <c r="AC673" s="21"/>
      <c r="AD673" s="21"/>
      <c r="AE673" s="21"/>
      <c r="AF673" s="21" t="s">
        <v>247</v>
      </c>
      <c r="AG673" s="21"/>
      <c r="AH673" s="24"/>
      <c r="AI673" s="24"/>
      <c r="AJ673" s="21">
        <v>1575</v>
      </c>
      <c r="AK673" s="21">
        <v>105</v>
      </c>
      <c r="AL673" s="22" t="s">
        <v>161</v>
      </c>
      <c r="AM673" s="22">
        <v>0.11</v>
      </c>
      <c r="AN673" s="22" t="s">
        <v>1762</v>
      </c>
      <c r="AO673" s="22" t="s">
        <v>1447</v>
      </c>
      <c r="AP673" s="22" t="s">
        <v>1432</v>
      </c>
      <c r="AQ673" s="22" t="str">
        <f t="shared" si="96"/>
        <v>Microphytoplankton</v>
      </c>
      <c r="AR673" s="22">
        <v>1</v>
      </c>
      <c r="AS673" s="22">
        <v>0</v>
      </c>
      <c r="AT673" s="22">
        <v>1</v>
      </c>
      <c r="AU673" s="22">
        <v>0</v>
      </c>
      <c r="AV673" s="22">
        <v>0</v>
      </c>
      <c r="AW673" s="22">
        <v>0</v>
      </c>
      <c r="AX673" s="22">
        <v>1</v>
      </c>
      <c r="AY673" s="22">
        <v>0</v>
      </c>
    </row>
    <row r="674" spans="1:51">
      <c r="A674" s="21" t="s">
        <v>2061</v>
      </c>
      <c r="B674" s="22" t="s">
        <v>663</v>
      </c>
      <c r="C674" s="23" t="s">
        <v>822</v>
      </c>
      <c r="D674" s="23" t="s">
        <v>965</v>
      </c>
      <c r="E674" s="22" t="s">
        <v>62</v>
      </c>
      <c r="F674" s="23" t="s">
        <v>1434</v>
      </c>
      <c r="G674" s="23" t="s">
        <v>1719</v>
      </c>
      <c r="H674" s="23" t="s">
        <v>1720</v>
      </c>
      <c r="I674" s="22" t="s">
        <v>43</v>
      </c>
      <c r="J674" s="21" t="s">
        <v>2062</v>
      </c>
      <c r="K674" s="21"/>
      <c r="L674" s="21"/>
      <c r="N674" s="22" t="s">
        <v>2063</v>
      </c>
      <c r="O674" s="22" t="s">
        <v>1430</v>
      </c>
      <c r="P674" s="21">
        <v>71920</v>
      </c>
      <c r="Q674" s="21">
        <v>42</v>
      </c>
      <c r="R674" s="21">
        <v>4</v>
      </c>
      <c r="S674" s="21">
        <v>3</v>
      </c>
      <c r="T674" s="22" t="s">
        <v>330</v>
      </c>
      <c r="U674" s="21">
        <v>0.75</v>
      </c>
      <c r="V674" s="21">
        <v>0.75</v>
      </c>
      <c r="W674" s="25">
        <f t="shared" si="97"/>
        <v>816</v>
      </c>
      <c r="X674" s="25">
        <f t="shared" si="98"/>
        <v>378</v>
      </c>
      <c r="Y674" s="21">
        <v>1</v>
      </c>
      <c r="Z674" s="24">
        <f t="shared" si="94"/>
        <v>816</v>
      </c>
      <c r="AA674" s="24">
        <f t="shared" si="95"/>
        <v>378</v>
      </c>
      <c r="AB674" s="21"/>
      <c r="AC674" s="21"/>
      <c r="AD674" s="21"/>
      <c r="AE674" s="21"/>
      <c r="AF674" s="21" t="s">
        <v>247</v>
      </c>
      <c r="AG674" s="21"/>
      <c r="AH674" s="24"/>
      <c r="AI674" s="24"/>
      <c r="AJ674" s="21">
        <v>378</v>
      </c>
      <c r="AK674" s="21">
        <v>42</v>
      </c>
      <c r="AL674" s="22" t="s">
        <v>161</v>
      </c>
      <c r="AM674" s="22">
        <v>0.11</v>
      </c>
      <c r="AN674" s="22" t="s">
        <v>1762</v>
      </c>
      <c r="AO674" s="22" t="s">
        <v>1447</v>
      </c>
      <c r="AP674" s="22" t="s">
        <v>1432</v>
      </c>
      <c r="AQ674" s="22" t="str">
        <f t="shared" si="96"/>
        <v>Microphytoplankton</v>
      </c>
      <c r="AR674" s="22">
        <v>1</v>
      </c>
      <c r="AS674" s="22">
        <v>0</v>
      </c>
      <c r="AT674" s="22">
        <v>1</v>
      </c>
      <c r="AU674" s="22">
        <v>0</v>
      </c>
      <c r="AV674" s="22">
        <v>0</v>
      </c>
      <c r="AW674" s="22">
        <v>0</v>
      </c>
      <c r="AX674" s="22">
        <v>1</v>
      </c>
      <c r="AY674" s="22">
        <v>0</v>
      </c>
    </row>
    <row r="675" spans="1:51">
      <c r="A675" s="21" t="s">
        <v>2064</v>
      </c>
      <c r="B675" s="22" t="s">
        <v>663</v>
      </c>
      <c r="C675" s="23" t="s">
        <v>822</v>
      </c>
      <c r="D675" s="23" t="s">
        <v>965</v>
      </c>
      <c r="E675" s="22" t="s">
        <v>62</v>
      </c>
      <c r="F675" s="23" t="s">
        <v>1434</v>
      </c>
      <c r="G675" s="23" t="s">
        <v>1719</v>
      </c>
      <c r="H675" s="23" t="s">
        <v>1720</v>
      </c>
      <c r="I675" s="22" t="s">
        <v>43</v>
      </c>
      <c r="J675" s="21" t="s">
        <v>2065</v>
      </c>
      <c r="K675" s="21"/>
      <c r="L675" s="21"/>
      <c r="N675" s="22" t="s">
        <v>1991</v>
      </c>
      <c r="O675" s="22" t="s">
        <v>1430</v>
      </c>
      <c r="P675" s="21">
        <v>71940</v>
      </c>
      <c r="Q675" s="21">
        <v>37</v>
      </c>
      <c r="R675" s="21">
        <v>3.5</v>
      </c>
      <c r="S675" s="21">
        <v>2.5</v>
      </c>
      <c r="T675" s="22" t="s">
        <v>330</v>
      </c>
      <c r="U675" s="21">
        <v>0.75</v>
      </c>
      <c r="V675" s="21">
        <v>0.75</v>
      </c>
      <c r="W675" s="25">
        <f t="shared" si="97"/>
        <v>615.33333333333337</v>
      </c>
      <c r="X675" s="25">
        <f t="shared" si="98"/>
        <v>242.8125</v>
      </c>
      <c r="Y675" s="21">
        <v>1</v>
      </c>
      <c r="Z675" s="24">
        <f t="shared" si="94"/>
        <v>615.33333333333337</v>
      </c>
      <c r="AA675" s="24">
        <f t="shared" si="95"/>
        <v>242.8125</v>
      </c>
      <c r="AB675" s="21"/>
      <c r="AC675" s="21"/>
      <c r="AD675" s="21"/>
      <c r="AE675" s="21"/>
      <c r="AF675" s="21" t="s">
        <v>247</v>
      </c>
      <c r="AG675" s="21"/>
      <c r="AH675" s="24"/>
      <c r="AI675" s="24"/>
      <c r="AJ675" s="21">
        <v>242.8</v>
      </c>
      <c r="AK675" s="21">
        <v>37</v>
      </c>
      <c r="AL675" s="22" t="s">
        <v>161</v>
      </c>
      <c r="AM675" s="22">
        <v>0.11</v>
      </c>
      <c r="AN675" s="22" t="s">
        <v>1762</v>
      </c>
      <c r="AO675" s="22" t="s">
        <v>1447</v>
      </c>
      <c r="AP675" s="22" t="s">
        <v>1432</v>
      </c>
      <c r="AQ675" s="22" t="str">
        <f t="shared" si="96"/>
        <v>Microphytoplankton</v>
      </c>
      <c r="AR675" s="22">
        <v>1</v>
      </c>
      <c r="AS675" s="22">
        <v>0</v>
      </c>
      <c r="AT675" s="22">
        <v>1</v>
      </c>
      <c r="AU675" s="22">
        <v>0</v>
      </c>
      <c r="AV675" s="22">
        <v>0</v>
      </c>
      <c r="AW675" s="22">
        <v>0</v>
      </c>
      <c r="AX675" s="22">
        <v>1</v>
      </c>
      <c r="AY675" s="22">
        <v>0</v>
      </c>
    </row>
    <row r="676" spans="1:51">
      <c r="A676" s="21" t="s">
        <v>2066</v>
      </c>
      <c r="B676" s="22" t="s">
        <v>663</v>
      </c>
      <c r="C676" s="23" t="s">
        <v>822</v>
      </c>
      <c r="D676" s="23" t="s">
        <v>965</v>
      </c>
      <c r="E676" s="22" t="s">
        <v>62</v>
      </c>
      <c r="F676" s="23" t="s">
        <v>1434</v>
      </c>
      <c r="G676" s="23" t="s">
        <v>1719</v>
      </c>
      <c r="H676" s="23" t="s">
        <v>1720</v>
      </c>
      <c r="I676" s="22" t="s">
        <v>43</v>
      </c>
      <c r="J676" s="21" t="s">
        <v>2067</v>
      </c>
      <c r="K676" s="21"/>
      <c r="L676" s="21"/>
      <c r="N676" s="22" t="s">
        <v>2068</v>
      </c>
      <c r="O676" s="22" t="s">
        <v>1430</v>
      </c>
      <c r="P676" s="22">
        <v>71941</v>
      </c>
      <c r="Q676" s="21">
        <v>56</v>
      </c>
      <c r="R676" s="21">
        <v>5</v>
      </c>
      <c r="S676" s="21">
        <v>3</v>
      </c>
      <c r="T676" s="22" t="s">
        <v>330</v>
      </c>
      <c r="U676" s="21">
        <v>0.75</v>
      </c>
      <c r="V676" s="21">
        <v>0.75</v>
      </c>
      <c r="W676" s="25">
        <f t="shared" si="97"/>
        <v>1234.6666666666667</v>
      </c>
      <c r="X676" s="25">
        <f t="shared" si="98"/>
        <v>630</v>
      </c>
      <c r="Y676" s="21">
        <v>1</v>
      </c>
      <c r="Z676" s="24">
        <f t="shared" si="94"/>
        <v>1234.6666666666667</v>
      </c>
      <c r="AA676" s="24">
        <f t="shared" si="95"/>
        <v>630</v>
      </c>
      <c r="AB676" s="21"/>
      <c r="AC676" s="21"/>
      <c r="AD676" s="21"/>
      <c r="AE676" s="21"/>
      <c r="AF676" s="21" t="s">
        <v>247</v>
      </c>
      <c r="AG676" s="21"/>
      <c r="AH676" s="24"/>
      <c r="AI676" s="24"/>
      <c r="AJ676" s="21">
        <v>630</v>
      </c>
      <c r="AK676" s="21">
        <v>56</v>
      </c>
      <c r="AL676" s="22" t="s">
        <v>161</v>
      </c>
      <c r="AM676" s="22">
        <v>0.11</v>
      </c>
      <c r="AN676" s="22" t="s">
        <v>1762</v>
      </c>
      <c r="AO676" s="22" t="s">
        <v>1447</v>
      </c>
      <c r="AP676" s="22" t="s">
        <v>1432</v>
      </c>
      <c r="AQ676" s="22" t="str">
        <f t="shared" si="96"/>
        <v>Microphytoplankton</v>
      </c>
      <c r="AR676" s="22">
        <v>1</v>
      </c>
      <c r="AS676" s="22">
        <v>0</v>
      </c>
      <c r="AT676" s="22">
        <v>1</v>
      </c>
      <c r="AU676" s="22">
        <v>0</v>
      </c>
      <c r="AV676" s="22">
        <v>0</v>
      </c>
      <c r="AW676" s="22">
        <v>0</v>
      </c>
      <c r="AX676" s="22">
        <v>1</v>
      </c>
      <c r="AY676" s="22">
        <v>0</v>
      </c>
    </row>
    <row r="677" spans="1:51">
      <c r="A677" s="21" t="s">
        <v>2069</v>
      </c>
      <c r="B677" s="22" t="s">
        <v>663</v>
      </c>
      <c r="C677" s="23" t="s">
        <v>822</v>
      </c>
      <c r="D677" s="23" t="s">
        <v>965</v>
      </c>
      <c r="E677" s="22" t="s">
        <v>62</v>
      </c>
      <c r="F677" s="23" t="s">
        <v>1434</v>
      </c>
      <c r="G677" s="23" t="s">
        <v>1719</v>
      </c>
      <c r="H677" s="23" t="s">
        <v>1720</v>
      </c>
      <c r="I677" s="22" t="s">
        <v>43</v>
      </c>
      <c r="J677" s="21" t="s">
        <v>2070</v>
      </c>
      <c r="K677" s="21"/>
      <c r="L677" s="21"/>
      <c r="N677" s="22" t="s">
        <v>1456</v>
      </c>
      <c r="O677" s="22" t="s">
        <v>1430</v>
      </c>
      <c r="P677" s="21">
        <v>71950</v>
      </c>
      <c r="Q677" s="21">
        <v>18</v>
      </c>
      <c r="R677" s="21">
        <v>4</v>
      </c>
      <c r="S677" s="21">
        <v>2.5</v>
      </c>
      <c r="T677" s="22" t="s">
        <v>330</v>
      </c>
      <c r="U677" s="21">
        <v>0.75</v>
      </c>
      <c r="V677" s="21">
        <v>0.75</v>
      </c>
      <c r="W677" s="25">
        <f t="shared" si="97"/>
        <v>338.66666666666669</v>
      </c>
      <c r="X677" s="25">
        <f t="shared" si="98"/>
        <v>135</v>
      </c>
      <c r="Y677" s="21">
        <v>1</v>
      </c>
      <c r="Z677" s="24">
        <f t="shared" si="94"/>
        <v>338.66666666666669</v>
      </c>
      <c r="AA677" s="24">
        <f t="shared" si="95"/>
        <v>135</v>
      </c>
      <c r="AB677" s="21"/>
      <c r="AC677" s="21"/>
      <c r="AD677" s="21"/>
      <c r="AE677" s="21"/>
      <c r="AF677" s="21" t="s">
        <v>247</v>
      </c>
      <c r="AG677" s="21"/>
      <c r="AH677" s="24"/>
      <c r="AI677" s="24"/>
      <c r="AJ677" s="21">
        <v>135</v>
      </c>
      <c r="AK677" s="21">
        <v>18</v>
      </c>
      <c r="AL677" s="22" t="s">
        <v>161</v>
      </c>
      <c r="AM677" s="22">
        <v>0.11</v>
      </c>
      <c r="AN677" s="22" t="s">
        <v>1762</v>
      </c>
      <c r="AO677" s="22" t="s">
        <v>1447</v>
      </c>
      <c r="AP677" s="22" t="s">
        <v>1432</v>
      </c>
      <c r="AQ677" s="22" t="str">
        <f t="shared" si="96"/>
        <v>Nanophytoplankton</v>
      </c>
      <c r="AR677" s="22">
        <v>1</v>
      </c>
      <c r="AS677" s="22">
        <v>0</v>
      </c>
      <c r="AT677" s="22">
        <v>1</v>
      </c>
      <c r="AU677" s="22">
        <v>0</v>
      </c>
      <c r="AV677" s="22">
        <v>0</v>
      </c>
      <c r="AW677" s="22">
        <v>0</v>
      </c>
      <c r="AX677" s="22">
        <v>1</v>
      </c>
      <c r="AY677" s="22">
        <v>0</v>
      </c>
    </row>
    <row r="678" spans="1:51">
      <c r="A678" s="22" t="s">
        <v>2071</v>
      </c>
      <c r="B678" s="22" t="s">
        <v>663</v>
      </c>
      <c r="C678" s="23" t="s">
        <v>822</v>
      </c>
      <c r="D678" s="23" t="s">
        <v>965</v>
      </c>
      <c r="E678" s="22" t="s">
        <v>62</v>
      </c>
      <c r="F678" s="23" t="s">
        <v>1434</v>
      </c>
      <c r="G678" s="23" t="s">
        <v>1719</v>
      </c>
      <c r="H678" s="23" t="s">
        <v>1720</v>
      </c>
      <c r="I678" s="22" t="s">
        <v>43</v>
      </c>
      <c r="J678" s="22" t="s">
        <v>2072</v>
      </c>
      <c r="N678" s="22" t="s">
        <v>2073</v>
      </c>
      <c r="O678" s="22" t="s">
        <v>1430</v>
      </c>
      <c r="P678" s="21">
        <v>71951</v>
      </c>
      <c r="Q678" s="22">
        <v>100</v>
      </c>
      <c r="R678" s="22">
        <v>9</v>
      </c>
      <c r="S678" s="22">
        <v>4</v>
      </c>
      <c r="T678" s="22" t="s">
        <v>330</v>
      </c>
      <c r="U678" s="22">
        <v>0.6</v>
      </c>
      <c r="V678" s="21">
        <v>0.6</v>
      </c>
      <c r="W678" s="25">
        <f t="shared" si="97"/>
        <v>4453.3333333333339</v>
      </c>
      <c r="X678" s="25">
        <f t="shared" si="98"/>
        <v>2160</v>
      </c>
      <c r="Y678" s="21">
        <v>1</v>
      </c>
      <c r="Z678" s="24">
        <f t="shared" si="94"/>
        <v>4453.3333333333339</v>
      </c>
      <c r="AA678" s="24">
        <f t="shared" si="95"/>
        <v>2160</v>
      </c>
      <c r="AE678" s="21"/>
      <c r="AF678" s="21" t="s">
        <v>247</v>
      </c>
      <c r="AJ678" s="21">
        <v>2250</v>
      </c>
      <c r="AK678" s="21">
        <v>999</v>
      </c>
      <c r="AL678" s="22" t="s">
        <v>161</v>
      </c>
      <c r="AM678" s="22">
        <v>0.11</v>
      </c>
      <c r="AN678" s="22" t="s">
        <v>1762</v>
      </c>
      <c r="AO678" s="22" t="s">
        <v>1447</v>
      </c>
      <c r="AP678" s="22" t="s">
        <v>1432</v>
      </c>
      <c r="AQ678" s="22" t="str">
        <f t="shared" si="96"/>
        <v>Microphytoplankton</v>
      </c>
      <c r="AR678" s="22">
        <v>1</v>
      </c>
      <c r="AS678" s="22">
        <v>0</v>
      </c>
      <c r="AT678" s="22">
        <v>1</v>
      </c>
      <c r="AU678" s="22">
        <v>0</v>
      </c>
      <c r="AV678" s="22">
        <v>0</v>
      </c>
      <c r="AW678" s="22">
        <v>0</v>
      </c>
      <c r="AX678" s="22">
        <v>1</v>
      </c>
      <c r="AY678" s="22">
        <v>0</v>
      </c>
    </row>
    <row r="679" spans="1:51">
      <c r="A679" s="21" t="s">
        <v>2074</v>
      </c>
      <c r="B679" s="22" t="s">
        <v>663</v>
      </c>
      <c r="C679" s="23" t="s">
        <v>822</v>
      </c>
      <c r="D679" s="23" t="s">
        <v>965</v>
      </c>
      <c r="E679" s="22" t="s">
        <v>62</v>
      </c>
      <c r="F679" s="23" t="s">
        <v>1434</v>
      </c>
      <c r="G679" s="23" t="s">
        <v>1719</v>
      </c>
      <c r="H679" s="23" t="s">
        <v>1720</v>
      </c>
      <c r="I679" s="22" t="s">
        <v>43</v>
      </c>
      <c r="J679" s="21" t="s">
        <v>2075</v>
      </c>
      <c r="K679" s="21"/>
      <c r="L679" s="21"/>
      <c r="N679" s="22" t="s">
        <v>2076</v>
      </c>
      <c r="O679" s="22" t="s">
        <v>1430</v>
      </c>
      <c r="P679" s="21">
        <v>71930</v>
      </c>
      <c r="Q679" s="21">
        <v>320</v>
      </c>
      <c r="R679" s="21">
        <v>11</v>
      </c>
      <c r="S679" s="21">
        <v>6</v>
      </c>
      <c r="T679" s="22" t="s">
        <v>330</v>
      </c>
      <c r="U679" s="21">
        <v>0.75</v>
      </c>
      <c r="V679" s="21">
        <v>0.75</v>
      </c>
      <c r="W679" s="25">
        <f t="shared" si="97"/>
        <v>14682.666666666666</v>
      </c>
      <c r="X679" s="25">
        <f t="shared" si="98"/>
        <v>15840</v>
      </c>
      <c r="Y679" s="21">
        <v>1</v>
      </c>
      <c r="Z679" s="24">
        <f t="shared" si="94"/>
        <v>14682.666666666666</v>
      </c>
      <c r="AA679" s="24">
        <f t="shared" si="95"/>
        <v>15840</v>
      </c>
      <c r="AB679" s="21"/>
      <c r="AC679" s="21"/>
      <c r="AD679" s="21"/>
      <c r="AE679" s="21"/>
      <c r="AF679" s="21" t="s">
        <v>247</v>
      </c>
      <c r="AG679" s="21"/>
      <c r="AH679" s="24"/>
      <c r="AI679" s="24"/>
      <c r="AJ679" s="21">
        <v>15840</v>
      </c>
      <c r="AK679" s="21">
        <v>320</v>
      </c>
      <c r="AL679" s="22" t="s">
        <v>161</v>
      </c>
      <c r="AM679" s="22">
        <v>0.11</v>
      </c>
      <c r="AN679" s="22" t="s">
        <v>1762</v>
      </c>
      <c r="AO679" s="22" t="s">
        <v>383</v>
      </c>
      <c r="AP679" s="22" t="s">
        <v>1432</v>
      </c>
      <c r="AQ679" s="22" t="str">
        <f t="shared" si="96"/>
        <v>Microphytoplankton</v>
      </c>
      <c r="AR679" s="22">
        <v>1</v>
      </c>
      <c r="AS679" s="22">
        <v>0</v>
      </c>
      <c r="AT679" s="22">
        <v>1</v>
      </c>
      <c r="AU679" s="22">
        <v>0</v>
      </c>
      <c r="AV679" s="22">
        <v>0</v>
      </c>
      <c r="AW679" s="22">
        <v>0</v>
      </c>
      <c r="AX679" s="22">
        <v>1</v>
      </c>
      <c r="AY679" s="22">
        <v>0</v>
      </c>
    </row>
    <row r="680" spans="1:51">
      <c r="A680" s="21" t="s">
        <v>2077</v>
      </c>
      <c r="B680" s="22" t="s">
        <v>663</v>
      </c>
      <c r="C680" s="23" t="s">
        <v>822</v>
      </c>
      <c r="D680" s="23" t="s">
        <v>965</v>
      </c>
      <c r="E680" s="22" t="s">
        <v>62</v>
      </c>
      <c r="F680" s="23" t="s">
        <v>1434</v>
      </c>
      <c r="G680" s="23" t="s">
        <v>1719</v>
      </c>
      <c r="H680" s="23" t="s">
        <v>1720</v>
      </c>
      <c r="I680" s="22" t="s">
        <v>43</v>
      </c>
      <c r="J680" s="21" t="s">
        <v>211</v>
      </c>
      <c r="K680" s="21"/>
      <c r="L680" s="21"/>
      <c r="M680" s="22" t="s">
        <v>1</v>
      </c>
      <c r="N680" s="22" t="s">
        <v>1935</v>
      </c>
      <c r="O680" s="22" t="s">
        <v>1430</v>
      </c>
      <c r="P680" s="21">
        <v>71900</v>
      </c>
      <c r="Q680" s="21">
        <v>49</v>
      </c>
      <c r="R680" s="21">
        <v>5</v>
      </c>
      <c r="S680" s="21">
        <v>4</v>
      </c>
      <c r="T680" s="22" t="s">
        <v>330</v>
      </c>
      <c r="U680" s="21">
        <v>0.8</v>
      </c>
      <c r="V680" s="21">
        <v>0.8</v>
      </c>
      <c r="W680" s="25">
        <f t="shared" si="97"/>
        <v>1152.5</v>
      </c>
      <c r="X680" s="25">
        <f t="shared" si="98"/>
        <v>784</v>
      </c>
      <c r="Y680" s="21">
        <v>1</v>
      </c>
      <c r="Z680" s="24">
        <f t="shared" si="94"/>
        <v>1152.5</v>
      </c>
      <c r="AA680" s="24">
        <f t="shared" si="95"/>
        <v>784</v>
      </c>
      <c r="AB680" s="21"/>
      <c r="AC680" s="21"/>
      <c r="AD680" s="21"/>
      <c r="AE680" s="21"/>
      <c r="AF680" s="21" t="s">
        <v>247</v>
      </c>
      <c r="AG680" s="21"/>
      <c r="AH680" s="24"/>
      <c r="AI680" s="24"/>
      <c r="AJ680" s="21">
        <v>784</v>
      </c>
      <c r="AK680" s="21">
        <v>49</v>
      </c>
      <c r="AL680" s="22" t="s">
        <v>161</v>
      </c>
      <c r="AM680" s="22">
        <v>0.11</v>
      </c>
      <c r="AN680" s="22" t="s">
        <v>1762</v>
      </c>
      <c r="AO680" s="22" t="s">
        <v>1447</v>
      </c>
      <c r="AP680" s="22" t="s">
        <v>1432</v>
      </c>
      <c r="AQ680" s="22" t="str">
        <f t="shared" si="96"/>
        <v>Microphytoplankton</v>
      </c>
      <c r="AR680" s="22">
        <v>1</v>
      </c>
      <c r="AS680" s="22">
        <v>0</v>
      </c>
      <c r="AT680" s="22">
        <v>1</v>
      </c>
      <c r="AU680" s="22">
        <v>0</v>
      </c>
      <c r="AV680" s="22">
        <v>0</v>
      </c>
      <c r="AW680" s="22">
        <v>0</v>
      </c>
      <c r="AX680" s="22">
        <v>1</v>
      </c>
      <c r="AY680" s="22">
        <v>0</v>
      </c>
    </row>
    <row r="681" spans="1:51">
      <c r="A681" s="22" t="s">
        <v>2078</v>
      </c>
      <c r="B681" s="22" t="s">
        <v>663</v>
      </c>
      <c r="C681" s="23" t="s">
        <v>822</v>
      </c>
      <c r="D681" s="23" t="s">
        <v>965</v>
      </c>
      <c r="E681" s="22" t="s">
        <v>62</v>
      </c>
      <c r="F681" s="23" t="s">
        <v>1434</v>
      </c>
      <c r="G681" s="23" t="s">
        <v>1719</v>
      </c>
      <c r="H681" s="23" t="s">
        <v>1720</v>
      </c>
      <c r="I681" s="22" t="s">
        <v>43</v>
      </c>
      <c r="J681" s="22" t="s">
        <v>2079</v>
      </c>
      <c r="M681" s="22" t="s">
        <v>1</v>
      </c>
      <c r="N681" s="22" t="s">
        <v>1935</v>
      </c>
      <c r="O681" s="22" t="s">
        <v>1430</v>
      </c>
      <c r="P681" s="21">
        <v>71902</v>
      </c>
      <c r="Q681" s="22">
        <v>50</v>
      </c>
      <c r="R681" s="22">
        <v>5</v>
      </c>
      <c r="S681" s="22">
        <v>2</v>
      </c>
      <c r="T681" s="22" t="s">
        <v>330</v>
      </c>
      <c r="U681" s="22">
        <v>0.7</v>
      </c>
      <c r="V681" s="21">
        <v>0.7</v>
      </c>
      <c r="W681" s="25">
        <f t="shared" si="97"/>
        <v>1028.5714285714287</v>
      </c>
      <c r="X681" s="25">
        <f t="shared" si="98"/>
        <v>350</v>
      </c>
      <c r="Y681" s="21">
        <v>1</v>
      </c>
      <c r="Z681" s="24">
        <f t="shared" si="94"/>
        <v>1028.5714285714287</v>
      </c>
      <c r="AA681" s="24">
        <f t="shared" si="95"/>
        <v>350</v>
      </c>
      <c r="AE681" s="21"/>
      <c r="AF681" s="21" t="s">
        <v>247</v>
      </c>
      <c r="AJ681" s="21">
        <v>784</v>
      </c>
      <c r="AK681" s="21">
        <v>50</v>
      </c>
      <c r="AL681" s="22" t="s">
        <v>161</v>
      </c>
      <c r="AM681" s="22">
        <v>0.11</v>
      </c>
      <c r="AN681" s="22" t="s">
        <v>1762</v>
      </c>
      <c r="AO681" s="22" t="s">
        <v>1447</v>
      </c>
      <c r="AP681" s="22" t="s">
        <v>1432</v>
      </c>
      <c r="AQ681" s="22" t="str">
        <f t="shared" si="96"/>
        <v>Microphytoplankton</v>
      </c>
      <c r="AR681" s="22">
        <v>1</v>
      </c>
      <c r="AS681" s="22">
        <v>0</v>
      </c>
      <c r="AT681" s="22">
        <v>1</v>
      </c>
      <c r="AU681" s="22">
        <v>0</v>
      </c>
      <c r="AV681" s="22">
        <v>0</v>
      </c>
      <c r="AW681" s="22">
        <v>0</v>
      </c>
      <c r="AX681" s="22">
        <v>1</v>
      </c>
      <c r="AY681" s="22">
        <v>0</v>
      </c>
    </row>
    <row r="682" spans="1:51">
      <c r="A682" s="21" t="s">
        <v>2080</v>
      </c>
      <c r="B682" s="22" t="s">
        <v>663</v>
      </c>
      <c r="C682" s="23" t="s">
        <v>822</v>
      </c>
      <c r="D682" s="23" t="s">
        <v>965</v>
      </c>
      <c r="E682" s="22" t="s">
        <v>62</v>
      </c>
      <c r="F682" s="23" t="s">
        <v>1434</v>
      </c>
      <c r="G682" s="23" t="s">
        <v>1719</v>
      </c>
      <c r="H682" s="23" t="s">
        <v>1720</v>
      </c>
      <c r="I682" s="22" t="s">
        <v>43</v>
      </c>
      <c r="J682" s="21" t="s">
        <v>2081</v>
      </c>
      <c r="K682" s="21"/>
      <c r="L682" s="21"/>
      <c r="N682" s="22" t="s">
        <v>2082</v>
      </c>
      <c r="O682" s="22" t="s">
        <v>1430</v>
      </c>
      <c r="P682" s="21">
        <v>71911</v>
      </c>
      <c r="Q682" s="21">
        <v>160</v>
      </c>
      <c r="R682" s="21">
        <v>6</v>
      </c>
      <c r="S682" s="21">
        <v>4</v>
      </c>
      <c r="T682" s="22" t="s">
        <v>330</v>
      </c>
      <c r="U682" s="21">
        <v>0.7</v>
      </c>
      <c r="V682" s="21">
        <v>0.7</v>
      </c>
      <c r="W682" s="25">
        <f t="shared" si="97"/>
        <v>4640</v>
      </c>
      <c r="X682" s="25">
        <f t="shared" si="98"/>
        <v>2688</v>
      </c>
      <c r="Y682" s="21">
        <v>1</v>
      </c>
      <c r="Z682" s="24">
        <f t="shared" si="94"/>
        <v>4640</v>
      </c>
      <c r="AA682" s="24">
        <f t="shared" si="95"/>
        <v>2688</v>
      </c>
      <c r="AB682" s="21"/>
      <c r="AC682" s="21"/>
      <c r="AD682" s="21"/>
      <c r="AE682" s="21"/>
      <c r="AF682" s="21" t="s">
        <v>247</v>
      </c>
      <c r="AG682" s="21"/>
      <c r="AH682" s="24"/>
      <c r="AI682" s="24"/>
      <c r="AJ682" s="21">
        <v>2500</v>
      </c>
      <c r="AK682" s="21">
        <v>160</v>
      </c>
      <c r="AL682" s="22" t="s">
        <v>161</v>
      </c>
      <c r="AM682" s="22">
        <v>0.11</v>
      </c>
      <c r="AN682" s="22" t="s">
        <v>1762</v>
      </c>
      <c r="AO682" s="22" t="s">
        <v>1447</v>
      </c>
      <c r="AP682" s="22" t="s">
        <v>1432</v>
      </c>
      <c r="AQ682" s="22" t="str">
        <f t="shared" si="96"/>
        <v>Microphytoplankton</v>
      </c>
      <c r="AR682" s="22">
        <v>1</v>
      </c>
      <c r="AS682" s="22">
        <v>0</v>
      </c>
      <c r="AT682" s="22">
        <v>1</v>
      </c>
      <c r="AU682" s="22">
        <v>0</v>
      </c>
      <c r="AV682" s="22">
        <v>0</v>
      </c>
      <c r="AW682" s="22">
        <v>0</v>
      </c>
      <c r="AX682" s="22">
        <v>1</v>
      </c>
      <c r="AY682" s="22">
        <v>0</v>
      </c>
    </row>
    <row r="683" spans="1:51">
      <c r="A683" s="21" t="s">
        <v>2083</v>
      </c>
      <c r="B683" s="22" t="s">
        <v>663</v>
      </c>
      <c r="C683" s="23" t="s">
        <v>822</v>
      </c>
      <c r="D683" s="23" t="s">
        <v>965</v>
      </c>
      <c r="E683" s="22" t="s">
        <v>62</v>
      </c>
      <c r="F683" s="23" t="s">
        <v>1434</v>
      </c>
      <c r="G683" s="23" t="s">
        <v>1473</v>
      </c>
      <c r="H683" s="23" t="s">
        <v>2084</v>
      </c>
      <c r="I683" s="22" t="s">
        <v>2085</v>
      </c>
      <c r="J683" s="22" t="s">
        <v>2086</v>
      </c>
      <c r="N683" s="22" t="s">
        <v>2087</v>
      </c>
      <c r="O683" s="22" t="s">
        <v>1430</v>
      </c>
      <c r="P683" s="21">
        <v>76010</v>
      </c>
      <c r="Q683" s="21">
        <v>22</v>
      </c>
      <c r="R683" s="21">
        <v>8</v>
      </c>
      <c r="S683" s="21">
        <v>5</v>
      </c>
      <c r="T683" s="22" t="s">
        <v>330</v>
      </c>
      <c r="U683" s="21">
        <v>0.8</v>
      </c>
      <c r="V683" s="21">
        <v>0.8</v>
      </c>
      <c r="W683" s="25">
        <f t="shared" si="97"/>
        <v>815</v>
      </c>
      <c r="X683" s="25">
        <f t="shared" si="98"/>
        <v>704</v>
      </c>
      <c r="Y683" s="21">
        <v>1</v>
      </c>
      <c r="Z683" s="24">
        <f t="shared" si="94"/>
        <v>815</v>
      </c>
      <c r="AA683" s="24">
        <f t="shared" si="95"/>
        <v>704</v>
      </c>
      <c r="AB683" s="21"/>
      <c r="AC683" s="21"/>
      <c r="AD683" s="21"/>
      <c r="AE683" s="21"/>
      <c r="AF683" s="21" t="s">
        <v>247</v>
      </c>
      <c r="AG683" s="21"/>
      <c r="AH683" s="24"/>
      <c r="AI683" s="24"/>
      <c r="AJ683" s="21">
        <v>704</v>
      </c>
      <c r="AK683" s="21">
        <v>22</v>
      </c>
      <c r="AL683" s="22" t="s">
        <v>161</v>
      </c>
      <c r="AM683" s="22">
        <v>0.11</v>
      </c>
      <c r="AO683" s="22" t="s">
        <v>1447</v>
      </c>
      <c r="AP683" s="22" t="s">
        <v>1432</v>
      </c>
      <c r="AQ683" s="22" t="str">
        <f t="shared" si="96"/>
        <v>Microphytoplankton</v>
      </c>
      <c r="AR683" s="22">
        <v>1</v>
      </c>
      <c r="AS683" s="22">
        <v>0</v>
      </c>
      <c r="AT683" s="22">
        <v>1</v>
      </c>
      <c r="AU683" s="22">
        <v>0</v>
      </c>
      <c r="AV683" s="22">
        <v>0</v>
      </c>
      <c r="AW683" s="22">
        <v>0</v>
      </c>
      <c r="AX683" s="22">
        <v>1</v>
      </c>
      <c r="AY683" s="22">
        <v>0</v>
      </c>
    </row>
    <row r="684" spans="1:51">
      <c r="A684" s="21" t="s">
        <v>2088</v>
      </c>
      <c r="B684" s="22" t="s">
        <v>663</v>
      </c>
      <c r="C684" s="23" t="s">
        <v>822</v>
      </c>
      <c r="D684" s="23" t="s">
        <v>965</v>
      </c>
      <c r="E684" s="22" t="s">
        <v>62</v>
      </c>
      <c r="F684" s="23" t="s">
        <v>1434</v>
      </c>
      <c r="G684" s="23" t="s">
        <v>1473</v>
      </c>
      <c r="H684" s="23" t="s">
        <v>2084</v>
      </c>
      <c r="I684" s="22" t="s">
        <v>2089</v>
      </c>
      <c r="J684" s="22" t="s">
        <v>2090</v>
      </c>
      <c r="N684" s="22" t="s">
        <v>182</v>
      </c>
      <c r="O684" s="22" t="s">
        <v>1430</v>
      </c>
      <c r="P684" s="21">
        <v>71510</v>
      </c>
      <c r="Q684" s="21">
        <v>190</v>
      </c>
      <c r="R684" s="21">
        <v>20</v>
      </c>
      <c r="S684" s="21">
        <v>20</v>
      </c>
      <c r="T684" s="22" t="s">
        <v>330</v>
      </c>
      <c r="U684" s="21">
        <v>0.8</v>
      </c>
      <c r="V684" s="21">
        <v>0.8</v>
      </c>
      <c r="W684" s="25">
        <f t="shared" si="97"/>
        <v>20000</v>
      </c>
      <c r="X684" s="25">
        <f t="shared" si="98"/>
        <v>60800</v>
      </c>
      <c r="Y684" s="21">
        <v>1</v>
      </c>
      <c r="Z684" s="24">
        <f t="shared" si="94"/>
        <v>20000</v>
      </c>
      <c r="AA684" s="24">
        <f t="shared" si="95"/>
        <v>60800</v>
      </c>
      <c r="AB684" s="21"/>
      <c r="AC684" s="21"/>
      <c r="AD684" s="21"/>
      <c r="AE684" s="21"/>
      <c r="AF684" s="21" t="s">
        <v>247</v>
      </c>
      <c r="AG684" s="21"/>
      <c r="AH684" s="24"/>
      <c r="AI684" s="24"/>
      <c r="AJ684" s="21">
        <v>60800</v>
      </c>
      <c r="AK684" s="21">
        <v>190</v>
      </c>
      <c r="AL684" s="22" t="s">
        <v>161</v>
      </c>
      <c r="AM684" s="22">
        <v>0.11</v>
      </c>
      <c r="AO684" s="22" t="s">
        <v>1447</v>
      </c>
      <c r="AP684" s="22" t="s">
        <v>1432</v>
      </c>
      <c r="AQ684" s="22" t="str">
        <f t="shared" si="96"/>
        <v>Microphytoplankton</v>
      </c>
      <c r="AR684" s="22">
        <v>1</v>
      </c>
      <c r="AS684" s="22">
        <v>0</v>
      </c>
      <c r="AT684" s="22">
        <v>1</v>
      </c>
      <c r="AU684" s="22">
        <v>0</v>
      </c>
      <c r="AV684" s="22">
        <v>0</v>
      </c>
      <c r="AW684" s="22">
        <v>0</v>
      </c>
      <c r="AX684" s="22">
        <v>1</v>
      </c>
      <c r="AY684" s="22">
        <v>0</v>
      </c>
    </row>
    <row r="685" spans="1:51">
      <c r="A685" s="21" t="s">
        <v>2091</v>
      </c>
      <c r="B685" s="22" t="s">
        <v>663</v>
      </c>
      <c r="C685" s="23" t="s">
        <v>822</v>
      </c>
      <c r="D685" s="23" t="s">
        <v>965</v>
      </c>
      <c r="E685" s="22" t="s">
        <v>62</v>
      </c>
      <c r="F685" s="23" t="s">
        <v>1434</v>
      </c>
      <c r="G685" s="23" t="s">
        <v>1473</v>
      </c>
      <c r="H685" s="23" t="s">
        <v>2084</v>
      </c>
      <c r="I685" s="22" t="s">
        <v>2089</v>
      </c>
      <c r="J685" s="22" t="s">
        <v>2092</v>
      </c>
      <c r="N685" s="22" t="s">
        <v>2093</v>
      </c>
      <c r="O685" s="22" t="s">
        <v>1430</v>
      </c>
      <c r="P685" s="21">
        <v>71502</v>
      </c>
      <c r="Q685" s="21">
        <v>66.5</v>
      </c>
      <c r="R685" s="21">
        <v>12</v>
      </c>
      <c r="S685" s="21">
        <v>5</v>
      </c>
      <c r="T685" s="22" t="s">
        <v>330</v>
      </c>
      <c r="U685" s="21">
        <v>0.8</v>
      </c>
      <c r="V685" s="21">
        <v>0.8</v>
      </c>
      <c r="W685" s="25">
        <f t="shared" si="97"/>
        <v>2976.25</v>
      </c>
      <c r="X685" s="25">
        <f t="shared" si="98"/>
        <v>3192</v>
      </c>
      <c r="Y685" s="21">
        <v>1</v>
      </c>
      <c r="Z685" s="24">
        <f t="shared" si="94"/>
        <v>2976.25</v>
      </c>
      <c r="AA685" s="24">
        <f t="shared" si="95"/>
        <v>3192</v>
      </c>
      <c r="AB685" s="21"/>
      <c r="AC685" s="21"/>
      <c r="AD685" s="21"/>
      <c r="AE685" s="21"/>
      <c r="AF685" s="21" t="s">
        <v>247</v>
      </c>
      <c r="AG685" s="21"/>
      <c r="AH685" s="24"/>
      <c r="AI685" s="24"/>
      <c r="AJ685" s="21">
        <v>5043.5</v>
      </c>
      <c r="AK685" s="21">
        <v>66.5</v>
      </c>
      <c r="AL685" s="22" t="s">
        <v>161</v>
      </c>
      <c r="AM685" s="22">
        <v>0.11</v>
      </c>
      <c r="AO685" s="22" t="s">
        <v>1447</v>
      </c>
      <c r="AP685" s="22" t="s">
        <v>1432</v>
      </c>
      <c r="AQ685" s="22" t="str">
        <f t="shared" si="96"/>
        <v>Microphytoplankton</v>
      </c>
      <c r="AR685" s="22">
        <v>1</v>
      </c>
      <c r="AS685" s="22">
        <v>0</v>
      </c>
      <c r="AT685" s="22">
        <v>1</v>
      </c>
      <c r="AU685" s="22">
        <v>0</v>
      </c>
      <c r="AV685" s="22">
        <v>0</v>
      </c>
      <c r="AW685" s="22">
        <v>0</v>
      </c>
      <c r="AX685" s="22">
        <v>1</v>
      </c>
      <c r="AY685" s="22">
        <v>0</v>
      </c>
    </row>
    <row r="686" spans="1:51">
      <c r="A686" s="22" t="s">
        <v>2094</v>
      </c>
      <c r="B686" s="22" t="s">
        <v>663</v>
      </c>
      <c r="C686" s="23" t="s">
        <v>822</v>
      </c>
      <c r="D686" s="23" t="s">
        <v>965</v>
      </c>
      <c r="E686" s="22" t="s">
        <v>62</v>
      </c>
      <c r="F686" s="23" t="s">
        <v>1434</v>
      </c>
      <c r="G686" s="23" t="s">
        <v>1473</v>
      </c>
      <c r="H686" s="23" t="s">
        <v>2084</v>
      </c>
      <c r="I686" s="22" t="s">
        <v>2089</v>
      </c>
      <c r="J686" s="22" t="s">
        <v>2095</v>
      </c>
      <c r="N686" s="22" t="s">
        <v>694</v>
      </c>
      <c r="O686" s="22" t="s">
        <v>1430</v>
      </c>
      <c r="P686" s="21">
        <v>71501</v>
      </c>
      <c r="Q686" s="22">
        <v>60</v>
      </c>
      <c r="R686" s="22">
        <v>10</v>
      </c>
      <c r="S686" s="22">
        <v>5</v>
      </c>
      <c r="T686" s="22" t="s">
        <v>330</v>
      </c>
      <c r="U686" s="22">
        <v>0.8</v>
      </c>
      <c r="V686" s="21">
        <v>0.8</v>
      </c>
      <c r="W686" s="25">
        <f t="shared" si="97"/>
        <v>2375</v>
      </c>
      <c r="X686" s="25">
        <f t="shared" si="98"/>
        <v>2400</v>
      </c>
      <c r="Y686" s="21">
        <v>1</v>
      </c>
      <c r="Z686" s="24">
        <f t="shared" si="94"/>
        <v>2375</v>
      </c>
      <c r="AA686" s="24">
        <f t="shared" si="95"/>
        <v>2400</v>
      </c>
      <c r="AE686" s="21"/>
      <c r="AF686" s="21" t="s">
        <v>247</v>
      </c>
      <c r="AJ686" s="21">
        <v>2321</v>
      </c>
      <c r="AK686" s="21">
        <v>95</v>
      </c>
      <c r="AL686" s="22" t="s">
        <v>161</v>
      </c>
      <c r="AM686" s="22">
        <v>0.11</v>
      </c>
      <c r="AO686" s="22" t="s">
        <v>1447</v>
      </c>
      <c r="AP686" s="22" t="s">
        <v>1432</v>
      </c>
      <c r="AQ686" s="22" t="str">
        <f t="shared" si="96"/>
        <v>Microphytoplankton</v>
      </c>
      <c r="AR686" s="22">
        <v>1</v>
      </c>
      <c r="AS686" s="22">
        <v>0</v>
      </c>
      <c r="AT686" s="22">
        <v>1</v>
      </c>
      <c r="AU686" s="22">
        <v>0</v>
      </c>
      <c r="AV686" s="22">
        <v>0</v>
      </c>
      <c r="AW686" s="22">
        <v>0</v>
      </c>
      <c r="AX686" s="22">
        <v>1</v>
      </c>
      <c r="AY686" s="22">
        <v>0</v>
      </c>
    </row>
    <row r="687" spans="1:51">
      <c r="A687" s="21" t="s">
        <v>2096</v>
      </c>
      <c r="B687" s="22" t="s">
        <v>663</v>
      </c>
      <c r="C687" s="23" t="s">
        <v>822</v>
      </c>
      <c r="D687" s="23" t="s">
        <v>965</v>
      </c>
      <c r="E687" s="22" t="s">
        <v>62</v>
      </c>
      <c r="F687" s="23" t="s">
        <v>1434</v>
      </c>
      <c r="G687" s="23" t="s">
        <v>1473</v>
      </c>
      <c r="H687" s="23" t="s">
        <v>2084</v>
      </c>
      <c r="I687" s="22" t="s">
        <v>2089</v>
      </c>
      <c r="J687" s="22" t="s">
        <v>530</v>
      </c>
      <c r="N687" s="22" t="s">
        <v>1894</v>
      </c>
      <c r="O687" s="22" t="s">
        <v>1430</v>
      </c>
      <c r="P687" s="21">
        <v>71520</v>
      </c>
      <c r="Q687" s="21">
        <v>170</v>
      </c>
      <c r="R687" s="21">
        <v>24</v>
      </c>
      <c r="S687" s="21">
        <v>10</v>
      </c>
      <c r="T687" s="22" t="s">
        <v>330</v>
      </c>
      <c r="U687" s="21">
        <v>0.8</v>
      </c>
      <c r="V687" s="21">
        <v>0.8</v>
      </c>
      <c r="W687" s="25">
        <f t="shared" si="97"/>
        <v>15050</v>
      </c>
      <c r="X687" s="25">
        <f t="shared" si="98"/>
        <v>32640</v>
      </c>
      <c r="Y687" s="21">
        <v>1</v>
      </c>
      <c r="Z687" s="24">
        <f t="shared" si="94"/>
        <v>15050</v>
      </c>
      <c r="AA687" s="24">
        <f t="shared" si="95"/>
        <v>32640</v>
      </c>
      <c r="AB687" s="21"/>
      <c r="AC687" s="21"/>
      <c r="AD687" s="21"/>
      <c r="AE687" s="21"/>
      <c r="AF687" s="21" t="s">
        <v>247</v>
      </c>
      <c r="AG687" s="21"/>
      <c r="AH687" s="24"/>
      <c r="AI687" s="24"/>
      <c r="AJ687" s="21">
        <v>32640</v>
      </c>
      <c r="AK687" s="21">
        <v>170</v>
      </c>
      <c r="AL687" s="22" t="s">
        <v>161</v>
      </c>
      <c r="AM687" s="22">
        <v>0.11</v>
      </c>
      <c r="AO687" s="22" t="s">
        <v>1447</v>
      </c>
      <c r="AP687" s="22" t="s">
        <v>1432</v>
      </c>
      <c r="AQ687" s="22" t="str">
        <f t="shared" si="96"/>
        <v>Microphytoplankton</v>
      </c>
      <c r="AR687" s="22">
        <v>1</v>
      </c>
      <c r="AS687" s="22">
        <v>0</v>
      </c>
      <c r="AT687" s="22">
        <v>1</v>
      </c>
      <c r="AU687" s="22">
        <v>0</v>
      </c>
      <c r="AV687" s="22">
        <v>0</v>
      </c>
      <c r="AW687" s="22">
        <v>0</v>
      </c>
      <c r="AX687" s="22">
        <v>1</v>
      </c>
      <c r="AY687" s="22">
        <v>0</v>
      </c>
    </row>
    <row r="688" spans="1:51">
      <c r="A688" s="21" t="s">
        <v>2097</v>
      </c>
      <c r="B688" s="22" t="s">
        <v>663</v>
      </c>
      <c r="C688" s="23" t="s">
        <v>822</v>
      </c>
      <c r="D688" s="23" t="s">
        <v>965</v>
      </c>
      <c r="E688" s="22" t="s">
        <v>62</v>
      </c>
      <c r="F688" s="23" t="s">
        <v>1434</v>
      </c>
      <c r="G688" s="23" t="s">
        <v>1473</v>
      </c>
      <c r="H688" s="23" t="s">
        <v>2084</v>
      </c>
      <c r="I688" s="22" t="s">
        <v>2089</v>
      </c>
      <c r="J688" s="22" t="s">
        <v>211</v>
      </c>
      <c r="M688" s="22" t="s">
        <v>1</v>
      </c>
      <c r="N688" s="22" t="s">
        <v>694</v>
      </c>
      <c r="O688" s="22" t="s">
        <v>1430</v>
      </c>
      <c r="P688" s="21">
        <v>71500</v>
      </c>
      <c r="Q688" s="21">
        <v>89</v>
      </c>
      <c r="R688" s="21">
        <v>13</v>
      </c>
      <c r="S688" s="21">
        <v>17</v>
      </c>
      <c r="T688" s="22" t="s">
        <v>330</v>
      </c>
      <c r="U688" s="21">
        <v>0.8</v>
      </c>
      <c r="V688" s="21">
        <v>0.8</v>
      </c>
      <c r="W688" s="25">
        <f t="shared" si="97"/>
        <v>7227.5</v>
      </c>
      <c r="X688" s="25">
        <f t="shared" si="98"/>
        <v>15735.2</v>
      </c>
      <c r="Y688" s="21">
        <v>1</v>
      </c>
      <c r="Z688" s="24">
        <f t="shared" si="94"/>
        <v>7227.5</v>
      </c>
      <c r="AA688" s="24">
        <f t="shared" si="95"/>
        <v>15735.2</v>
      </c>
      <c r="AB688" s="21"/>
      <c r="AC688" s="21"/>
      <c r="AD688" s="21"/>
      <c r="AE688" s="21"/>
      <c r="AF688" s="21" t="s">
        <v>247</v>
      </c>
      <c r="AG688" s="21"/>
      <c r="AH688" s="24"/>
      <c r="AI688" s="24"/>
      <c r="AJ688" s="21">
        <v>15735.2</v>
      </c>
      <c r="AK688" s="21">
        <v>89</v>
      </c>
      <c r="AL688" s="22" t="s">
        <v>161</v>
      </c>
      <c r="AM688" s="22">
        <v>0.11</v>
      </c>
      <c r="AO688" s="22" t="s">
        <v>1447</v>
      </c>
      <c r="AP688" s="22" t="s">
        <v>1432</v>
      </c>
      <c r="AQ688" s="22" t="str">
        <f t="shared" si="96"/>
        <v>Microphytoplankton</v>
      </c>
      <c r="AR688" s="22">
        <v>1</v>
      </c>
      <c r="AS688" s="22">
        <v>0</v>
      </c>
      <c r="AT688" s="22">
        <v>1</v>
      </c>
      <c r="AU688" s="22">
        <v>0</v>
      </c>
      <c r="AV688" s="22">
        <v>0</v>
      </c>
      <c r="AW688" s="22">
        <v>0</v>
      </c>
      <c r="AX688" s="22">
        <v>1</v>
      </c>
      <c r="AY688" s="22">
        <v>0</v>
      </c>
    </row>
    <row r="689" spans="1:57">
      <c r="A689" s="21" t="s">
        <v>2098</v>
      </c>
      <c r="B689" s="22" t="s">
        <v>663</v>
      </c>
      <c r="C689" s="23" t="s">
        <v>822</v>
      </c>
      <c r="D689" s="23" t="s">
        <v>965</v>
      </c>
      <c r="E689" s="22" t="s">
        <v>62</v>
      </c>
      <c r="F689" s="23" t="s">
        <v>1434</v>
      </c>
      <c r="G689" s="23" t="s">
        <v>1473</v>
      </c>
      <c r="H689" s="23" t="s">
        <v>2084</v>
      </c>
      <c r="I689" s="22" t="s">
        <v>2089</v>
      </c>
      <c r="J689" s="22" t="s">
        <v>897</v>
      </c>
      <c r="N689" s="22" t="s">
        <v>2099</v>
      </c>
      <c r="O689" s="22" t="s">
        <v>1430</v>
      </c>
      <c r="P689" s="21">
        <v>71530</v>
      </c>
      <c r="Q689" s="21">
        <v>70</v>
      </c>
      <c r="R689" s="21">
        <v>12</v>
      </c>
      <c r="S689" s="21">
        <v>6</v>
      </c>
      <c r="T689" s="22" t="s">
        <v>330</v>
      </c>
      <c r="U689" s="21">
        <v>0.8</v>
      </c>
      <c r="V689" s="21">
        <v>0.8</v>
      </c>
      <c r="W689" s="25">
        <f t="shared" si="97"/>
        <v>3330</v>
      </c>
      <c r="X689" s="25">
        <f t="shared" si="98"/>
        <v>4032</v>
      </c>
      <c r="Y689" s="21">
        <v>1</v>
      </c>
      <c r="Z689" s="24">
        <f t="shared" si="94"/>
        <v>3330</v>
      </c>
      <c r="AA689" s="24">
        <f t="shared" si="95"/>
        <v>4032</v>
      </c>
      <c r="AB689" s="21"/>
      <c r="AC689" s="21"/>
      <c r="AD689" s="21"/>
      <c r="AE689" s="21"/>
      <c r="AF689" s="21" t="s">
        <v>247</v>
      </c>
      <c r="AG689" s="21"/>
      <c r="AH689" s="24"/>
      <c r="AI689" s="24"/>
      <c r="AJ689" s="21">
        <v>4032</v>
      </c>
      <c r="AK689" s="21">
        <v>70</v>
      </c>
      <c r="AL689" s="22" t="s">
        <v>161</v>
      </c>
      <c r="AM689" s="22">
        <v>0.11</v>
      </c>
      <c r="AO689" s="22" t="s">
        <v>1447</v>
      </c>
      <c r="AP689" s="22" t="s">
        <v>1432</v>
      </c>
      <c r="AQ689" s="22" t="str">
        <f t="shared" si="96"/>
        <v>Microphytoplankton</v>
      </c>
      <c r="AR689" s="22">
        <v>1</v>
      </c>
      <c r="AS689" s="22">
        <v>0</v>
      </c>
      <c r="AT689" s="22">
        <v>1</v>
      </c>
      <c r="AU689" s="22">
        <v>0</v>
      </c>
      <c r="AV689" s="22">
        <v>0</v>
      </c>
      <c r="AW689" s="22">
        <v>0</v>
      </c>
      <c r="AX689" s="22">
        <v>1</v>
      </c>
      <c r="AY689" s="22">
        <v>0</v>
      </c>
    </row>
    <row r="690" spans="1:57">
      <c r="A690" s="21" t="s">
        <v>2100</v>
      </c>
      <c r="B690" s="22" t="s">
        <v>663</v>
      </c>
      <c r="C690" s="23" t="s">
        <v>822</v>
      </c>
      <c r="D690" s="23" t="s">
        <v>965</v>
      </c>
      <c r="E690" s="22" t="s">
        <v>62</v>
      </c>
      <c r="F690" s="23" t="s">
        <v>1434</v>
      </c>
      <c r="G690" s="23" t="s">
        <v>1473</v>
      </c>
      <c r="H690" s="23" t="s">
        <v>1545</v>
      </c>
      <c r="I690" s="22" t="s">
        <v>2101</v>
      </c>
      <c r="J690" s="22" t="s">
        <v>1965</v>
      </c>
      <c r="N690" s="22" t="s">
        <v>2102</v>
      </c>
      <c r="O690" s="22" t="s">
        <v>1430</v>
      </c>
      <c r="P690" s="21">
        <v>71531</v>
      </c>
      <c r="Q690" s="21">
        <v>32.5</v>
      </c>
      <c r="R690" s="21">
        <v>11</v>
      </c>
      <c r="S690" s="21">
        <v>3</v>
      </c>
      <c r="T690" s="22" t="s">
        <v>330</v>
      </c>
      <c r="U690" s="21">
        <v>0.8</v>
      </c>
      <c r="V690" s="21">
        <v>0.8</v>
      </c>
      <c r="W690" s="25">
        <f t="shared" si="97"/>
        <v>1220</v>
      </c>
      <c r="X690" s="25">
        <f t="shared" si="98"/>
        <v>858</v>
      </c>
      <c r="Y690" s="21">
        <v>1</v>
      </c>
      <c r="Z690" s="24">
        <f t="shared" si="94"/>
        <v>1220</v>
      </c>
      <c r="AA690" s="24">
        <f t="shared" si="95"/>
        <v>858</v>
      </c>
      <c r="AB690" s="21"/>
      <c r="AC690" s="21"/>
      <c r="AD690" s="21"/>
      <c r="AE690" s="21"/>
      <c r="AF690" s="21" t="s">
        <v>247</v>
      </c>
      <c r="AG690" s="21"/>
      <c r="AH690" s="24"/>
      <c r="AI690" s="24"/>
      <c r="AJ690" s="21">
        <v>829</v>
      </c>
      <c r="AK690" s="21">
        <v>32.5</v>
      </c>
      <c r="AL690" s="22" t="s">
        <v>161</v>
      </c>
      <c r="AM690" s="22">
        <v>0.11</v>
      </c>
      <c r="AO690" s="22" t="s">
        <v>1447</v>
      </c>
      <c r="AP690" s="22" t="s">
        <v>1432</v>
      </c>
      <c r="AQ690" s="22" t="str">
        <f t="shared" si="96"/>
        <v>Microphytoplankton</v>
      </c>
      <c r="AR690" s="22">
        <v>1</v>
      </c>
      <c r="AS690" s="22">
        <v>0</v>
      </c>
      <c r="AT690" s="22">
        <v>1</v>
      </c>
      <c r="AU690" s="22">
        <v>0</v>
      </c>
      <c r="AV690" s="22">
        <v>0</v>
      </c>
      <c r="AW690" s="22">
        <v>0</v>
      </c>
      <c r="AX690" s="22">
        <v>1</v>
      </c>
      <c r="AY690" s="22">
        <v>0</v>
      </c>
    </row>
    <row r="691" spans="1:57">
      <c r="A691" s="21" t="s">
        <v>2103</v>
      </c>
      <c r="B691" s="22" t="s">
        <v>663</v>
      </c>
      <c r="C691" s="23" t="s">
        <v>822</v>
      </c>
      <c r="D691" s="23" t="s">
        <v>965</v>
      </c>
      <c r="E691" s="22" t="s">
        <v>62</v>
      </c>
      <c r="F691" s="23" t="s">
        <v>1434</v>
      </c>
      <c r="G691" s="23" t="s">
        <v>1435</v>
      </c>
      <c r="H691" s="23" t="s">
        <v>1436</v>
      </c>
      <c r="I691" s="22" t="s">
        <v>2104</v>
      </c>
      <c r="J691" s="22" t="s">
        <v>2105</v>
      </c>
      <c r="N691" s="22" t="s">
        <v>2106</v>
      </c>
      <c r="O691" s="22" t="s">
        <v>1430</v>
      </c>
      <c r="P691" s="21">
        <v>71108</v>
      </c>
      <c r="Q691" s="21">
        <v>15</v>
      </c>
      <c r="R691" s="21">
        <v>9.5</v>
      </c>
      <c r="S691" s="21">
        <v>3</v>
      </c>
      <c r="T691" s="22" t="s">
        <v>330</v>
      </c>
      <c r="U691" s="21">
        <v>0.8</v>
      </c>
      <c r="V691" s="21">
        <v>0.8</v>
      </c>
      <c r="W691" s="25">
        <f t="shared" si="97"/>
        <v>540</v>
      </c>
      <c r="X691" s="25">
        <f t="shared" si="98"/>
        <v>342</v>
      </c>
      <c r="Y691" s="21">
        <v>1</v>
      </c>
      <c r="Z691" s="24">
        <f t="shared" si="94"/>
        <v>540</v>
      </c>
      <c r="AA691" s="24">
        <f t="shared" si="95"/>
        <v>342</v>
      </c>
      <c r="AB691" s="21"/>
      <c r="AC691" s="21"/>
      <c r="AD691" s="21"/>
      <c r="AE691" s="21"/>
      <c r="AF691" s="21" t="s">
        <v>247</v>
      </c>
      <c r="AG691" s="21"/>
      <c r="AH691" s="24"/>
      <c r="AI691" s="24"/>
      <c r="AJ691" s="21">
        <v>546</v>
      </c>
      <c r="AK691" s="21">
        <v>15</v>
      </c>
      <c r="AL691" s="22" t="s">
        <v>161</v>
      </c>
      <c r="AM691" s="22">
        <v>0.11</v>
      </c>
      <c r="AO691" s="22" t="s">
        <v>1447</v>
      </c>
      <c r="AP691" s="22" t="s">
        <v>1432</v>
      </c>
      <c r="AQ691" s="22" t="str">
        <f t="shared" si="96"/>
        <v>Nanophytoplankton</v>
      </c>
      <c r="AR691" s="22">
        <v>1</v>
      </c>
      <c r="AS691" s="22">
        <v>0</v>
      </c>
      <c r="AT691" s="22">
        <v>1</v>
      </c>
      <c r="AU691" s="22">
        <v>0</v>
      </c>
      <c r="AV691" s="22">
        <v>0</v>
      </c>
      <c r="AW691" s="22">
        <v>0</v>
      </c>
      <c r="AX691" s="22">
        <v>1</v>
      </c>
      <c r="AY691" s="22">
        <v>0</v>
      </c>
    </row>
    <row r="692" spans="1:57">
      <c r="A692" s="22" t="s">
        <v>2107</v>
      </c>
      <c r="B692" s="22" t="s">
        <v>663</v>
      </c>
      <c r="C692" s="23" t="s">
        <v>822</v>
      </c>
      <c r="D692" s="23" t="s">
        <v>965</v>
      </c>
      <c r="E692" s="22" t="s">
        <v>62</v>
      </c>
      <c r="F692" s="23" t="s">
        <v>1434</v>
      </c>
      <c r="G692" s="23" t="s">
        <v>1435</v>
      </c>
      <c r="H692" s="23" t="s">
        <v>1436</v>
      </c>
      <c r="I692" s="22" t="s">
        <v>2104</v>
      </c>
      <c r="J692" s="22" t="s">
        <v>1908</v>
      </c>
      <c r="N692" s="22" t="s">
        <v>2108</v>
      </c>
      <c r="O692" s="22" t="s">
        <v>1430</v>
      </c>
      <c r="P692" s="21">
        <v>71109</v>
      </c>
      <c r="Q692" s="22">
        <v>23</v>
      </c>
      <c r="R692" s="22">
        <v>7.5</v>
      </c>
      <c r="S692" s="22">
        <v>3</v>
      </c>
      <c r="T692" s="22" t="s">
        <v>330</v>
      </c>
      <c r="U692" s="22">
        <v>0.9</v>
      </c>
      <c r="V692" s="21">
        <v>0.9</v>
      </c>
      <c r="W692" s="25">
        <f t="shared" si="97"/>
        <v>586.66666666666663</v>
      </c>
      <c r="X692" s="25">
        <f t="shared" si="98"/>
        <v>465.75</v>
      </c>
      <c r="Y692" s="21">
        <v>1</v>
      </c>
      <c r="Z692" s="24">
        <f t="shared" si="94"/>
        <v>586.66666666666663</v>
      </c>
      <c r="AA692" s="24">
        <f t="shared" si="95"/>
        <v>465.75</v>
      </c>
      <c r="AE692" s="21"/>
      <c r="AF692" s="21" t="s">
        <v>247</v>
      </c>
      <c r="AJ692" s="21">
        <v>475</v>
      </c>
      <c r="AK692" s="21">
        <v>23</v>
      </c>
      <c r="AL692" s="22" t="s">
        <v>161</v>
      </c>
      <c r="AM692" s="22">
        <v>0.11</v>
      </c>
      <c r="AO692" s="22" t="s">
        <v>1447</v>
      </c>
      <c r="AP692" s="22" t="s">
        <v>1432</v>
      </c>
      <c r="AQ692" s="22" t="str">
        <f t="shared" si="96"/>
        <v>Microphytoplankton</v>
      </c>
      <c r="AR692" s="22">
        <v>1</v>
      </c>
      <c r="AS692" s="22">
        <v>0</v>
      </c>
      <c r="AT692" s="22">
        <v>1</v>
      </c>
      <c r="AU692" s="22">
        <v>0</v>
      </c>
      <c r="AV692" s="22">
        <v>0</v>
      </c>
      <c r="AW692" s="22">
        <v>0</v>
      </c>
      <c r="AX692" s="22">
        <v>1</v>
      </c>
      <c r="AY692" s="22">
        <v>0</v>
      </c>
    </row>
    <row r="693" spans="1:57">
      <c r="A693" s="22" t="s">
        <v>2109</v>
      </c>
      <c r="B693" s="22" t="s">
        <v>663</v>
      </c>
      <c r="C693" s="23" t="s">
        <v>822</v>
      </c>
      <c r="D693" s="23" t="s">
        <v>965</v>
      </c>
      <c r="E693" s="22" t="s">
        <v>62</v>
      </c>
      <c r="F693" s="22" t="s">
        <v>1424</v>
      </c>
      <c r="G693" s="23" t="s">
        <v>1553</v>
      </c>
      <c r="H693" s="23" t="s">
        <v>1554</v>
      </c>
      <c r="I693" s="22" t="s">
        <v>1587</v>
      </c>
      <c r="J693" s="22" t="s">
        <v>1640</v>
      </c>
      <c r="N693" s="22" t="s">
        <v>2110</v>
      </c>
      <c r="O693" s="22" t="s">
        <v>1430</v>
      </c>
      <c r="P693" s="21">
        <v>70241</v>
      </c>
      <c r="Q693" s="21">
        <v>20</v>
      </c>
      <c r="R693" s="21">
        <v>20</v>
      </c>
      <c r="S693" s="21">
        <v>5</v>
      </c>
      <c r="T693" s="22" t="s">
        <v>330</v>
      </c>
      <c r="U693" s="21">
        <v>1</v>
      </c>
      <c r="V693" s="22">
        <v>1</v>
      </c>
      <c r="W693" s="25">
        <f t="shared" si="97"/>
        <v>1200</v>
      </c>
      <c r="X693" s="25">
        <f t="shared" si="98"/>
        <v>2000</v>
      </c>
      <c r="Y693" s="21">
        <v>1</v>
      </c>
      <c r="Z693" s="24">
        <f t="shared" si="94"/>
        <v>1200</v>
      </c>
      <c r="AA693" s="24">
        <f t="shared" si="95"/>
        <v>2000</v>
      </c>
      <c r="AB693" s="21"/>
      <c r="AC693" s="21"/>
      <c r="AD693" s="21"/>
      <c r="AE693" s="21"/>
      <c r="AF693" s="21" t="s">
        <v>247</v>
      </c>
      <c r="AG693" s="21"/>
      <c r="AH693" s="24"/>
      <c r="AI693" s="24"/>
      <c r="AJ693" s="21">
        <v>1570.8</v>
      </c>
      <c r="AK693" s="21">
        <v>20</v>
      </c>
      <c r="AL693" s="22" t="s">
        <v>161</v>
      </c>
      <c r="AM693" s="22">
        <v>0.11</v>
      </c>
      <c r="AO693" s="22" t="s">
        <v>1529</v>
      </c>
      <c r="AP693" s="22" t="s">
        <v>1432</v>
      </c>
      <c r="AQ693" s="22" t="str">
        <f t="shared" si="96"/>
        <v>Microphytoplankton</v>
      </c>
      <c r="AR693" s="22">
        <v>0</v>
      </c>
      <c r="AS693" s="22">
        <v>0</v>
      </c>
      <c r="AT693" s="22">
        <v>0</v>
      </c>
      <c r="AU693" s="22">
        <v>0</v>
      </c>
      <c r="AV693" s="22">
        <v>0</v>
      </c>
      <c r="AW693" s="22">
        <v>0</v>
      </c>
      <c r="AX693" s="22">
        <v>1</v>
      </c>
      <c r="AY693" s="22">
        <v>0</v>
      </c>
      <c r="AZ693" s="22">
        <v>0</v>
      </c>
      <c r="BA693" s="22">
        <v>0</v>
      </c>
      <c r="BB693" s="22">
        <v>1</v>
      </c>
      <c r="BC693" s="22">
        <v>3</v>
      </c>
      <c r="BD693" s="22">
        <v>5</v>
      </c>
      <c r="BE693" s="22">
        <v>1</v>
      </c>
    </row>
    <row r="694" spans="1:57">
      <c r="A694" s="22" t="s">
        <v>2111</v>
      </c>
      <c r="B694" s="22" t="s">
        <v>663</v>
      </c>
      <c r="C694" s="23" t="s">
        <v>822</v>
      </c>
      <c r="D694" s="23" t="s">
        <v>965</v>
      </c>
      <c r="E694" s="22" t="s">
        <v>62</v>
      </c>
      <c r="F694" s="23" t="s">
        <v>2112</v>
      </c>
      <c r="G694" s="23" t="s">
        <v>2113</v>
      </c>
      <c r="H694" s="23" t="s">
        <v>2114</v>
      </c>
      <c r="I694" s="23" t="s">
        <v>2115</v>
      </c>
      <c r="J694" s="22" t="s">
        <v>2116</v>
      </c>
      <c r="N694" s="22" t="s">
        <v>2117</v>
      </c>
      <c r="O694" s="22" t="s">
        <v>1430</v>
      </c>
      <c r="P694" s="21">
        <v>70299</v>
      </c>
      <c r="Q694" s="22">
        <v>120</v>
      </c>
      <c r="R694" s="22">
        <v>7</v>
      </c>
      <c r="S694" s="22">
        <v>7</v>
      </c>
      <c r="T694" s="21" t="s">
        <v>160</v>
      </c>
      <c r="U694" s="22">
        <v>1</v>
      </c>
      <c r="V694" s="22">
        <v>1</v>
      </c>
      <c r="W694" s="24">
        <f>3.14*R694*Q694+2*3.14*(S694/2)^2/V694</f>
        <v>2714.5299999999997</v>
      </c>
      <c r="X694" s="25">
        <f>(3.14/4*R694^2*Q694)*U694</f>
        <v>4615.8</v>
      </c>
      <c r="Y694" s="21">
        <v>1</v>
      </c>
      <c r="Z694" s="24">
        <f t="shared" si="94"/>
        <v>2714.5299999999997</v>
      </c>
      <c r="AA694" s="24">
        <f t="shared" si="95"/>
        <v>4615.8</v>
      </c>
      <c r="AE694" s="21"/>
      <c r="AF694" s="21" t="s">
        <v>247</v>
      </c>
      <c r="AJ694" s="21">
        <v>4615.8</v>
      </c>
      <c r="AK694" s="21">
        <v>120</v>
      </c>
      <c r="AL694" s="22" t="s">
        <v>161</v>
      </c>
      <c r="AM694" s="22">
        <v>0.11</v>
      </c>
      <c r="AN694" s="22" t="s">
        <v>1431</v>
      </c>
      <c r="AO694" s="22" t="s">
        <v>1431</v>
      </c>
      <c r="AP694" s="22" t="s">
        <v>1432</v>
      </c>
      <c r="AQ694" s="22" t="str">
        <f t="shared" si="96"/>
        <v>Microphytoplankton</v>
      </c>
      <c r="AR694" s="22">
        <v>0</v>
      </c>
      <c r="AS694" s="22">
        <v>0</v>
      </c>
      <c r="AT694" s="22">
        <v>0</v>
      </c>
      <c r="AU694" s="22">
        <v>1</v>
      </c>
      <c r="AV694" s="22">
        <v>0</v>
      </c>
      <c r="AW694" s="22">
        <v>0</v>
      </c>
      <c r="AX694" s="22">
        <v>1</v>
      </c>
      <c r="AY694" s="22">
        <v>0</v>
      </c>
    </row>
    <row r="695" spans="1:57">
      <c r="A695" s="22" t="s">
        <v>2118</v>
      </c>
      <c r="B695" s="22" t="s">
        <v>663</v>
      </c>
      <c r="C695" s="23" t="s">
        <v>822</v>
      </c>
      <c r="D695" s="23" t="s">
        <v>965</v>
      </c>
      <c r="E695" s="22" t="s">
        <v>62</v>
      </c>
      <c r="F695" s="23" t="s">
        <v>2112</v>
      </c>
      <c r="G695" s="23" t="s">
        <v>2113</v>
      </c>
      <c r="H695" s="23" t="s">
        <v>2114</v>
      </c>
      <c r="I695" s="23" t="s">
        <v>2115</v>
      </c>
      <c r="J695" s="22" t="s">
        <v>2119</v>
      </c>
      <c r="N695" s="22" t="s">
        <v>2120</v>
      </c>
      <c r="O695" s="22" t="s">
        <v>1430</v>
      </c>
      <c r="P695" s="21">
        <v>70298</v>
      </c>
      <c r="Q695" s="22">
        <v>75</v>
      </c>
      <c r="R695" s="22">
        <v>12.5</v>
      </c>
      <c r="S695" s="22">
        <v>3</v>
      </c>
      <c r="T695" s="22" t="s">
        <v>330</v>
      </c>
      <c r="U695" s="22">
        <v>0.5</v>
      </c>
      <c r="V695" s="21">
        <v>0.5</v>
      </c>
      <c r="W695" s="25">
        <f t="shared" ref="W695:W700" si="99">(Q695*R695*2+Q695*S695*2+R695*S695*2)/V695</f>
        <v>4800</v>
      </c>
      <c r="X695" s="25">
        <f t="shared" ref="X695:X700" si="100">Q695*R695*S695*U695</f>
        <v>1406.25</v>
      </c>
      <c r="Y695" s="21">
        <v>1</v>
      </c>
      <c r="Z695" s="24">
        <f t="shared" si="94"/>
        <v>4800</v>
      </c>
      <c r="AA695" s="24">
        <f t="shared" si="95"/>
        <v>1406.25</v>
      </c>
      <c r="AE695" s="21"/>
      <c r="AF695" s="21" t="s">
        <v>247</v>
      </c>
      <c r="AJ695" s="21">
        <v>1406.25</v>
      </c>
      <c r="AK695" s="21">
        <v>75</v>
      </c>
      <c r="AL695" s="22" t="s">
        <v>161</v>
      </c>
      <c r="AM695" s="22">
        <v>0.11</v>
      </c>
      <c r="AO695" s="22" t="s">
        <v>1431</v>
      </c>
      <c r="AP695" s="22" t="s">
        <v>1432</v>
      </c>
      <c r="AQ695" s="22" t="str">
        <f t="shared" si="96"/>
        <v>Microphytoplankton</v>
      </c>
      <c r="AR695" s="22">
        <v>0</v>
      </c>
      <c r="AS695" s="22">
        <v>0</v>
      </c>
      <c r="AT695" s="22">
        <v>0</v>
      </c>
      <c r="AU695" s="22">
        <v>1</v>
      </c>
      <c r="AV695" s="22">
        <v>0</v>
      </c>
      <c r="AW695" s="22">
        <v>0</v>
      </c>
      <c r="AX695" s="22">
        <v>1</v>
      </c>
      <c r="AY695" s="22">
        <v>0</v>
      </c>
    </row>
    <row r="696" spans="1:57">
      <c r="A696" s="21" t="s">
        <v>2121</v>
      </c>
      <c r="B696" s="22" t="s">
        <v>663</v>
      </c>
      <c r="C696" s="23" t="s">
        <v>822</v>
      </c>
      <c r="D696" s="23" t="s">
        <v>965</v>
      </c>
      <c r="E696" s="22" t="s">
        <v>62</v>
      </c>
      <c r="F696" s="23" t="s">
        <v>1434</v>
      </c>
      <c r="G696" s="23" t="s">
        <v>1662</v>
      </c>
      <c r="H696" s="23" t="s">
        <v>2122</v>
      </c>
      <c r="I696" s="22" t="s">
        <v>2123</v>
      </c>
      <c r="J696" s="22" t="s">
        <v>2124</v>
      </c>
      <c r="N696" s="22" t="s">
        <v>2125</v>
      </c>
      <c r="O696" s="22" t="s">
        <v>1430</v>
      </c>
      <c r="P696" s="21">
        <v>72610</v>
      </c>
      <c r="Q696" s="21">
        <v>20</v>
      </c>
      <c r="R696" s="21">
        <v>10</v>
      </c>
      <c r="S696" s="21">
        <v>10</v>
      </c>
      <c r="T696" s="22" t="s">
        <v>330</v>
      </c>
      <c r="U696" s="21">
        <v>0.6</v>
      </c>
      <c r="V696" s="21">
        <v>0.6</v>
      </c>
      <c r="W696" s="25">
        <f t="shared" si="99"/>
        <v>1666.6666666666667</v>
      </c>
      <c r="X696" s="25">
        <f t="shared" si="100"/>
        <v>1200</v>
      </c>
      <c r="Y696" s="21">
        <v>1</v>
      </c>
      <c r="Z696" s="24">
        <f t="shared" si="94"/>
        <v>1666.6666666666667</v>
      </c>
      <c r="AA696" s="24">
        <f t="shared" si="95"/>
        <v>1200</v>
      </c>
      <c r="AB696" s="21"/>
      <c r="AC696" s="21"/>
      <c r="AD696" s="21"/>
      <c r="AE696" s="21"/>
      <c r="AF696" s="21" t="s">
        <v>247</v>
      </c>
      <c r="AG696" s="21"/>
      <c r="AH696" s="24"/>
      <c r="AI696" s="24"/>
      <c r="AJ696" s="21">
        <v>1200</v>
      </c>
      <c r="AK696" s="21">
        <v>20</v>
      </c>
      <c r="AL696" s="22" t="s">
        <v>161</v>
      </c>
      <c r="AM696" s="22">
        <v>0.11</v>
      </c>
      <c r="AO696" s="22" t="s">
        <v>1447</v>
      </c>
      <c r="AP696" s="22" t="s">
        <v>1432</v>
      </c>
      <c r="AQ696" s="22" t="str">
        <f t="shared" si="96"/>
        <v>Microphytoplankton</v>
      </c>
      <c r="AR696" s="22">
        <v>1</v>
      </c>
      <c r="AS696" s="22">
        <v>0</v>
      </c>
      <c r="AT696" s="22">
        <v>1</v>
      </c>
      <c r="AU696" s="22">
        <v>0</v>
      </c>
      <c r="AV696" s="22">
        <v>0</v>
      </c>
      <c r="AW696" s="22">
        <v>0</v>
      </c>
      <c r="AX696" s="22">
        <v>1</v>
      </c>
      <c r="AY696" s="22">
        <v>0</v>
      </c>
    </row>
    <row r="697" spans="1:57">
      <c r="A697" s="21" t="s">
        <v>2126</v>
      </c>
      <c r="B697" s="22" t="s">
        <v>663</v>
      </c>
      <c r="C697" s="23" t="s">
        <v>822</v>
      </c>
      <c r="D697" s="23" t="s">
        <v>965</v>
      </c>
      <c r="E697" s="22" t="s">
        <v>62</v>
      </c>
      <c r="F697" s="23" t="s">
        <v>1434</v>
      </c>
      <c r="G697" s="23" t="s">
        <v>1778</v>
      </c>
      <c r="H697" s="23" t="s">
        <v>1779</v>
      </c>
      <c r="I697" s="22" t="s">
        <v>2127</v>
      </c>
      <c r="J697" s="22" t="s">
        <v>2095</v>
      </c>
      <c r="N697" s="22" t="s">
        <v>2128</v>
      </c>
      <c r="O697" s="22" t="s">
        <v>1430</v>
      </c>
      <c r="P697" s="21">
        <v>72615</v>
      </c>
      <c r="Q697" s="21">
        <v>102</v>
      </c>
      <c r="R697" s="21">
        <v>15</v>
      </c>
      <c r="S697" s="21">
        <v>7.5</v>
      </c>
      <c r="T697" s="22" t="s">
        <v>330</v>
      </c>
      <c r="U697" s="21">
        <v>0.8</v>
      </c>
      <c r="V697" s="21">
        <v>0.8</v>
      </c>
      <c r="W697" s="25">
        <f t="shared" si="99"/>
        <v>6018.75</v>
      </c>
      <c r="X697" s="25">
        <f t="shared" si="100"/>
        <v>9180</v>
      </c>
      <c r="Y697" s="21">
        <v>1</v>
      </c>
      <c r="Z697" s="24">
        <f t="shared" si="94"/>
        <v>6018.75</v>
      </c>
      <c r="AA697" s="24">
        <f t="shared" si="95"/>
        <v>9180</v>
      </c>
      <c r="AB697" s="21"/>
      <c r="AC697" s="21"/>
      <c r="AD697" s="21"/>
      <c r="AE697" s="21"/>
      <c r="AF697" s="21" t="s">
        <v>247</v>
      </c>
      <c r="AG697" s="21"/>
      <c r="AH697" s="24"/>
      <c r="AI697" s="24"/>
      <c r="AJ697" s="21">
        <v>9180</v>
      </c>
      <c r="AK697" s="21">
        <v>102</v>
      </c>
      <c r="AL697" s="22" t="s">
        <v>161</v>
      </c>
      <c r="AM697" s="22">
        <v>0.11</v>
      </c>
      <c r="AO697" s="22" t="s">
        <v>1447</v>
      </c>
      <c r="AP697" s="22" t="s">
        <v>1432</v>
      </c>
      <c r="AQ697" s="22" t="str">
        <f t="shared" si="96"/>
        <v>Microphytoplankton</v>
      </c>
      <c r="AR697" s="22">
        <v>1</v>
      </c>
      <c r="AS697" s="22">
        <v>0</v>
      </c>
      <c r="AT697" s="22">
        <v>1</v>
      </c>
      <c r="AU697" s="22">
        <v>0</v>
      </c>
      <c r="AV697" s="22">
        <v>0</v>
      </c>
      <c r="AW697" s="22">
        <v>0</v>
      </c>
      <c r="AX697" s="22">
        <v>1</v>
      </c>
      <c r="AY697" s="22">
        <v>0</v>
      </c>
    </row>
    <row r="698" spans="1:57">
      <c r="A698" s="21" t="s">
        <v>2129</v>
      </c>
      <c r="B698" s="22" t="s">
        <v>663</v>
      </c>
      <c r="C698" s="23" t="s">
        <v>822</v>
      </c>
      <c r="D698" s="23" t="s">
        <v>965</v>
      </c>
      <c r="E698" s="22" t="s">
        <v>62</v>
      </c>
      <c r="F698" s="23" t="s">
        <v>1434</v>
      </c>
      <c r="G698" s="23" t="s">
        <v>1473</v>
      </c>
      <c r="H698" s="23" t="s">
        <v>1545</v>
      </c>
      <c r="I698" s="22" t="s">
        <v>2130</v>
      </c>
      <c r="J698" s="22" t="s">
        <v>2131</v>
      </c>
      <c r="N698" s="22" t="s">
        <v>2132</v>
      </c>
      <c r="O698" s="22" t="s">
        <v>1430</v>
      </c>
      <c r="P698" s="21">
        <v>71411</v>
      </c>
      <c r="Q698" s="22">
        <v>60</v>
      </c>
      <c r="R698" s="22">
        <v>15</v>
      </c>
      <c r="S698" s="22">
        <v>2.5</v>
      </c>
      <c r="T698" s="22" t="s">
        <v>330</v>
      </c>
      <c r="U698" s="22">
        <v>0.9</v>
      </c>
      <c r="V698" s="21">
        <v>0.9</v>
      </c>
      <c r="W698" s="25">
        <f t="shared" si="99"/>
        <v>2416.6666666666665</v>
      </c>
      <c r="X698" s="25">
        <f t="shared" si="100"/>
        <v>2025</v>
      </c>
      <c r="Y698" s="21">
        <v>1</v>
      </c>
      <c r="Z698" s="24">
        <f t="shared" si="94"/>
        <v>2416.6666666666665</v>
      </c>
      <c r="AA698" s="24">
        <f t="shared" si="95"/>
        <v>2025</v>
      </c>
      <c r="AE698" s="21"/>
      <c r="AF698" s="21" t="s">
        <v>247</v>
      </c>
      <c r="AJ698" s="21">
        <v>2129</v>
      </c>
      <c r="AK698" s="21">
        <v>60</v>
      </c>
      <c r="AL698" s="22" t="s">
        <v>161</v>
      </c>
      <c r="AM698" s="22">
        <v>0.11</v>
      </c>
      <c r="AO698" s="22" t="s">
        <v>1447</v>
      </c>
      <c r="AP698" s="22" t="s">
        <v>1432</v>
      </c>
      <c r="AQ698" s="22" t="str">
        <f t="shared" si="96"/>
        <v>Microphytoplankton</v>
      </c>
      <c r="AR698" s="22">
        <v>1</v>
      </c>
      <c r="AS698" s="22">
        <v>0</v>
      </c>
      <c r="AT698" s="22">
        <v>1</v>
      </c>
      <c r="AU698" s="22">
        <v>0</v>
      </c>
      <c r="AV698" s="22">
        <v>0</v>
      </c>
      <c r="AW698" s="22">
        <v>0</v>
      </c>
      <c r="AX698" s="22">
        <v>1</v>
      </c>
      <c r="AY698" s="22">
        <v>0</v>
      </c>
    </row>
    <row r="699" spans="1:57">
      <c r="A699" s="22" t="s">
        <v>2133</v>
      </c>
      <c r="B699" s="22" t="s">
        <v>663</v>
      </c>
      <c r="C699" s="23" t="s">
        <v>822</v>
      </c>
      <c r="D699" s="23" t="s">
        <v>965</v>
      </c>
      <c r="E699" s="22" t="s">
        <v>62</v>
      </c>
      <c r="F699" s="23" t="s">
        <v>1434</v>
      </c>
      <c r="G699" s="23" t="s">
        <v>1473</v>
      </c>
      <c r="H699" s="23" t="s">
        <v>1545</v>
      </c>
      <c r="I699" s="22" t="s">
        <v>2130</v>
      </c>
      <c r="J699" s="22" t="s">
        <v>1987</v>
      </c>
      <c r="N699" s="22" t="s">
        <v>2134</v>
      </c>
      <c r="O699" s="22" t="s">
        <v>1430</v>
      </c>
      <c r="P699" s="21">
        <v>71410</v>
      </c>
      <c r="Q699" s="22">
        <v>50</v>
      </c>
      <c r="R699" s="22">
        <v>12.5</v>
      </c>
      <c r="S699" s="22">
        <v>2</v>
      </c>
      <c r="T699" s="22" t="s">
        <v>330</v>
      </c>
      <c r="U699" s="22">
        <v>0.9</v>
      </c>
      <c r="V699" s="21">
        <v>0.9</v>
      </c>
      <c r="W699" s="25">
        <f t="shared" si="99"/>
        <v>1666.6666666666665</v>
      </c>
      <c r="X699" s="25">
        <f t="shared" si="100"/>
        <v>1125</v>
      </c>
      <c r="Y699" s="21">
        <v>1</v>
      </c>
      <c r="Z699" s="24">
        <f t="shared" si="94"/>
        <v>1666.6666666666665</v>
      </c>
      <c r="AA699" s="24">
        <f t="shared" si="95"/>
        <v>1125</v>
      </c>
      <c r="AE699" s="21"/>
      <c r="AF699" s="21" t="s">
        <v>247</v>
      </c>
      <c r="AJ699" s="21">
        <v>1183</v>
      </c>
      <c r="AK699" s="21">
        <v>50</v>
      </c>
      <c r="AL699" s="22" t="s">
        <v>161</v>
      </c>
      <c r="AM699" s="22">
        <v>0.11</v>
      </c>
      <c r="AO699" s="22" t="s">
        <v>1447</v>
      </c>
      <c r="AP699" s="22" t="s">
        <v>1432</v>
      </c>
      <c r="AQ699" s="22" t="str">
        <f t="shared" si="96"/>
        <v>Microphytoplankton</v>
      </c>
      <c r="AR699" s="22">
        <v>1</v>
      </c>
      <c r="AS699" s="22">
        <v>0</v>
      </c>
      <c r="AT699" s="22">
        <v>1</v>
      </c>
      <c r="AU699" s="22">
        <v>0</v>
      </c>
      <c r="AV699" s="22">
        <v>0</v>
      </c>
      <c r="AW699" s="22">
        <v>0</v>
      </c>
      <c r="AX699" s="22">
        <v>1</v>
      </c>
      <c r="AY699" s="22">
        <v>0</v>
      </c>
    </row>
    <row r="700" spans="1:57">
      <c r="A700" s="22" t="s">
        <v>2135</v>
      </c>
      <c r="B700" s="22" t="s">
        <v>663</v>
      </c>
      <c r="C700" s="23" t="s">
        <v>822</v>
      </c>
      <c r="D700" s="23" t="s">
        <v>965</v>
      </c>
      <c r="E700" s="22" t="s">
        <v>62</v>
      </c>
      <c r="F700" s="23" t="s">
        <v>1434</v>
      </c>
      <c r="G700" s="23" t="s">
        <v>1473</v>
      </c>
      <c r="H700" s="23" t="s">
        <v>1545</v>
      </c>
      <c r="I700" s="22" t="s">
        <v>2130</v>
      </c>
      <c r="J700" s="22" t="s">
        <v>852</v>
      </c>
      <c r="N700" s="22" t="s">
        <v>2136</v>
      </c>
      <c r="O700" s="22" t="s">
        <v>1430</v>
      </c>
      <c r="P700" s="21">
        <v>71412</v>
      </c>
      <c r="Q700" s="22">
        <v>50</v>
      </c>
      <c r="R700" s="22">
        <v>12.5</v>
      </c>
      <c r="S700" s="22">
        <v>2</v>
      </c>
      <c r="T700" s="22" t="s">
        <v>330</v>
      </c>
      <c r="U700" s="22">
        <v>0.9</v>
      </c>
      <c r="V700" s="21">
        <v>0.9</v>
      </c>
      <c r="W700" s="25">
        <f t="shared" si="99"/>
        <v>1666.6666666666665</v>
      </c>
      <c r="X700" s="25">
        <f t="shared" si="100"/>
        <v>1125</v>
      </c>
      <c r="Y700" s="21">
        <v>1</v>
      </c>
      <c r="Z700" s="24">
        <f t="shared" si="94"/>
        <v>1666.6666666666665</v>
      </c>
      <c r="AA700" s="24">
        <f t="shared" si="95"/>
        <v>1125</v>
      </c>
      <c r="AE700" s="21"/>
      <c r="AF700" s="21" t="s">
        <v>247</v>
      </c>
      <c r="AJ700" s="21">
        <v>1183</v>
      </c>
      <c r="AK700" s="21">
        <v>50</v>
      </c>
      <c r="AL700" s="22" t="s">
        <v>161</v>
      </c>
      <c r="AM700" s="22">
        <v>0.11</v>
      </c>
      <c r="AO700" s="22" t="s">
        <v>1447</v>
      </c>
      <c r="AP700" s="22" t="s">
        <v>1432</v>
      </c>
      <c r="AQ700" s="22" t="str">
        <f t="shared" si="96"/>
        <v>Microphytoplankton</v>
      </c>
      <c r="AR700" s="22">
        <v>1</v>
      </c>
      <c r="AS700" s="22">
        <v>0</v>
      </c>
      <c r="AT700" s="22">
        <v>1</v>
      </c>
      <c r="AU700" s="22">
        <v>0</v>
      </c>
      <c r="AV700" s="22">
        <v>0</v>
      </c>
      <c r="AW700" s="22">
        <v>0</v>
      </c>
      <c r="AX700" s="22">
        <v>1</v>
      </c>
      <c r="AY700" s="22">
        <v>0</v>
      </c>
    </row>
    <row r="701" spans="1:57">
      <c r="A701" s="21" t="s">
        <v>2137</v>
      </c>
      <c r="B701" s="22" t="s">
        <v>663</v>
      </c>
      <c r="C701" s="23" t="s">
        <v>822</v>
      </c>
      <c r="D701" s="23" t="s">
        <v>965</v>
      </c>
      <c r="E701" s="22" t="s">
        <v>62</v>
      </c>
      <c r="F701" s="22" t="s">
        <v>1424</v>
      </c>
      <c r="G701" s="23" t="s">
        <v>1553</v>
      </c>
      <c r="H701" s="23" t="s">
        <v>2138</v>
      </c>
      <c r="I701" s="22" t="s">
        <v>2139</v>
      </c>
      <c r="J701" s="22" t="s">
        <v>2140</v>
      </c>
      <c r="N701" s="22" t="s">
        <v>2141</v>
      </c>
      <c r="O701" s="22" t="s">
        <v>1430</v>
      </c>
      <c r="P701" s="22">
        <v>70010</v>
      </c>
      <c r="Q701" s="22">
        <v>12</v>
      </c>
      <c r="R701" s="22">
        <v>3</v>
      </c>
      <c r="S701" s="22">
        <v>3</v>
      </c>
      <c r="T701" s="21" t="s">
        <v>160</v>
      </c>
      <c r="U701" s="22">
        <v>1</v>
      </c>
      <c r="V701" s="22">
        <v>1</v>
      </c>
      <c r="W701" s="24">
        <f>3.14*R701*Q701+2*3.14*(S701/2)^2/V701</f>
        <v>127.16999999999999</v>
      </c>
      <c r="X701" s="25">
        <f>(3.14/4*R701^2*Q701)*U701</f>
        <v>84.78</v>
      </c>
      <c r="Y701" s="21">
        <v>2</v>
      </c>
      <c r="Z701" s="24">
        <f t="shared" si="94"/>
        <v>254.33999999999997</v>
      </c>
      <c r="AA701" s="24">
        <f t="shared" si="95"/>
        <v>169.56</v>
      </c>
      <c r="AE701" s="21"/>
      <c r="AF701" s="21"/>
      <c r="AH701" s="24"/>
      <c r="AJ701" s="21">
        <v>169.6</v>
      </c>
      <c r="AK701" s="21">
        <v>24</v>
      </c>
      <c r="AL701" s="22" t="s">
        <v>161</v>
      </c>
      <c r="AM701" s="22">
        <v>0.11</v>
      </c>
      <c r="AO701" s="22" t="s">
        <v>1762</v>
      </c>
      <c r="AP701" s="22" t="s">
        <v>1432</v>
      </c>
      <c r="AQ701" s="22" t="str">
        <f t="shared" si="96"/>
        <v>Microphytoplankton</v>
      </c>
      <c r="AR701" s="22">
        <v>0</v>
      </c>
      <c r="AS701" s="22">
        <v>0</v>
      </c>
      <c r="AT701" s="22">
        <v>0</v>
      </c>
      <c r="AU701" s="22">
        <v>1</v>
      </c>
      <c r="AV701" s="22">
        <v>1</v>
      </c>
      <c r="AW701" s="22">
        <v>0</v>
      </c>
      <c r="AX701" s="22">
        <v>1</v>
      </c>
      <c r="AY701" s="22">
        <v>0</v>
      </c>
    </row>
    <row r="702" spans="1:57">
      <c r="A702" s="21" t="s">
        <v>2142</v>
      </c>
      <c r="B702" s="22" t="s">
        <v>663</v>
      </c>
      <c r="C702" s="23" t="s">
        <v>822</v>
      </c>
      <c r="D702" s="23" t="s">
        <v>965</v>
      </c>
      <c r="E702" s="22" t="s">
        <v>62</v>
      </c>
      <c r="F702" s="23" t="s">
        <v>1434</v>
      </c>
      <c r="G702" s="23" t="s">
        <v>1473</v>
      </c>
      <c r="H702" s="23" t="s">
        <v>2143</v>
      </c>
      <c r="I702" s="22" t="s">
        <v>2144</v>
      </c>
      <c r="J702" s="22" t="s">
        <v>2145</v>
      </c>
      <c r="N702" s="22" t="s">
        <v>694</v>
      </c>
      <c r="O702" s="22" t="s">
        <v>1430</v>
      </c>
      <c r="P702" s="21">
        <v>75010</v>
      </c>
      <c r="Q702" s="21">
        <v>43</v>
      </c>
      <c r="R702" s="21">
        <v>13</v>
      </c>
      <c r="S702" s="21">
        <v>5</v>
      </c>
      <c r="T702" s="22" t="s">
        <v>330</v>
      </c>
      <c r="U702" s="21">
        <v>0.9</v>
      </c>
      <c r="V702" s="21">
        <v>0.9</v>
      </c>
      <c r="W702" s="25">
        <f t="shared" ref="W702:W712" si="101">(Q702*R702*2+Q702*S702*2+R702*S702*2)/V702</f>
        <v>1864.4444444444443</v>
      </c>
      <c r="X702" s="25">
        <f t="shared" ref="X702:X712" si="102">Q702*R702*S702*U702</f>
        <v>2515.5</v>
      </c>
      <c r="Y702" s="21">
        <v>1</v>
      </c>
      <c r="Z702" s="24">
        <f t="shared" si="94"/>
        <v>1864.4444444444443</v>
      </c>
      <c r="AA702" s="24">
        <f t="shared" si="95"/>
        <v>2515.5</v>
      </c>
      <c r="AB702" s="21"/>
      <c r="AC702" s="21"/>
      <c r="AD702" s="21"/>
      <c r="AE702" s="21"/>
      <c r="AF702" s="21" t="s">
        <v>247</v>
      </c>
      <c r="AG702" s="21"/>
      <c r="AH702" s="24"/>
      <c r="AI702" s="24"/>
      <c r="AJ702" s="21">
        <v>2515.5</v>
      </c>
      <c r="AK702" s="21">
        <v>43</v>
      </c>
      <c r="AL702" s="22" t="s">
        <v>161</v>
      </c>
      <c r="AM702" s="22">
        <v>0.11</v>
      </c>
      <c r="AO702" s="22" t="s">
        <v>1447</v>
      </c>
      <c r="AP702" s="22" t="s">
        <v>1432</v>
      </c>
      <c r="AQ702" s="22" t="str">
        <f t="shared" si="96"/>
        <v>Microphytoplankton</v>
      </c>
      <c r="AR702" s="22">
        <v>1</v>
      </c>
      <c r="AS702" s="22">
        <v>0</v>
      </c>
      <c r="AT702" s="22">
        <v>1</v>
      </c>
      <c r="AU702" s="22">
        <v>0</v>
      </c>
      <c r="AV702" s="22">
        <v>0</v>
      </c>
      <c r="AW702" s="22">
        <v>0</v>
      </c>
      <c r="AX702" s="22">
        <v>1</v>
      </c>
      <c r="AY702" s="22">
        <v>0</v>
      </c>
    </row>
    <row r="703" spans="1:57">
      <c r="A703" s="21" t="s">
        <v>2146</v>
      </c>
      <c r="B703" s="22" t="s">
        <v>663</v>
      </c>
      <c r="C703" s="23" t="s">
        <v>822</v>
      </c>
      <c r="D703" s="23" t="s">
        <v>965</v>
      </c>
      <c r="E703" s="22" t="s">
        <v>62</v>
      </c>
      <c r="F703" s="23" t="s">
        <v>1499</v>
      </c>
      <c r="G703" s="23" t="s">
        <v>1500</v>
      </c>
      <c r="H703" s="23" t="s">
        <v>1501</v>
      </c>
      <c r="I703" s="22" t="s">
        <v>2147</v>
      </c>
      <c r="J703" s="22" t="s">
        <v>2148</v>
      </c>
      <c r="N703" s="22" t="s">
        <v>2149</v>
      </c>
      <c r="O703" s="22" t="s">
        <v>1430</v>
      </c>
      <c r="P703" s="22">
        <v>72151</v>
      </c>
      <c r="Q703" s="21">
        <v>15</v>
      </c>
      <c r="R703" s="21">
        <v>12.5</v>
      </c>
      <c r="S703" s="21">
        <v>5</v>
      </c>
      <c r="T703" s="22" t="s">
        <v>330</v>
      </c>
      <c r="U703" s="21">
        <v>0.6</v>
      </c>
      <c r="V703" s="21">
        <v>0.6</v>
      </c>
      <c r="W703" s="25">
        <f t="shared" si="101"/>
        <v>1083.3333333333335</v>
      </c>
      <c r="X703" s="25">
        <f t="shared" si="102"/>
        <v>562.5</v>
      </c>
      <c r="Y703" s="21">
        <v>1</v>
      </c>
      <c r="Z703" s="24">
        <f t="shared" si="94"/>
        <v>1083.3333333333335</v>
      </c>
      <c r="AA703" s="24">
        <f t="shared" si="95"/>
        <v>562.5</v>
      </c>
      <c r="AB703" s="21"/>
      <c r="AC703" s="21"/>
      <c r="AD703" s="21"/>
      <c r="AE703" s="21"/>
      <c r="AF703" s="21" t="s">
        <v>247</v>
      </c>
      <c r="AG703" s="21"/>
      <c r="AH703" s="24"/>
      <c r="AI703" s="24"/>
      <c r="AJ703" s="21">
        <v>562.5</v>
      </c>
      <c r="AK703" s="21">
        <v>15</v>
      </c>
      <c r="AL703" s="22" t="s">
        <v>161</v>
      </c>
      <c r="AM703" s="22">
        <v>0.11</v>
      </c>
      <c r="AO703" s="22" t="s">
        <v>383</v>
      </c>
      <c r="AP703" s="22" t="s">
        <v>1432</v>
      </c>
      <c r="AQ703" s="22" t="str">
        <f t="shared" si="96"/>
        <v>Nanophytoplankton</v>
      </c>
      <c r="AR703" s="22">
        <v>0</v>
      </c>
      <c r="AS703" s="22">
        <v>0</v>
      </c>
      <c r="AT703" s="22">
        <v>0</v>
      </c>
      <c r="AU703" s="22">
        <v>1</v>
      </c>
      <c r="AV703" s="22">
        <v>1</v>
      </c>
      <c r="AW703" s="22">
        <v>0</v>
      </c>
      <c r="AX703" s="22">
        <v>1</v>
      </c>
      <c r="AY703" s="22">
        <v>0</v>
      </c>
    </row>
    <row r="704" spans="1:57">
      <c r="A704" s="21" t="s">
        <v>2150</v>
      </c>
      <c r="B704" s="22" t="s">
        <v>663</v>
      </c>
      <c r="C704" s="23" t="s">
        <v>822</v>
      </c>
      <c r="D704" s="23" t="s">
        <v>965</v>
      </c>
      <c r="E704" s="22" t="s">
        <v>62</v>
      </c>
      <c r="F704" s="23" t="s">
        <v>1499</v>
      </c>
      <c r="G704" s="23" t="s">
        <v>1500</v>
      </c>
      <c r="H704" s="23" t="s">
        <v>1501</v>
      </c>
      <c r="I704" s="22" t="s">
        <v>2147</v>
      </c>
      <c r="J704" s="22" t="s">
        <v>1811</v>
      </c>
      <c r="N704" s="22" t="s">
        <v>1991</v>
      </c>
      <c r="O704" s="22" t="s">
        <v>1430</v>
      </c>
      <c r="P704" s="22">
        <v>70658</v>
      </c>
      <c r="Q704" s="21">
        <v>17.5</v>
      </c>
      <c r="R704" s="21">
        <v>7.5</v>
      </c>
      <c r="S704" s="21">
        <v>5</v>
      </c>
      <c r="T704" s="22" t="s">
        <v>330</v>
      </c>
      <c r="U704" s="21">
        <v>0.8</v>
      </c>
      <c r="V704" s="21">
        <v>0.8</v>
      </c>
      <c r="W704" s="25">
        <f t="shared" si="101"/>
        <v>640.625</v>
      </c>
      <c r="X704" s="25">
        <f t="shared" si="102"/>
        <v>525</v>
      </c>
      <c r="Y704" s="21">
        <v>1</v>
      </c>
      <c r="Z704" s="24">
        <f t="shared" si="94"/>
        <v>640.625</v>
      </c>
      <c r="AA704" s="24">
        <f t="shared" si="95"/>
        <v>525</v>
      </c>
      <c r="AB704" s="21"/>
      <c r="AC704" s="21"/>
      <c r="AD704" s="21"/>
      <c r="AE704" s="21"/>
      <c r="AF704" s="21" t="s">
        <v>247</v>
      </c>
      <c r="AG704" s="21"/>
      <c r="AH704" s="24"/>
      <c r="AI704" s="24"/>
      <c r="AJ704" s="21">
        <v>525</v>
      </c>
      <c r="AK704" s="21">
        <v>17.5</v>
      </c>
      <c r="AL704" s="22" t="s">
        <v>161</v>
      </c>
      <c r="AM704" s="22">
        <v>0.11</v>
      </c>
      <c r="AO704" s="22" t="s">
        <v>383</v>
      </c>
      <c r="AP704" s="22" t="s">
        <v>1432</v>
      </c>
      <c r="AQ704" s="22" t="str">
        <f t="shared" si="96"/>
        <v>Nanophytoplankton</v>
      </c>
      <c r="AR704" s="22">
        <v>0</v>
      </c>
      <c r="AS704" s="22">
        <v>0</v>
      </c>
      <c r="AT704" s="22">
        <v>0</v>
      </c>
      <c r="AU704" s="22">
        <v>1</v>
      </c>
      <c r="AV704" s="22">
        <v>0</v>
      </c>
      <c r="AW704" s="22">
        <v>0</v>
      </c>
      <c r="AX704" s="22">
        <v>1</v>
      </c>
      <c r="AY704" s="22">
        <v>0</v>
      </c>
    </row>
    <row r="705" spans="1:57">
      <c r="A705" s="21" t="s">
        <v>2151</v>
      </c>
      <c r="B705" s="22" t="s">
        <v>663</v>
      </c>
      <c r="C705" s="23" t="s">
        <v>822</v>
      </c>
      <c r="D705" s="23" t="s">
        <v>965</v>
      </c>
      <c r="E705" s="22" t="s">
        <v>62</v>
      </c>
      <c r="F705" s="23" t="s">
        <v>1499</v>
      </c>
      <c r="G705" s="23" t="s">
        <v>1500</v>
      </c>
      <c r="H705" s="23" t="s">
        <v>1501</v>
      </c>
      <c r="I705" s="22" t="s">
        <v>2147</v>
      </c>
      <c r="J705" s="22" t="s">
        <v>1830</v>
      </c>
      <c r="N705" s="22" t="s">
        <v>694</v>
      </c>
      <c r="O705" s="22" t="s">
        <v>1430</v>
      </c>
      <c r="P705" s="22">
        <v>70657</v>
      </c>
      <c r="Q705" s="22">
        <v>19.5</v>
      </c>
      <c r="R705" s="22">
        <v>7</v>
      </c>
      <c r="S705" s="22">
        <v>3.2307692307692308</v>
      </c>
      <c r="T705" s="22" t="s">
        <v>330</v>
      </c>
      <c r="U705" s="22">
        <v>0.7</v>
      </c>
      <c r="V705" s="21">
        <v>0.7</v>
      </c>
      <c r="W705" s="25">
        <f t="shared" si="101"/>
        <v>634.61538461538464</v>
      </c>
      <c r="X705" s="25">
        <f t="shared" si="102"/>
        <v>308.7</v>
      </c>
      <c r="Y705" s="21">
        <v>1</v>
      </c>
      <c r="Z705" s="24">
        <f t="shared" si="94"/>
        <v>634.61538461538464</v>
      </c>
      <c r="AA705" s="24">
        <f t="shared" si="95"/>
        <v>308.7</v>
      </c>
      <c r="AE705" s="21"/>
      <c r="AF705" s="21" t="s">
        <v>247</v>
      </c>
      <c r="AJ705" s="21">
        <v>441</v>
      </c>
      <c r="AK705" s="21">
        <v>19.5</v>
      </c>
      <c r="AL705" s="22" t="s">
        <v>161</v>
      </c>
      <c r="AM705" s="22">
        <v>0.11</v>
      </c>
      <c r="AO705" s="22" t="s">
        <v>383</v>
      </c>
      <c r="AP705" s="22" t="s">
        <v>1432</v>
      </c>
      <c r="AQ705" s="22" t="str">
        <f t="shared" si="96"/>
        <v>Nanophytoplankton</v>
      </c>
      <c r="AR705" s="22">
        <v>0</v>
      </c>
      <c r="AS705" s="22">
        <v>0</v>
      </c>
      <c r="AT705" s="22">
        <v>0</v>
      </c>
      <c r="AU705" s="22">
        <v>1</v>
      </c>
      <c r="AV705" s="22">
        <v>1</v>
      </c>
      <c r="AW705" s="22">
        <v>0</v>
      </c>
      <c r="AX705" s="22">
        <v>1</v>
      </c>
      <c r="AY705" s="22">
        <v>0</v>
      </c>
    </row>
    <row r="706" spans="1:57">
      <c r="A706" s="21" t="s">
        <v>2152</v>
      </c>
      <c r="B706" s="22" t="s">
        <v>663</v>
      </c>
      <c r="C706" s="23" t="s">
        <v>822</v>
      </c>
      <c r="D706" s="23" t="s">
        <v>965</v>
      </c>
      <c r="E706" s="22" t="s">
        <v>62</v>
      </c>
      <c r="F706" s="23" t="s">
        <v>1499</v>
      </c>
      <c r="G706" s="23" t="s">
        <v>1500</v>
      </c>
      <c r="H706" s="23" t="s">
        <v>1501</v>
      </c>
      <c r="I706" s="22" t="s">
        <v>2153</v>
      </c>
      <c r="J706" s="22" t="s">
        <v>276</v>
      </c>
      <c r="N706" s="22" t="s">
        <v>2154</v>
      </c>
      <c r="O706" s="22" t="s">
        <v>1430</v>
      </c>
      <c r="P706" s="22">
        <v>70659</v>
      </c>
      <c r="Q706" s="21">
        <v>17</v>
      </c>
      <c r="R706" s="21">
        <v>4</v>
      </c>
      <c r="S706" s="21">
        <v>2</v>
      </c>
      <c r="T706" s="22" t="s">
        <v>330</v>
      </c>
      <c r="U706" s="21">
        <v>0.9</v>
      </c>
      <c r="V706" s="21">
        <v>0.9</v>
      </c>
      <c r="W706" s="25">
        <f t="shared" si="101"/>
        <v>244.44444444444443</v>
      </c>
      <c r="X706" s="25">
        <f t="shared" si="102"/>
        <v>122.4</v>
      </c>
      <c r="Y706" s="21">
        <v>1</v>
      </c>
      <c r="Z706" s="24">
        <f t="shared" ref="Z706:Z769" si="103">Y706*W706</f>
        <v>244.44444444444443</v>
      </c>
      <c r="AA706" s="24">
        <f t="shared" ref="AA706:AA769" si="104">Y706*X706</f>
        <v>122.4</v>
      </c>
      <c r="AB706" s="21"/>
      <c r="AC706" s="21"/>
      <c r="AD706" s="21"/>
      <c r="AE706" s="21"/>
      <c r="AF706" s="21" t="s">
        <v>247</v>
      </c>
      <c r="AG706" s="21"/>
      <c r="AH706" s="24"/>
      <c r="AI706" s="24"/>
      <c r="AJ706" s="21">
        <v>122.4</v>
      </c>
      <c r="AK706" s="21">
        <v>17</v>
      </c>
      <c r="AL706" s="22" t="s">
        <v>161</v>
      </c>
      <c r="AM706" s="22">
        <v>0.11</v>
      </c>
      <c r="AO706" s="22" t="s">
        <v>383</v>
      </c>
      <c r="AP706" s="22" t="s">
        <v>1432</v>
      </c>
      <c r="AQ706" s="22" t="str">
        <f t="shared" ref="AQ706:AQ769" si="105">IF(AND($AK706&lt;20,AJ706&lt;10000),"Nanophytoplankton","Microphytoplankton")</f>
        <v>Nanophytoplankton</v>
      </c>
      <c r="AR706" s="22">
        <v>0</v>
      </c>
      <c r="AS706" s="22">
        <v>0</v>
      </c>
      <c r="AT706" s="22">
        <v>0</v>
      </c>
      <c r="AU706" s="22">
        <v>1</v>
      </c>
      <c r="AV706" s="22">
        <v>1</v>
      </c>
      <c r="AW706" s="22">
        <v>0</v>
      </c>
      <c r="AX706" s="22">
        <v>1</v>
      </c>
      <c r="AY706" s="22">
        <v>0</v>
      </c>
    </row>
    <row r="707" spans="1:57">
      <c r="A707" s="21" t="s">
        <v>2155</v>
      </c>
      <c r="B707" s="22" t="s">
        <v>663</v>
      </c>
      <c r="C707" s="23" t="s">
        <v>822</v>
      </c>
      <c r="D707" s="23" t="s">
        <v>965</v>
      </c>
      <c r="E707" s="22" t="s">
        <v>62</v>
      </c>
      <c r="F707" s="23" t="s">
        <v>1499</v>
      </c>
      <c r="G707" s="23" t="s">
        <v>1500</v>
      </c>
      <c r="H707" s="23" t="s">
        <v>1501</v>
      </c>
      <c r="I707" s="22" t="s">
        <v>2153</v>
      </c>
      <c r="J707" s="22" t="s">
        <v>2156</v>
      </c>
      <c r="N707" s="22" t="s">
        <v>2157</v>
      </c>
      <c r="O707" s="22" t="s">
        <v>1430</v>
      </c>
      <c r="P707" s="22">
        <v>70656</v>
      </c>
      <c r="Q707" s="21">
        <v>15</v>
      </c>
      <c r="R707" s="21">
        <v>5</v>
      </c>
      <c r="S707" s="21">
        <v>2.2999999999999998</v>
      </c>
      <c r="T707" s="22" t="s">
        <v>330</v>
      </c>
      <c r="U707" s="21">
        <v>0.8</v>
      </c>
      <c r="V707" s="21">
        <v>0.8</v>
      </c>
      <c r="W707" s="25">
        <f t="shared" si="101"/>
        <v>302.5</v>
      </c>
      <c r="X707" s="25">
        <f t="shared" si="102"/>
        <v>138</v>
      </c>
      <c r="Y707" s="21">
        <v>1</v>
      </c>
      <c r="Z707" s="24">
        <f t="shared" si="103"/>
        <v>302.5</v>
      </c>
      <c r="AA707" s="24">
        <f t="shared" si="104"/>
        <v>138</v>
      </c>
      <c r="AB707" s="21"/>
      <c r="AC707" s="21"/>
      <c r="AD707" s="21"/>
      <c r="AE707" s="21"/>
      <c r="AF707" s="21" t="s">
        <v>247</v>
      </c>
      <c r="AG707" s="21"/>
      <c r="AH707" s="24"/>
      <c r="AI707" s="24"/>
      <c r="AJ707" s="21">
        <v>174</v>
      </c>
      <c r="AK707" s="21">
        <v>15</v>
      </c>
      <c r="AL707" s="22" t="s">
        <v>161</v>
      </c>
      <c r="AM707" s="22">
        <v>0.11</v>
      </c>
      <c r="AO707" s="22" t="s">
        <v>383</v>
      </c>
      <c r="AP707" s="22" t="s">
        <v>1432</v>
      </c>
      <c r="AQ707" s="22" t="str">
        <f t="shared" si="105"/>
        <v>Nanophytoplankton</v>
      </c>
      <c r="AR707" s="22">
        <v>0</v>
      </c>
      <c r="AS707" s="22">
        <v>0</v>
      </c>
      <c r="AT707" s="22">
        <v>0</v>
      </c>
      <c r="AU707" s="22">
        <v>1</v>
      </c>
      <c r="AV707" s="22">
        <v>1</v>
      </c>
      <c r="AW707" s="22">
        <v>0</v>
      </c>
      <c r="AX707" s="22">
        <v>1</v>
      </c>
      <c r="AY707" s="22">
        <v>0</v>
      </c>
    </row>
    <row r="708" spans="1:57">
      <c r="A708" s="21" t="s">
        <v>2158</v>
      </c>
      <c r="B708" s="22" t="s">
        <v>663</v>
      </c>
      <c r="C708" s="23" t="s">
        <v>822</v>
      </c>
      <c r="D708" s="23" t="s">
        <v>965</v>
      </c>
      <c r="E708" s="22" t="s">
        <v>62</v>
      </c>
      <c r="F708" s="23" t="s">
        <v>1499</v>
      </c>
      <c r="G708" s="23" t="s">
        <v>1500</v>
      </c>
      <c r="H708" s="23" t="s">
        <v>1501</v>
      </c>
      <c r="I708" s="22" t="s">
        <v>2147</v>
      </c>
      <c r="J708" s="22" t="s">
        <v>2159</v>
      </c>
      <c r="N708" s="22" t="s">
        <v>2160</v>
      </c>
      <c r="O708" s="22" t="s">
        <v>1430</v>
      </c>
      <c r="P708" s="22">
        <v>70654</v>
      </c>
      <c r="Q708" s="21">
        <v>10</v>
      </c>
      <c r="R708" s="21">
        <v>4</v>
      </c>
      <c r="S708" s="21">
        <v>2.5</v>
      </c>
      <c r="T708" s="22" t="s">
        <v>330</v>
      </c>
      <c r="U708" s="21">
        <v>0.8</v>
      </c>
      <c r="V708" s="21">
        <v>0.8</v>
      </c>
      <c r="W708" s="25">
        <f t="shared" si="101"/>
        <v>187.5</v>
      </c>
      <c r="X708" s="25">
        <f t="shared" si="102"/>
        <v>80</v>
      </c>
      <c r="Y708" s="21">
        <v>1</v>
      </c>
      <c r="Z708" s="24">
        <f t="shared" si="103"/>
        <v>187.5</v>
      </c>
      <c r="AA708" s="24">
        <f t="shared" si="104"/>
        <v>80</v>
      </c>
      <c r="AB708" s="21"/>
      <c r="AC708" s="21"/>
      <c r="AD708" s="21"/>
      <c r="AE708" s="21"/>
      <c r="AF708" s="21" t="s">
        <v>247</v>
      </c>
      <c r="AG708" s="21"/>
      <c r="AH708" s="24"/>
      <c r="AI708" s="24"/>
      <c r="AJ708" s="21">
        <v>80</v>
      </c>
      <c r="AK708" s="21">
        <v>10</v>
      </c>
      <c r="AL708" s="22" t="s">
        <v>161</v>
      </c>
      <c r="AM708" s="22">
        <v>0.11</v>
      </c>
      <c r="AO708" s="22" t="s">
        <v>383</v>
      </c>
      <c r="AP708" s="22" t="s">
        <v>1432</v>
      </c>
      <c r="AQ708" s="22" t="str">
        <f t="shared" si="105"/>
        <v>Nanophytoplankton</v>
      </c>
      <c r="AR708" s="22">
        <v>0</v>
      </c>
      <c r="AS708" s="22">
        <v>0</v>
      </c>
      <c r="AT708" s="22">
        <v>0</v>
      </c>
      <c r="AU708" s="22">
        <v>1</v>
      </c>
      <c r="AV708" s="22">
        <v>1</v>
      </c>
      <c r="AW708" s="22">
        <v>0</v>
      </c>
      <c r="AX708" s="22">
        <v>1</v>
      </c>
      <c r="AY708" s="22">
        <v>0</v>
      </c>
    </row>
    <row r="709" spans="1:57">
      <c r="A709" s="22" t="s">
        <v>2161</v>
      </c>
      <c r="B709" s="22" t="s">
        <v>663</v>
      </c>
      <c r="C709" s="23" t="s">
        <v>822</v>
      </c>
      <c r="D709" s="23" t="s">
        <v>965</v>
      </c>
      <c r="E709" s="22" t="s">
        <v>62</v>
      </c>
      <c r="F709" s="23" t="s">
        <v>1499</v>
      </c>
      <c r="G709" s="23" t="s">
        <v>1500</v>
      </c>
      <c r="H709" s="23" t="s">
        <v>1501</v>
      </c>
      <c r="I709" s="22" t="s">
        <v>2147</v>
      </c>
      <c r="J709" s="22" t="s">
        <v>1854</v>
      </c>
      <c r="N709" s="22" t="s">
        <v>694</v>
      </c>
      <c r="O709" s="22" t="s">
        <v>1430</v>
      </c>
      <c r="P709" s="22">
        <v>70655</v>
      </c>
      <c r="Q709" s="21">
        <v>10</v>
      </c>
      <c r="R709" s="21">
        <v>4</v>
      </c>
      <c r="S709" s="21">
        <v>2.5</v>
      </c>
      <c r="T709" s="22" t="s">
        <v>330</v>
      </c>
      <c r="U709" s="21">
        <v>0.8</v>
      </c>
      <c r="V709" s="21">
        <v>0.8</v>
      </c>
      <c r="W709" s="25">
        <f t="shared" si="101"/>
        <v>187.5</v>
      </c>
      <c r="X709" s="25">
        <f t="shared" si="102"/>
        <v>80</v>
      </c>
      <c r="Y709" s="21">
        <v>1</v>
      </c>
      <c r="Z709" s="24">
        <f t="shared" si="103"/>
        <v>187.5</v>
      </c>
      <c r="AA709" s="24">
        <f t="shared" si="104"/>
        <v>80</v>
      </c>
      <c r="AB709" s="21"/>
      <c r="AC709" s="21"/>
      <c r="AD709" s="21"/>
      <c r="AE709" s="21"/>
      <c r="AF709" s="21" t="s">
        <v>247</v>
      </c>
      <c r="AG709" s="21"/>
      <c r="AH709" s="24"/>
      <c r="AI709" s="24"/>
      <c r="AJ709" s="21">
        <v>80</v>
      </c>
      <c r="AK709" s="21">
        <v>10</v>
      </c>
      <c r="AL709" s="22" t="s">
        <v>161</v>
      </c>
      <c r="AM709" s="22">
        <v>0.11</v>
      </c>
      <c r="AO709" s="22" t="s">
        <v>383</v>
      </c>
      <c r="AP709" s="22" t="s">
        <v>1432</v>
      </c>
      <c r="AQ709" s="22" t="str">
        <f t="shared" si="105"/>
        <v>Nanophytoplankton</v>
      </c>
      <c r="AR709" s="22">
        <v>0</v>
      </c>
      <c r="AS709" s="22">
        <v>0</v>
      </c>
      <c r="AT709" s="22">
        <v>0</v>
      </c>
      <c r="AU709" s="22">
        <v>1</v>
      </c>
      <c r="AV709" s="22">
        <v>1</v>
      </c>
      <c r="AW709" s="22">
        <v>0</v>
      </c>
      <c r="AX709" s="22">
        <v>1</v>
      </c>
      <c r="AY709" s="22">
        <v>0</v>
      </c>
    </row>
    <row r="710" spans="1:57">
      <c r="A710" s="22" t="s">
        <v>2162</v>
      </c>
      <c r="B710" s="22" t="s">
        <v>663</v>
      </c>
      <c r="C710" s="23" t="s">
        <v>822</v>
      </c>
      <c r="D710" s="23" t="s">
        <v>965</v>
      </c>
      <c r="E710" s="22" t="s">
        <v>62</v>
      </c>
      <c r="F710" s="23" t="s">
        <v>1499</v>
      </c>
      <c r="G710" s="23" t="s">
        <v>1500</v>
      </c>
      <c r="H710" s="23" t="s">
        <v>1501</v>
      </c>
      <c r="I710" s="22" t="s">
        <v>2163</v>
      </c>
      <c r="J710" s="22" t="s">
        <v>1854</v>
      </c>
      <c r="N710" s="22" t="s">
        <v>694</v>
      </c>
      <c r="O710" s="22" t="s">
        <v>1430</v>
      </c>
      <c r="P710" s="21">
        <v>70651</v>
      </c>
      <c r="Q710" s="21">
        <v>10</v>
      </c>
      <c r="R710" s="21">
        <v>4</v>
      </c>
      <c r="S710" s="21">
        <v>2.5</v>
      </c>
      <c r="T710" s="22" t="s">
        <v>330</v>
      </c>
      <c r="U710" s="21">
        <v>0.8</v>
      </c>
      <c r="V710" s="21">
        <v>0.8</v>
      </c>
      <c r="W710" s="25">
        <f t="shared" si="101"/>
        <v>187.5</v>
      </c>
      <c r="X710" s="25">
        <f t="shared" si="102"/>
        <v>80</v>
      </c>
      <c r="Y710" s="21">
        <v>1</v>
      </c>
      <c r="Z710" s="24">
        <f t="shared" si="103"/>
        <v>187.5</v>
      </c>
      <c r="AA710" s="24">
        <f t="shared" si="104"/>
        <v>80</v>
      </c>
      <c r="AB710" s="21"/>
      <c r="AC710" s="21"/>
      <c r="AD710" s="21"/>
      <c r="AE710" s="21"/>
      <c r="AF710" s="21" t="s">
        <v>247</v>
      </c>
      <c r="AG710" s="21"/>
      <c r="AH710" s="24"/>
      <c r="AI710" s="24"/>
      <c r="AJ710" s="21">
        <v>80</v>
      </c>
      <c r="AK710" s="21">
        <v>10</v>
      </c>
      <c r="AL710" s="22" t="s">
        <v>161</v>
      </c>
      <c r="AM710" s="22">
        <v>0.11</v>
      </c>
      <c r="AO710" s="22" t="s">
        <v>383</v>
      </c>
      <c r="AP710" s="22" t="s">
        <v>1432</v>
      </c>
      <c r="AQ710" s="22" t="str">
        <f t="shared" si="105"/>
        <v>Nanophytoplankton</v>
      </c>
      <c r="AR710" s="22">
        <v>0</v>
      </c>
      <c r="AS710" s="22">
        <v>0</v>
      </c>
      <c r="AT710" s="22">
        <v>0</v>
      </c>
      <c r="AU710" s="22">
        <v>1</v>
      </c>
      <c r="AV710" s="22">
        <v>1</v>
      </c>
      <c r="AW710" s="22">
        <v>0</v>
      </c>
      <c r="AX710" s="22">
        <v>1</v>
      </c>
      <c r="AY710" s="22">
        <v>0</v>
      </c>
    </row>
    <row r="711" spans="1:57">
      <c r="A711" s="21" t="s">
        <v>2164</v>
      </c>
      <c r="B711" s="22" t="s">
        <v>663</v>
      </c>
      <c r="C711" s="23" t="s">
        <v>822</v>
      </c>
      <c r="D711" s="23" t="s">
        <v>965</v>
      </c>
      <c r="E711" s="22" t="s">
        <v>62</v>
      </c>
      <c r="F711" s="22" t="s">
        <v>1424</v>
      </c>
      <c r="G711" s="23" t="s">
        <v>1553</v>
      </c>
      <c r="H711" s="23" t="s">
        <v>1554</v>
      </c>
      <c r="I711" s="22" t="s">
        <v>2165</v>
      </c>
      <c r="J711" s="22" t="s">
        <v>2166</v>
      </c>
      <c r="N711" s="22" t="s">
        <v>1580</v>
      </c>
      <c r="O711" s="22" t="s">
        <v>1430</v>
      </c>
      <c r="P711" s="21">
        <v>70330</v>
      </c>
      <c r="Q711" s="21">
        <v>15</v>
      </c>
      <c r="R711" s="21">
        <v>15</v>
      </c>
      <c r="S711" s="21">
        <v>5</v>
      </c>
      <c r="T711" s="22" t="s">
        <v>330</v>
      </c>
      <c r="U711" s="21">
        <v>1</v>
      </c>
      <c r="V711" s="22">
        <v>1</v>
      </c>
      <c r="W711" s="25">
        <f t="shared" si="101"/>
        <v>750</v>
      </c>
      <c r="X711" s="25">
        <f t="shared" si="102"/>
        <v>1125</v>
      </c>
      <c r="Y711" s="21">
        <v>1</v>
      </c>
      <c r="Z711" s="24">
        <f t="shared" si="103"/>
        <v>750</v>
      </c>
      <c r="AA711" s="24">
        <f t="shared" si="104"/>
        <v>1125</v>
      </c>
      <c r="AB711" s="21"/>
      <c r="AC711" s="21"/>
      <c r="AD711" s="21"/>
      <c r="AE711" s="21"/>
      <c r="AF711" s="21" t="s">
        <v>247</v>
      </c>
      <c r="AG711" s="21"/>
      <c r="AH711" s="24"/>
      <c r="AI711" s="24"/>
      <c r="AJ711" s="21">
        <v>883.6</v>
      </c>
      <c r="AK711" s="21">
        <v>15</v>
      </c>
      <c r="AL711" s="22" t="s">
        <v>161</v>
      </c>
      <c r="AM711" s="22">
        <v>0.11</v>
      </c>
      <c r="AO711" s="22" t="s">
        <v>1505</v>
      </c>
      <c r="AP711" s="22" t="s">
        <v>1432</v>
      </c>
      <c r="AQ711" s="22" t="str">
        <f t="shared" si="105"/>
        <v>Nanophytoplankton</v>
      </c>
      <c r="AR711" s="22">
        <v>0</v>
      </c>
      <c r="AS711" s="22">
        <v>0</v>
      </c>
      <c r="AT711" s="22">
        <v>0</v>
      </c>
      <c r="AU711" s="22">
        <v>0</v>
      </c>
      <c r="AV711" s="22">
        <v>0</v>
      </c>
      <c r="AW711" s="22">
        <v>0</v>
      </c>
      <c r="AX711" s="22">
        <v>1</v>
      </c>
      <c r="AY711" s="22">
        <v>0</v>
      </c>
      <c r="AZ711" s="22">
        <v>1</v>
      </c>
      <c r="BA711" s="22">
        <v>3</v>
      </c>
      <c r="BB711" s="22">
        <v>4</v>
      </c>
      <c r="BC711" s="22">
        <v>2</v>
      </c>
      <c r="BD711" s="22">
        <v>0</v>
      </c>
      <c r="BE711" s="22">
        <v>0</v>
      </c>
    </row>
    <row r="712" spans="1:57">
      <c r="A712" s="21" t="s">
        <v>2167</v>
      </c>
      <c r="B712" s="22" t="s">
        <v>663</v>
      </c>
      <c r="C712" s="23" t="s">
        <v>822</v>
      </c>
      <c r="D712" s="23" t="s">
        <v>965</v>
      </c>
      <c r="E712" s="22" t="s">
        <v>62</v>
      </c>
      <c r="F712" s="22" t="s">
        <v>1424</v>
      </c>
      <c r="G712" s="23" t="s">
        <v>1553</v>
      </c>
      <c r="H712" s="23" t="s">
        <v>1554</v>
      </c>
      <c r="I712" s="22" t="s">
        <v>2165</v>
      </c>
      <c r="J712" s="22" t="s">
        <v>2168</v>
      </c>
      <c r="N712" s="22" t="s">
        <v>2169</v>
      </c>
      <c r="O712" s="22" t="s">
        <v>1430</v>
      </c>
      <c r="P712" s="21">
        <v>70130</v>
      </c>
      <c r="Q712" s="21">
        <v>8.6999999999999993</v>
      </c>
      <c r="R712" s="21">
        <v>8.6</v>
      </c>
      <c r="S712" s="21">
        <v>8.6</v>
      </c>
      <c r="T712" s="22" t="s">
        <v>330</v>
      </c>
      <c r="U712" s="21">
        <v>1</v>
      </c>
      <c r="V712" s="22">
        <v>1</v>
      </c>
      <c r="W712" s="25">
        <f t="shared" si="101"/>
        <v>447.19999999999993</v>
      </c>
      <c r="X712" s="25">
        <f t="shared" si="102"/>
        <v>643.45199999999988</v>
      </c>
      <c r="Y712" s="21">
        <v>1</v>
      </c>
      <c r="Z712" s="24">
        <f t="shared" si="103"/>
        <v>447.19999999999993</v>
      </c>
      <c r="AA712" s="24">
        <f t="shared" si="104"/>
        <v>643.45199999999988</v>
      </c>
      <c r="AB712" s="21"/>
      <c r="AC712" s="21"/>
      <c r="AD712" s="21"/>
      <c r="AE712" s="21"/>
      <c r="AF712" s="21" t="s">
        <v>247</v>
      </c>
      <c r="AG712" s="21"/>
      <c r="AH712" s="24"/>
      <c r="AI712" s="24"/>
      <c r="AJ712" s="21">
        <v>505.4</v>
      </c>
      <c r="AK712" s="21">
        <v>100</v>
      </c>
      <c r="AL712" s="22" t="s">
        <v>161</v>
      </c>
      <c r="AM712" s="22">
        <v>0.11</v>
      </c>
      <c r="AO712" s="22" t="s">
        <v>1505</v>
      </c>
      <c r="AP712" s="22" t="s">
        <v>1432</v>
      </c>
      <c r="AQ712" s="22" t="str">
        <f t="shared" si="105"/>
        <v>Microphytoplankton</v>
      </c>
      <c r="AR712" s="22">
        <v>0</v>
      </c>
      <c r="AS712" s="22">
        <v>0</v>
      </c>
      <c r="AT712" s="22">
        <v>0</v>
      </c>
      <c r="AU712" s="22">
        <v>1</v>
      </c>
      <c r="AV712" s="22">
        <v>1</v>
      </c>
      <c r="AW712" s="22">
        <v>0</v>
      </c>
      <c r="AX712" s="22">
        <v>1</v>
      </c>
      <c r="AY712" s="22">
        <v>0</v>
      </c>
      <c r="AZ712" s="22">
        <v>0</v>
      </c>
      <c r="BA712" s="22">
        <v>0</v>
      </c>
      <c r="BB712" s="22">
        <v>0</v>
      </c>
      <c r="BC712" s="22">
        <v>1</v>
      </c>
      <c r="BD712" s="22">
        <v>3</v>
      </c>
      <c r="BE712" s="22">
        <v>6</v>
      </c>
    </row>
    <row r="713" spans="1:57">
      <c r="A713" s="21" t="s">
        <v>2170</v>
      </c>
      <c r="B713" s="22" t="s">
        <v>663</v>
      </c>
      <c r="C713" s="23" t="s">
        <v>822</v>
      </c>
      <c r="D713" s="23" t="s">
        <v>965</v>
      </c>
      <c r="E713" s="22" t="s">
        <v>62</v>
      </c>
      <c r="F713" s="22" t="s">
        <v>1424</v>
      </c>
      <c r="G713" s="23" t="s">
        <v>1553</v>
      </c>
      <c r="H713" s="23" t="s">
        <v>1554</v>
      </c>
      <c r="I713" s="22" t="s">
        <v>2165</v>
      </c>
      <c r="J713" s="22" t="s">
        <v>2171</v>
      </c>
      <c r="N713" s="22" t="s">
        <v>1456</v>
      </c>
      <c r="O713" s="22" t="s">
        <v>1430</v>
      </c>
      <c r="P713" s="21">
        <v>70131</v>
      </c>
      <c r="Q713" s="21">
        <v>17.5</v>
      </c>
      <c r="R713" s="21">
        <v>17.5</v>
      </c>
      <c r="S713" s="21">
        <v>2.5</v>
      </c>
      <c r="T713" s="21" t="s">
        <v>160</v>
      </c>
      <c r="U713" s="21">
        <v>1</v>
      </c>
      <c r="V713" s="22">
        <v>1</v>
      </c>
      <c r="W713" s="24">
        <f>3.14*R713*Q713+2*3.14*(S713/2)^2/V713</f>
        <v>971.4375</v>
      </c>
      <c r="X713" s="25">
        <f>(3.14/4*R713^2*Q713)*U713</f>
        <v>4207.109375</v>
      </c>
      <c r="Y713" s="21">
        <v>1</v>
      </c>
      <c r="Z713" s="24">
        <f t="shared" si="103"/>
        <v>971.4375</v>
      </c>
      <c r="AA713" s="24">
        <f t="shared" si="104"/>
        <v>4207.109375</v>
      </c>
      <c r="AB713" s="21"/>
      <c r="AC713" s="21"/>
      <c r="AD713" s="21"/>
      <c r="AE713" s="21"/>
      <c r="AF713" s="21" t="s">
        <v>247</v>
      </c>
      <c r="AG713" s="21"/>
      <c r="AH713" s="24"/>
      <c r="AI713" s="24"/>
      <c r="AJ713" s="21">
        <v>601.015625</v>
      </c>
      <c r="AK713" s="21">
        <v>17.5</v>
      </c>
      <c r="AL713" s="22" t="s">
        <v>161</v>
      </c>
      <c r="AM713" s="22">
        <v>0.11</v>
      </c>
      <c r="AN713" s="22" t="s">
        <v>1762</v>
      </c>
      <c r="AO713" s="22" t="s">
        <v>1762</v>
      </c>
      <c r="AP713" s="22" t="s">
        <v>1432</v>
      </c>
      <c r="AQ713" s="22" t="str">
        <f t="shared" si="105"/>
        <v>Nanophytoplankton</v>
      </c>
      <c r="AR713" s="22">
        <v>0</v>
      </c>
      <c r="AS713" s="22">
        <v>0</v>
      </c>
      <c r="AT713" s="22">
        <v>0</v>
      </c>
      <c r="AU713" s="22">
        <v>0</v>
      </c>
      <c r="AV713" s="22">
        <v>0</v>
      </c>
      <c r="AW713" s="22">
        <v>0</v>
      </c>
      <c r="AX713" s="22">
        <v>1</v>
      </c>
      <c r="AY713" s="22">
        <v>0</v>
      </c>
      <c r="AZ713" s="22">
        <v>0</v>
      </c>
      <c r="BA713" s="22">
        <v>0</v>
      </c>
      <c r="BB713" s="22">
        <v>0</v>
      </c>
      <c r="BC713" s="22">
        <v>3</v>
      </c>
      <c r="BD713" s="22">
        <v>3</v>
      </c>
      <c r="BE713" s="22">
        <v>4</v>
      </c>
    </row>
    <row r="714" spans="1:57">
      <c r="A714" s="22" t="s">
        <v>2172</v>
      </c>
      <c r="B714" s="22" t="s">
        <v>663</v>
      </c>
      <c r="C714" s="23" t="s">
        <v>822</v>
      </c>
      <c r="D714" s="23" t="s">
        <v>965</v>
      </c>
      <c r="E714" s="22" t="s">
        <v>62</v>
      </c>
      <c r="F714" s="22" t="s">
        <v>1424</v>
      </c>
      <c r="G714" s="23" t="s">
        <v>1553</v>
      </c>
      <c r="H714" s="23" t="s">
        <v>1554</v>
      </c>
      <c r="I714" s="22" t="s">
        <v>2165</v>
      </c>
      <c r="J714" s="22" t="s">
        <v>2171</v>
      </c>
      <c r="K714" s="22" t="s">
        <v>184</v>
      </c>
      <c r="L714" s="22" t="s">
        <v>185</v>
      </c>
      <c r="N714" s="22" t="s">
        <v>2173</v>
      </c>
      <c r="O714" s="22" t="s">
        <v>1430</v>
      </c>
      <c r="P714" s="21">
        <v>70132</v>
      </c>
      <c r="Q714" s="22">
        <v>17.5</v>
      </c>
      <c r="R714" s="22">
        <v>17.5</v>
      </c>
      <c r="S714" s="22">
        <v>2.5</v>
      </c>
      <c r="T714" s="21" t="s">
        <v>160</v>
      </c>
      <c r="U714" s="22">
        <v>1</v>
      </c>
      <c r="V714" s="22">
        <v>1</v>
      </c>
      <c r="W714" s="24">
        <f>3.14*R714*Q714+2*3.14*(S714/2)^2/V714</f>
        <v>971.4375</v>
      </c>
      <c r="X714" s="25">
        <f>(3.14/4*R714^2*Q714)*U714</f>
        <v>4207.109375</v>
      </c>
      <c r="Y714" s="21">
        <v>1</v>
      </c>
      <c r="Z714" s="24">
        <f t="shared" si="103"/>
        <v>971.4375</v>
      </c>
      <c r="AA714" s="24">
        <f t="shared" si="104"/>
        <v>4207.109375</v>
      </c>
      <c r="AE714" s="21"/>
      <c r="AF714" s="21" t="s">
        <v>247</v>
      </c>
      <c r="AJ714" s="21">
        <v>567</v>
      </c>
      <c r="AK714" s="21">
        <v>17.5</v>
      </c>
      <c r="AL714" s="22" t="s">
        <v>161</v>
      </c>
      <c r="AM714" s="22">
        <v>0.11</v>
      </c>
      <c r="AN714" s="22" t="s">
        <v>1762</v>
      </c>
      <c r="AO714" s="22" t="s">
        <v>1762</v>
      </c>
      <c r="AP714" s="22" t="s">
        <v>1432</v>
      </c>
      <c r="AQ714" s="22" t="str">
        <f t="shared" si="105"/>
        <v>Nanophytoplankton</v>
      </c>
      <c r="AR714" s="22">
        <v>0</v>
      </c>
      <c r="AS714" s="22">
        <v>0</v>
      </c>
      <c r="AT714" s="22">
        <v>0</v>
      </c>
      <c r="AU714" s="22">
        <v>0</v>
      </c>
      <c r="AV714" s="22">
        <v>0</v>
      </c>
      <c r="AW714" s="22">
        <v>0</v>
      </c>
      <c r="AX714" s="22">
        <v>1</v>
      </c>
      <c r="AY714" s="22">
        <v>0</v>
      </c>
      <c r="AZ714" s="22">
        <v>0</v>
      </c>
      <c r="BA714" s="22">
        <v>0</v>
      </c>
      <c r="BB714" s="22">
        <v>0</v>
      </c>
      <c r="BC714" s="22">
        <v>3</v>
      </c>
      <c r="BD714" s="22">
        <v>3</v>
      </c>
      <c r="BE714" s="22">
        <v>4</v>
      </c>
    </row>
    <row r="715" spans="1:57">
      <c r="A715" s="21" t="s">
        <v>2174</v>
      </c>
      <c r="B715" s="22" t="s">
        <v>663</v>
      </c>
      <c r="C715" s="23" t="s">
        <v>822</v>
      </c>
      <c r="D715" s="23" t="s">
        <v>965</v>
      </c>
      <c r="E715" s="22" t="s">
        <v>62</v>
      </c>
      <c r="F715" s="22" t="s">
        <v>1424</v>
      </c>
      <c r="G715" s="23" t="s">
        <v>1553</v>
      </c>
      <c r="H715" s="23" t="s">
        <v>1554</v>
      </c>
      <c r="I715" s="22" t="s">
        <v>2165</v>
      </c>
      <c r="J715" s="22" t="s">
        <v>2175</v>
      </c>
      <c r="N715" s="22" t="s">
        <v>2176</v>
      </c>
      <c r="O715" s="22" t="s">
        <v>1430</v>
      </c>
      <c r="P715" s="21">
        <v>70360</v>
      </c>
      <c r="Q715" s="21">
        <v>15</v>
      </c>
      <c r="R715" s="21">
        <v>15</v>
      </c>
      <c r="S715" s="21">
        <v>5</v>
      </c>
      <c r="T715" s="22" t="s">
        <v>330</v>
      </c>
      <c r="U715" s="21">
        <v>1</v>
      </c>
      <c r="V715" s="22">
        <v>1</v>
      </c>
      <c r="W715" s="25">
        <f t="shared" ref="W715:W730" si="106">(Q715*R715*2+Q715*S715*2+R715*S715*2)/V715</f>
        <v>750</v>
      </c>
      <c r="X715" s="25">
        <f t="shared" ref="X715:X730" si="107">Q715*R715*S715*U715</f>
        <v>1125</v>
      </c>
      <c r="Y715" s="21">
        <v>1</v>
      </c>
      <c r="Z715" s="24">
        <f t="shared" si="103"/>
        <v>750</v>
      </c>
      <c r="AA715" s="24">
        <f t="shared" si="104"/>
        <v>1125</v>
      </c>
      <c r="AB715" s="21"/>
      <c r="AC715" s="21"/>
      <c r="AD715" s="21"/>
      <c r="AE715" s="21"/>
      <c r="AF715" s="21" t="s">
        <v>247</v>
      </c>
      <c r="AG715" s="21"/>
      <c r="AH715" s="24"/>
      <c r="AI715" s="24"/>
      <c r="AJ715" s="21">
        <v>883.6</v>
      </c>
      <c r="AK715" s="21">
        <v>15</v>
      </c>
      <c r="AL715" s="22" t="s">
        <v>161</v>
      </c>
      <c r="AM715" s="22">
        <v>0.11</v>
      </c>
      <c r="AO715" s="22" t="s">
        <v>1529</v>
      </c>
      <c r="AP715" s="22" t="s">
        <v>1432</v>
      </c>
      <c r="AQ715" s="22" t="str">
        <f t="shared" si="105"/>
        <v>Nanophytoplankton</v>
      </c>
      <c r="AR715" s="22">
        <v>0</v>
      </c>
      <c r="AS715" s="22">
        <v>0</v>
      </c>
      <c r="AT715" s="22">
        <v>0</v>
      </c>
      <c r="AU715" s="22">
        <v>0</v>
      </c>
      <c r="AV715" s="22">
        <v>0</v>
      </c>
      <c r="AW715" s="22">
        <v>0</v>
      </c>
      <c r="AX715" s="22">
        <v>1</v>
      </c>
      <c r="AY715" s="22">
        <v>0</v>
      </c>
    </row>
    <row r="716" spans="1:57">
      <c r="A716" s="21" t="s">
        <v>2177</v>
      </c>
      <c r="B716" s="22" t="s">
        <v>663</v>
      </c>
      <c r="C716" s="23" t="s">
        <v>822</v>
      </c>
      <c r="D716" s="23" t="s">
        <v>965</v>
      </c>
      <c r="E716" s="22" t="s">
        <v>62</v>
      </c>
      <c r="F716" s="22" t="s">
        <v>1424</v>
      </c>
      <c r="G716" s="23" t="s">
        <v>1553</v>
      </c>
      <c r="H716" s="23" t="s">
        <v>1554</v>
      </c>
      <c r="I716" s="22" t="s">
        <v>2165</v>
      </c>
      <c r="J716" s="22" t="s">
        <v>2178</v>
      </c>
      <c r="N716" s="22" t="s">
        <v>2179</v>
      </c>
      <c r="O716" s="22" t="s">
        <v>1430</v>
      </c>
      <c r="P716" s="21">
        <v>70350</v>
      </c>
      <c r="Q716" s="21">
        <v>5</v>
      </c>
      <c r="R716" s="21">
        <v>5</v>
      </c>
      <c r="S716" s="21">
        <v>2.5</v>
      </c>
      <c r="T716" s="22" t="s">
        <v>330</v>
      </c>
      <c r="U716" s="21">
        <v>1</v>
      </c>
      <c r="V716" s="22">
        <v>1</v>
      </c>
      <c r="W716" s="25">
        <f t="shared" si="106"/>
        <v>100</v>
      </c>
      <c r="X716" s="25">
        <f t="shared" si="107"/>
        <v>62.5</v>
      </c>
      <c r="Y716" s="21">
        <v>1</v>
      </c>
      <c r="Z716" s="24">
        <f t="shared" si="103"/>
        <v>100</v>
      </c>
      <c r="AA716" s="24">
        <f t="shared" si="104"/>
        <v>62.5</v>
      </c>
      <c r="AB716" s="21"/>
      <c r="AC716" s="21"/>
      <c r="AD716" s="21"/>
      <c r="AE716" s="21"/>
      <c r="AF716" s="21" t="s">
        <v>247</v>
      </c>
      <c r="AG716" s="21"/>
      <c r="AH716" s="24"/>
      <c r="AI716" s="24"/>
      <c r="AJ716" s="21">
        <v>49.1</v>
      </c>
      <c r="AK716" s="21">
        <v>5</v>
      </c>
      <c r="AL716" s="22" t="s">
        <v>161</v>
      </c>
      <c r="AM716" s="22">
        <v>0.11</v>
      </c>
      <c r="AO716" s="22" t="s">
        <v>1529</v>
      </c>
      <c r="AP716" s="22" t="s">
        <v>1432</v>
      </c>
      <c r="AQ716" s="22" t="str">
        <f t="shared" si="105"/>
        <v>Nanophytoplankton</v>
      </c>
      <c r="AR716" s="22">
        <v>0</v>
      </c>
      <c r="AS716" s="22">
        <v>0</v>
      </c>
      <c r="AT716" s="22">
        <v>0</v>
      </c>
      <c r="AU716" s="22">
        <v>0</v>
      </c>
      <c r="AV716" s="22">
        <v>0</v>
      </c>
      <c r="AW716" s="22">
        <v>0</v>
      </c>
      <c r="AX716" s="22">
        <v>1</v>
      </c>
      <c r="AY716" s="22">
        <v>0</v>
      </c>
      <c r="AZ716" s="22">
        <v>0</v>
      </c>
      <c r="BA716" s="22">
        <v>0</v>
      </c>
      <c r="BB716" s="22">
        <v>0</v>
      </c>
      <c r="BC716" s="22">
        <v>2</v>
      </c>
      <c r="BD716" s="22">
        <v>4</v>
      </c>
      <c r="BE716" s="22">
        <v>4</v>
      </c>
    </row>
    <row r="717" spans="1:57">
      <c r="A717" s="21" t="s">
        <v>2180</v>
      </c>
      <c r="B717" s="22" t="s">
        <v>663</v>
      </c>
      <c r="C717" s="23" t="s">
        <v>822</v>
      </c>
      <c r="D717" s="23" t="s">
        <v>965</v>
      </c>
      <c r="E717" s="22" t="s">
        <v>62</v>
      </c>
      <c r="F717" s="22" t="s">
        <v>1424</v>
      </c>
      <c r="G717" s="23" t="s">
        <v>1553</v>
      </c>
      <c r="H717" s="23" t="s">
        <v>1554</v>
      </c>
      <c r="I717" s="22" t="s">
        <v>2165</v>
      </c>
      <c r="J717" s="22" t="s">
        <v>2181</v>
      </c>
      <c r="N717" s="22" t="s">
        <v>2182</v>
      </c>
      <c r="O717" s="22" t="s">
        <v>1430</v>
      </c>
      <c r="P717" s="21">
        <v>70310</v>
      </c>
      <c r="Q717" s="21">
        <v>28</v>
      </c>
      <c r="R717" s="21">
        <v>28</v>
      </c>
      <c r="S717" s="21">
        <v>11</v>
      </c>
      <c r="T717" s="22" t="s">
        <v>330</v>
      </c>
      <c r="U717" s="21">
        <v>1</v>
      </c>
      <c r="V717" s="22">
        <v>1</v>
      </c>
      <c r="W717" s="25">
        <f t="shared" si="106"/>
        <v>2800</v>
      </c>
      <c r="X717" s="25">
        <f t="shared" si="107"/>
        <v>8624</v>
      </c>
      <c r="Y717" s="21">
        <v>1</v>
      </c>
      <c r="Z717" s="24">
        <f t="shared" si="103"/>
        <v>2800</v>
      </c>
      <c r="AA717" s="24">
        <f t="shared" si="104"/>
        <v>8624</v>
      </c>
      <c r="AB717" s="21"/>
      <c r="AC717" s="21"/>
      <c r="AD717" s="21"/>
      <c r="AE717" s="21"/>
      <c r="AF717" s="21" t="s">
        <v>247</v>
      </c>
      <c r="AG717" s="21"/>
      <c r="AH717" s="24"/>
      <c r="AI717" s="24"/>
      <c r="AJ717" s="21">
        <v>6773.3</v>
      </c>
      <c r="AK717" s="21">
        <v>28</v>
      </c>
      <c r="AL717" s="22" t="s">
        <v>161</v>
      </c>
      <c r="AM717" s="22">
        <v>0.11</v>
      </c>
      <c r="AO717" s="22" t="s">
        <v>1529</v>
      </c>
      <c r="AP717" s="22" t="s">
        <v>1432</v>
      </c>
      <c r="AQ717" s="22" t="str">
        <f t="shared" si="105"/>
        <v>Microphytoplankton</v>
      </c>
      <c r="AR717" s="22">
        <v>0</v>
      </c>
      <c r="AS717" s="22">
        <v>0</v>
      </c>
      <c r="AT717" s="22">
        <v>0</v>
      </c>
      <c r="AU717" s="22">
        <v>0</v>
      </c>
      <c r="AV717" s="22">
        <v>0</v>
      </c>
      <c r="AW717" s="22">
        <v>0</v>
      </c>
      <c r="AX717" s="22">
        <v>1</v>
      </c>
      <c r="AY717" s="22">
        <v>0</v>
      </c>
      <c r="AZ717" s="22">
        <v>0</v>
      </c>
      <c r="BA717" s="22">
        <v>0</v>
      </c>
      <c r="BB717" s="22">
        <v>3</v>
      </c>
      <c r="BC717" s="22">
        <v>4</v>
      </c>
      <c r="BD717" s="22">
        <v>3</v>
      </c>
      <c r="BE717" s="22">
        <v>0</v>
      </c>
    </row>
    <row r="718" spans="1:57">
      <c r="A718" s="36" t="s">
        <v>2183</v>
      </c>
      <c r="B718" s="22" t="s">
        <v>663</v>
      </c>
      <c r="C718" s="23" t="s">
        <v>822</v>
      </c>
      <c r="D718" s="23" t="s">
        <v>965</v>
      </c>
      <c r="E718" s="22" t="s">
        <v>62</v>
      </c>
      <c r="F718" s="22" t="s">
        <v>1424</v>
      </c>
      <c r="G718" s="23" t="s">
        <v>1553</v>
      </c>
      <c r="H718" s="23" t="s">
        <v>1554</v>
      </c>
      <c r="I718" s="22" t="s">
        <v>2165</v>
      </c>
      <c r="J718" s="22" t="s">
        <v>2184</v>
      </c>
      <c r="N718" s="22" t="s">
        <v>2185</v>
      </c>
      <c r="O718" s="22" t="s">
        <v>1430</v>
      </c>
      <c r="P718" s="21">
        <v>70351</v>
      </c>
      <c r="Q718" s="21">
        <v>5</v>
      </c>
      <c r="R718" s="21">
        <v>5</v>
      </c>
      <c r="S718" s="21">
        <v>2.5</v>
      </c>
      <c r="T718" s="22" t="s">
        <v>330</v>
      </c>
      <c r="U718" s="21">
        <v>1</v>
      </c>
      <c r="V718" s="22">
        <v>1</v>
      </c>
      <c r="W718" s="25">
        <f t="shared" si="106"/>
        <v>100</v>
      </c>
      <c r="X718" s="25">
        <f t="shared" si="107"/>
        <v>62.5</v>
      </c>
      <c r="Y718" s="21">
        <v>1</v>
      </c>
      <c r="Z718" s="24">
        <f t="shared" si="103"/>
        <v>100</v>
      </c>
      <c r="AA718" s="24">
        <f t="shared" si="104"/>
        <v>62.5</v>
      </c>
      <c r="AB718" s="21"/>
      <c r="AC718" s="21"/>
      <c r="AD718" s="21"/>
      <c r="AE718" s="21"/>
      <c r="AF718" s="21" t="s">
        <v>247</v>
      </c>
      <c r="AG718" s="21"/>
      <c r="AH718" s="24"/>
      <c r="AI718" s="24"/>
      <c r="AJ718" s="21">
        <v>49.1</v>
      </c>
      <c r="AK718" s="21">
        <v>5</v>
      </c>
      <c r="AL718" s="22" t="s">
        <v>161</v>
      </c>
      <c r="AM718" s="22">
        <v>0.11</v>
      </c>
      <c r="AO718" s="22" t="s">
        <v>1529</v>
      </c>
      <c r="AP718" s="22" t="s">
        <v>1432</v>
      </c>
      <c r="AQ718" s="22" t="str">
        <f t="shared" si="105"/>
        <v>Nanophytoplankton</v>
      </c>
      <c r="AR718" s="22">
        <v>0</v>
      </c>
      <c r="AS718" s="22">
        <v>0</v>
      </c>
      <c r="AT718" s="22">
        <v>0</v>
      </c>
      <c r="AU718" s="22">
        <v>0</v>
      </c>
      <c r="AV718" s="22">
        <v>0</v>
      </c>
      <c r="AW718" s="22">
        <v>0</v>
      </c>
      <c r="AX718" s="22">
        <v>1</v>
      </c>
      <c r="AY718" s="22">
        <v>0</v>
      </c>
      <c r="AZ718" s="22">
        <v>0</v>
      </c>
      <c r="BA718" s="22">
        <v>0</v>
      </c>
      <c r="BB718" s="22">
        <v>0</v>
      </c>
      <c r="BC718" s="22">
        <v>2</v>
      </c>
      <c r="BD718" s="22">
        <v>4</v>
      </c>
      <c r="BE718" s="22">
        <v>4</v>
      </c>
    </row>
    <row r="719" spans="1:57">
      <c r="A719" s="21" t="s">
        <v>2186</v>
      </c>
      <c r="B719" s="22" t="s">
        <v>663</v>
      </c>
      <c r="C719" s="23" t="s">
        <v>822</v>
      </c>
      <c r="D719" s="23" t="s">
        <v>965</v>
      </c>
      <c r="E719" s="22" t="s">
        <v>62</v>
      </c>
      <c r="F719" s="22" t="s">
        <v>1424</v>
      </c>
      <c r="G719" s="23" t="s">
        <v>1553</v>
      </c>
      <c r="H719" s="23" t="s">
        <v>1554</v>
      </c>
      <c r="I719" s="22" t="s">
        <v>2165</v>
      </c>
      <c r="J719" s="22" t="s">
        <v>211</v>
      </c>
      <c r="M719" s="22" t="s">
        <v>1</v>
      </c>
      <c r="N719" s="22" t="s">
        <v>694</v>
      </c>
      <c r="O719" s="22" t="s">
        <v>1430</v>
      </c>
      <c r="P719" s="21">
        <v>70300</v>
      </c>
      <c r="Q719" s="21">
        <v>25</v>
      </c>
      <c r="R719" s="21">
        <v>25</v>
      </c>
      <c r="S719" s="21">
        <v>10</v>
      </c>
      <c r="T719" s="22" t="s">
        <v>330</v>
      </c>
      <c r="U719" s="21">
        <v>1</v>
      </c>
      <c r="V719" s="22">
        <v>1</v>
      </c>
      <c r="W719" s="25">
        <f t="shared" si="106"/>
        <v>2250</v>
      </c>
      <c r="X719" s="25">
        <f t="shared" si="107"/>
        <v>6250</v>
      </c>
      <c r="Y719" s="21">
        <v>1</v>
      </c>
      <c r="Z719" s="24">
        <f t="shared" si="103"/>
        <v>2250</v>
      </c>
      <c r="AA719" s="24">
        <f t="shared" si="104"/>
        <v>6250</v>
      </c>
      <c r="AB719" s="21"/>
      <c r="AC719" s="21"/>
      <c r="AD719" s="21"/>
      <c r="AE719" s="21"/>
      <c r="AF719" s="21" t="s">
        <v>247</v>
      </c>
      <c r="AG719" s="21"/>
      <c r="AH719" s="24"/>
      <c r="AI719" s="24"/>
      <c r="AJ719" s="21">
        <v>4908.7</v>
      </c>
      <c r="AK719" s="21">
        <v>25</v>
      </c>
      <c r="AL719" s="22" t="s">
        <v>161</v>
      </c>
      <c r="AM719" s="22">
        <v>0.11</v>
      </c>
      <c r="AO719" s="22" t="s">
        <v>1505</v>
      </c>
      <c r="AP719" s="22" t="s">
        <v>1432</v>
      </c>
      <c r="AQ719" s="22" t="str">
        <f t="shared" si="105"/>
        <v>Microphytoplankton</v>
      </c>
      <c r="AR719" s="22">
        <v>0</v>
      </c>
      <c r="AS719" s="22">
        <v>0</v>
      </c>
      <c r="AT719" s="22">
        <v>0</v>
      </c>
      <c r="AU719" s="22">
        <v>0</v>
      </c>
      <c r="AV719" s="22">
        <v>0</v>
      </c>
      <c r="AW719" s="22">
        <v>0</v>
      </c>
      <c r="AX719" s="22">
        <v>1</v>
      </c>
      <c r="AY719" s="22">
        <v>0</v>
      </c>
      <c r="AZ719" s="22">
        <v>0</v>
      </c>
      <c r="BA719" s="22">
        <v>0</v>
      </c>
      <c r="BB719" s="22">
        <v>0</v>
      </c>
      <c r="BC719" s="22">
        <v>1</v>
      </c>
      <c r="BD719" s="22">
        <v>3</v>
      </c>
      <c r="BE719" s="22">
        <v>6</v>
      </c>
    </row>
    <row r="720" spans="1:57">
      <c r="A720" s="21" t="s">
        <v>2187</v>
      </c>
      <c r="B720" s="22" t="s">
        <v>663</v>
      </c>
      <c r="C720" s="23" t="s">
        <v>822</v>
      </c>
      <c r="D720" s="23" t="s">
        <v>965</v>
      </c>
      <c r="E720" s="22" t="s">
        <v>62</v>
      </c>
      <c r="F720" s="22" t="s">
        <v>1424</v>
      </c>
      <c r="G720" s="23" t="s">
        <v>1553</v>
      </c>
      <c r="H720" s="23" t="s">
        <v>1554</v>
      </c>
      <c r="I720" s="22" t="s">
        <v>2165</v>
      </c>
      <c r="J720" s="22" t="s">
        <v>185</v>
      </c>
      <c r="N720" s="22" t="s">
        <v>1580</v>
      </c>
      <c r="O720" s="22" t="s">
        <v>1430</v>
      </c>
      <c r="P720" s="22">
        <v>70370</v>
      </c>
      <c r="Q720" s="21">
        <v>12</v>
      </c>
      <c r="R720" s="21">
        <v>12</v>
      </c>
      <c r="S720" s="21">
        <v>4</v>
      </c>
      <c r="T720" s="22" t="s">
        <v>330</v>
      </c>
      <c r="U720" s="21">
        <v>1</v>
      </c>
      <c r="V720" s="22">
        <v>1</v>
      </c>
      <c r="W720" s="25">
        <f t="shared" si="106"/>
        <v>480</v>
      </c>
      <c r="X720" s="25">
        <f t="shared" si="107"/>
        <v>576</v>
      </c>
      <c r="Y720" s="21">
        <v>1</v>
      </c>
      <c r="Z720" s="24">
        <f t="shared" si="103"/>
        <v>480</v>
      </c>
      <c r="AA720" s="24">
        <f t="shared" si="104"/>
        <v>576</v>
      </c>
      <c r="AB720" s="21"/>
      <c r="AC720" s="21"/>
      <c r="AD720" s="21"/>
      <c r="AE720" s="21"/>
      <c r="AF720" s="21" t="s">
        <v>247</v>
      </c>
      <c r="AG720" s="21"/>
      <c r="AH720" s="24"/>
      <c r="AI720" s="24"/>
      <c r="AJ720" s="21">
        <v>452.4</v>
      </c>
      <c r="AK720" s="21">
        <v>12</v>
      </c>
      <c r="AL720" s="22" t="s">
        <v>161</v>
      </c>
      <c r="AM720" s="22">
        <v>0.11</v>
      </c>
      <c r="AO720" s="22" t="s">
        <v>1762</v>
      </c>
      <c r="AP720" s="22" t="s">
        <v>1432</v>
      </c>
      <c r="AQ720" s="22" t="str">
        <f t="shared" si="105"/>
        <v>Nanophytoplankton</v>
      </c>
      <c r="AR720" s="22">
        <v>0</v>
      </c>
      <c r="AS720" s="22">
        <v>0</v>
      </c>
      <c r="AT720" s="22">
        <v>0</v>
      </c>
      <c r="AU720" s="22">
        <v>0</v>
      </c>
      <c r="AV720" s="22">
        <v>0</v>
      </c>
      <c r="AW720" s="22">
        <v>0</v>
      </c>
      <c r="AX720" s="22">
        <v>1</v>
      </c>
      <c r="AY720" s="22">
        <v>0</v>
      </c>
    </row>
    <row r="721" spans="1:57">
      <c r="A721" s="22" t="s">
        <v>2188</v>
      </c>
      <c r="B721" s="22" t="s">
        <v>663</v>
      </c>
      <c r="C721" s="23" t="s">
        <v>822</v>
      </c>
      <c r="D721" s="23" t="s">
        <v>965</v>
      </c>
      <c r="E721" s="22" t="s">
        <v>62</v>
      </c>
      <c r="F721" s="23" t="s">
        <v>1434</v>
      </c>
      <c r="G721" s="23" t="s">
        <v>1548</v>
      </c>
      <c r="H721" s="23" t="s">
        <v>1549</v>
      </c>
      <c r="I721" s="22" t="s">
        <v>2189</v>
      </c>
      <c r="J721" s="22" t="s">
        <v>1938</v>
      </c>
      <c r="N721" s="22" t="s">
        <v>2190</v>
      </c>
      <c r="O721" s="22" t="s">
        <v>1430</v>
      </c>
      <c r="P721" s="21">
        <v>72121</v>
      </c>
      <c r="Q721" s="22">
        <v>67.5</v>
      </c>
      <c r="R721" s="22">
        <v>16</v>
      </c>
      <c r="S721" s="22">
        <v>5</v>
      </c>
      <c r="T721" s="22" t="s">
        <v>330</v>
      </c>
      <c r="U721" s="22">
        <v>0.8</v>
      </c>
      <c r="V721" s="21">
        <v>0.8</v>
      </c>
      <c r="W721" s="25">
        <f t="shared" si="106"/>
        <v>3743.75</v>
      </c>
      <c r="X721" s="25">
        <f t="shared" si="107"/>
        <v>4320</v>
      </c>
      <c r="Y721" s="21">
        <v>1</v>
      </c>
      <c r="Z721" s="24">
        <f t="shared" si="103"/>
        <v>3743.75</v>
      </c>
      <c r="AA721" s="24">
        <f t="shared" si="104"/>
        <v>4320</v>
      </c>
      <c r="AE721" s="21"/>
      <c r="AF721" s="21" t="s">
        <v>247</v>
      </c>
      <c r="AJ721" s="21">
        <v>4320</v>
      </c>
      <c r="AK721" s="21">
        <v>67.5</v>
      </c>
      <c r="AL721" s="22" t="s">
        <v>161</v>
      </c>
      <c r="AM721" s="22">
        <v>0.11</v>
      </c>
      <c r="AO721" s="22" t="s">
        <v>1447</v>
      </c>
      <c r="AP721" s="22" t="s">
        <v>1432</v>
      </c>
      <c r="AQ721" s="22" t="str">
        <f t="shared" si="105"/>
        <v>Microphytoplankton</v>
      </c>
      <c r="AR721" s="22">
        <v>1</v>
      </c>
      <c r="AS721" s="22">
        <v>0</v>
      </c>
      <c r="AT721" s="22">
        <v>1</v>
      </c>
      <c r="AU721" s="22">
        <v>0</v>
      </c>
      <c r="AV721" s="22">
        <v>0</v>
      </c>
      <c r="AW721" s="22">
        <v>0</v>
      </c>
      <c r="AX721" s="22">
        <v>1</v>
      </c>
      <c r="AY721" s="22">
        <v>0</v>
      </c>
    </row>
    <row r="722" spans="1:57">
      <c r="A722" s="21" t="s">
        <v>2191</v>
      </c>
      <c r="B722" s="22" t="s">
        <v>663</v>
      </c>
      <c r="C722" s="23" t="s">
        <v>822</v>
      </c>
      <c r="D722" s="23" t="s">
        <v>965</v>
      </c>
      <c r="E722" s="22" t="s">
        <v>62</v>
      </c>
      <c r="F722" s="23" t="s">
        <v>1434</v>
      </c>
      <c r="G722" s="23" t="s">
        <v>1548</v>
      </c>
      <c r="H722" s="23" t="s">
        <v>1549</v>
      </c>
      <c r="I722" s="22" t="s">
        <v>2189</v>
      </c>
      <c r="J722" s="22" t="s">
        <v>2192</v>
      </c>
      <c r="K722" s="29"/>
      <c r="L722" s="29"/>
      <c r="N722" s="22" t="s">
        <v>2193</v>
      </c>
      <c r="O722" s="22" t="s">
        <v>1430</v>
      </c>
      <c r="P722" s="22">
        <v>72125</v>
      </c>
      <c r="Q722" s="21">
        <v>24</v>
      </c>
      <c r="R722" s="21">
        <v>10</v>
      </c>
      <c r="S722" s="21">
        <v>5</v>
      </c>
      <c r="T722" s="22" t="s">
        <v>330</v>
      </c>
      <c r="U722" s="21">
        <v>0.7</v>
      </c>
      <c r="V722" s="21">
        <v>0.7</v>
      </c>
      <c r="W722" s="25">
        <f t="shared" si="106"/>
        <v>1171.4285714285716</v>
      </c>
      <c r="X722" s="25">
        <f t="shared" si="107"/>
        <v>840</v>
      </c>
      <c r="Y722" s="21">
        <v>1</v>
      </c>
      <c r="Z722" s="24">
        <f t="shared" si="103"/>
        <v>1171.4285714285716</v>
      </c>
      <c r="AA722" s="24">
        <f t="shared" si="104"/>
        <v>840</v>
      </c>
      <c r="AB722" s="21"/>
      <c r="AC722" s="21"/>
      <c r="AD722" s="21"/>
      <c r="AE722" s="21"/>
      <c r="AF722" s="21" t="s">
        <v>247</v>
      </c>
      <c r="AG722" s="21"/>
      <c r="AH722" s="24"/>
      <c r="AI722" s="24"/>
      <c r="AJ722" s="21">
        <v>840</v>
      </c>
      <c r="AK722" s="21">
        <v>24</v>
      </c>
      <c r="AL722" s="22" t="s">
        <v>161</v>
      </c>
      <c r="AM722" s="22">
        <v>0.11</v>
      </c>
      <c r="AN722" s="29"/>
      <c r="AO722" s="22" t="s">
        <v>1447</v>
      </c>
      <c r="AP722" s="22" t="s">
        <v>1432</v>
      </c>
      <c r="AQ722" s="22" t="str">
        <f t="shared" si="105"/>
        <v>Microphytoplankton</v>
      </c>
      <c r="AR722" s="22">
        <v>1</v>
      </c>
      <c r="AS722" s="22">
        <v>0</v>
      </c>
      <c r="AT722" s="22">
        <v>1</v>
      </c>
      <c r="AU722" s="22">
        <v>0</v>
      </c>
      <c r="AV722" s="22">
        <v>0</v>
      </c>
      <c r="AW722" s="22">
        <v>0</v>
      </c>
      <c r="AX722" s="22">
        <v>1</v>
      </c>
      <c r="AY722" s="22">
        <v>0</v>
      </c>
    </row>
    <row r="723" spans="1:57">
      <c r="A723" s="21" t="s">
        <v>2194</v>
      </c>
      <c r="B723" s="22" t="s">
        <v>663</v>
      </c>
      <c r="C723" s="23" t="s">
        <v>822</v>
      </c>
      <c r="D723" s="23" t="s">
        <v>965</v>
      </c>
      <c r="E723" s="22" t="s">
        <v>62</v>
      </c>
      <c r="F723" s="23" t="s">
        <v>1434</v>
      </c>
      <c r="G723" s="23" t="s">
        <v>1548</v>
      </c>
      <c r="H723" s="23" t="s">
        <v>1549</v>
      </c>
      <c r="I723" s="22" t="s">
        <v>2189</v>
      </c>
      <c r="J723" s="22" t="s">
        <v>496</v>
      </c>
      <c r="N723" s="22" t="s">
        <v>694</v>
      </c>
      <c r="O723" s="22" t="s">
        <v>1430</v>
      </c>
      <c r="P723" s="22">
        <v>72120</v>
      </c>
      <c r="Q723" s="21">
        <v>174</v>
      </c>
      <c r="R723" s="21">
        <v>64</v>
      </c>
      <c r="S723" s="21">
        <v>50</v>
      </c>
      <c r="T723" s="22" t="s">
        <v>330</v>
      </c>
      <c r="U723" s="21">
        <v>0.6</v>
      </c>
      <c r="V723" s="21">
        <v>0.6</v>
      </c>
      <c r="W723" s="25">
        <f t="shared" si="106"/>
        <v>76786.666666666672</v>
      </c>
      <c r="X723" s="25">
        <f t="shared" si="107"/>
        <v>334080</v>
      </c>
      <c r="Y723" s="21">
        <v>1</v>
      </c>
      <c r="Z723" s="24">
        <f t="shared" si="103"/>
        <v>76786.666666666672</v>
      </c>
      <c r="AA723" s="24">
        <f t="shared" si="104"/>
        <v>334080</v>
      </c>
      <c r="AB723" s="21"/>
      <c r="AC723" s="21"/>
      <c r="AD723" s="21"/>
      <c r="AE723" s="21"/>
      <c r="AF723" s="21" t="s">
        <v>247</v>
      </c>
      <c r="AG723" s="21"/>
      <c r="AH723" s="24"/>
      <c r="AI723" s="24"/>
      <c r="AJ723" s="21">
        <v>334080</v>
      </c>
      <c r="AK723" s="21">
        <v>174</v>
      </c>
      <c r="AL723" s="22" t="s">
        <v>161</v>
      </c>
      <c r="AM723" s="22">
        <v>0.11</v>
      </c>
      <c r="AO723" s="22" t="s">
        <v>1447</v>
      </c>
      <c r="AP723" s="22" t="s">
        <v>1432</v>
      </c>
      <c r="AQ723" s="22" t="str">
        <f t="shared" si="105"/>
        <v>Microphytoplankton</v>
      </c>
      <c r="AR723" s="22">
        <v>1</v>
      </c>
      <c r="AS723" s="22">
        <v>0</v>
      </c>
      <c r="AT723" s="22">
        <v>1</v>
      </c>
      <c r="AU723" s="22">
        <v>0</v>
      </c>
      <c r="AV723" s="22">
        <v>0</v>
      </c>
      <c r="AW723" s="22">
        <v>0</v>
      </c>
      <c r="AX723" s="22">
        <v>1</v>
      </c>
      <c r="AY723" s="22">
        <v>0</v>
      </c>
    </row>
    <row r="724" spans="1:57">
      <c r="A724" s="21" t="s">
        <v>2195</v>
      </c>
      <c r="B724" s="22" t="s">
        <v>663</v>
      </c>
      <c r="C724" s="23" t="s">
        <v>822</v>
      </c>
      <c r="D724" s="23" t="s">
        <v>965</v>
      </c>
      <c r="E724" s="22" t="s">
        <v>62</v>
      </c>
      <c r="F724" s="23" t="s">
        <v>1434</v>
      </c>
      <c r="G724" s="23" t="s">
        <v>1548</v>
      </c>
      <c r="H724" s="23" t="s">
        <v>1549</v>
      </c>
      <c r="I724" s="22" t="s">
        <v>2189</v>
      </c>
      <c r="J724" s="22" t="s">
        <v>2025</v>
      </c>
      <c r="N724" s="22" t="s">
        <v>2056</v>
      </c>
      <c r="O724" s="22" t="s">
        <v>1430</v>
      </c>
      <c r="P724" s="22">
        <v>72150</v>
      </c>
      <c r="Q724" s="21">
        <v>40</v>
      </c>
      <c r="R724" s="21">
        <v>8</v>
      </c>
      <c r="S724" s="21">
        <v>4</v>
      </c>
      <c r="T724" s="22" t="s">
        <v>330</v>
      </c>
      <c r="U724" s="21">
        <v>0.8</v>
      </c>
      <c r="V724" s="21">
        <v>0.8</v>
      </c>
      <c r="W724" s="25">
        <f t="shared" si="106"/>
        <v>1280</v>
      </c>
      <c r="X724" s="25">
        <f t="shared" si="107"/>
        <v>1024</v>
      </c>
      <c r="Y724" s="21">
        <v>1</v>
      </c>
      <c r="Z724" s="24">
        <f t="shared" si="103"/>
        <v>1280</v>
      </c>
      <c r="AA724" s="24">
        <f t="shared" si="104"/>
        <v>1024</v>
      </c>
      <c r="AB724" s="21"/>
      <c r="AC724" s="21"/>
      <c r="AD724" s="21"/>
      <c r="AE724" s="21"/>
      <c r="AF724" s="21" t="s">
        <v>247</v>
      </c>
      <c r="AG724" s="21"/>
      <c r="AH724" s="24"/>
      <c r="AI724" s="24"/>
      <c r="AJ724" s="21">
        <v>1024</v>
      </c>
      <c r="AK724" s="21">
        <v>40</v>
      </c>
      <c r="AL724" s="22" t="s">
        <v>161</v>
      </c>
      <c r="AM724" s="22">
        <v>0.11</v>
      </c>
      <c r="AO724" s="22" t="s">
        <v>1447</v>
      </c>
      <c r="AP724" s="22" t="s">
        <v>1432</v>
      </c>
      <c r="AQ724" s="22" t="str">
        <f t="shared" si="105"/>
        <v>Microphytoplankton</v>
      </c>
      <c r="AR724" s="22">
        <v>1</v>
      </c>
      <c r="AS724" s="22">
        <v>0</v>
      </c>
      <c r="AT724" s="22">
        <v>1</v>
      </c>
      <c r="AU724" s="22">
        <v>0</v>
      </c>
      <c r="AV724" s="22">
        <v>0</v>
      </c>
      <c r="AW724" s="22">
        <v>0</v>
      </c>
      <c r="AX724" s="22">
        <v>1</v>
      </c>
      <c r="AY724" s="22">
        <v>0</v>
      </c>
    </row>
    <row r="725" spans="1:57">
      <c r="A725" s="21" t="s">
        <v>2196</v>
      </c>
      <c r="B725" s="22" t="s">
        <v>663</v>
      </c>
      <c r="C725" s="23" t="s">
        <v>822</v>
      </c>
      <c r="D725" s="23" t="s">
        <v>965</v>
      </c>
      <c r="E725" s="22" t="s">
        <v>62</v>
      </c>
      <c r="F725" s="23" t="s">
        <v>1434</v>
      </c>
      <c r="G725" s="23" t="s">
        <v>1548</v>
      </c>
      <c r="H725" s="23" t="s">
        <v>1549</v>
      </c>
      <c r="I725" s="22" t="s">
        <v>2189</v>
      </c>
      <c r="J725" s="22" t="s">
        <v>586</v>
      </c>
      <c r="N725" s="22" t="s">
        <v>189</v>
      </c>
      <c r="O725" s="22" t="s">
        <v>1430</v>
      </c>
      <c r="P725" s="22">
        <v>72140</v>
      </c>
      <c r="Q725" s="21">
        <v>29</v>
      </c>
      <c r="R725" s="21">
        <v>10</v>
      </c>
      <c r="S725" s="21">
        <v>5</v>
      </c>
      <c r="T725" s="22" t="s">
        <v>330</v>
      </c>
      <c r="U725" s="21">
        <v>0.8</v>
      </c>
      <c r="V725" s="21">
        <v>0.8</v>
      </c>
      <c r="W725" s="25">
        <f t="shared" si="106"/>
        <v>1212.5</v>
      </c>
      <c r="X725" s="25">
        <f t="shared" si="107"/>
        <v>1160</v>
      </c>
      <c r="Y725" s="21">
        <v>1</v>
      </c>
      <c r="Z725" s="24">
        <f t="shared" si="103"/>
        <v>1212.5</v>
      </c>
      <c r="AA725" s="24">
        <f t="shared" si="104"/>
        <v>1160</v>
      </c>
      <c r="AB725" s="21"/>
      <c r="AC725" s="21"/>
      <c r="AD725" s="21"/>
      <c r="AE725" s="21"/>
      <c r="AF725" s="21" t="s">
        <v>247</v>
      </c>
      <c r="AG725" s="21"/>
      <c r="AH725" s="24"/>
      <c r="AI725" s="24"/>
      <c r="AJ725" s="21">
        <v>1160</v>
      </c>
      <c r="AK725" s="21">
        <v>29</v>
      </c>
      <c r="AL725" s="22" t="s">
        <v>161</v>
      </c>
      <c r="AM725" s="22">
        <v>0.11</v>
      </c>
      <c r="AO725" s="22" t="s">
        <v>1447</v>
      </c>
      <c r="AP725" s="22" t="s">
        <v>1432</v>
      </c>
      <c r="AQ725" s="22" t="str">
        <f t="shared" si="105"/>
        <v>Microphytoplankton</v>
      </c>
      <c r="AR725" s="22">
        <v>1</v>
      </c>
      <c r="AS725" s="22">
        <v>0</v>
      </c>
      <c r="AT725" s="22">
        <v>1</v>
      </c>
      <c r="AU725" s="22">
        <v>0</v>
      </c>
      <c r="AV725" s="22">
        <v>0</v>
      </c>
      <c r="AW725" s="22">
        <v>0</v>
      </c>
      <c r="AX725" s="22">
        <v>1</v>
      </c>
      <c r="AY725" s="22">
        <v>0</v>
      </c>
    </row>
    <row r="726" spans="1:57">
      <c r="A726" s="21" t="s">
        <v>2197</v>
      </c>
      <c r="B726" s="22" t="s">
        <v>663</v>
      </c>
      <c r="C726" s="23" t="s">
        <v>822</v>
      </c>
      <c r="D726" s="23" t="s">
        <v>965</v>
      </c>
      <c r="E726" s="22" t="s">
        <v>62</v>
      </c>
      <c r="F726" s="23" t="s">
        <v>1434</v>
      </c>
      <c r="G726" s="23" t="s">
        <v>1548</v>
      </c>
      <c r="H726" s="23" t="s">
        <v>1549</v>
      </c>
      <c r="I726" s="22" t="s">
        <v>2189</v>
      </c>
      <c r="J726" s="22" t="s">
        <v>846</v>
      </c>
      <c r="N726" s="22" t="s">
        <v>413</v>
      </c>
      <c r="O726" s="22" t="s">
        <v>1430</v>
      </c>
      <c r="P726" s="21">
        <v>72110</v>
      </c>
      <c r="Q726" s="21">
        <v>30</v>
      </c>
      <c r="R726" s="21">
        <v>14</v>
      </c>
      <c r="S726" s="21">
        <v>4</v>
      </c>
      <c r="T726" s="22" t="s">
        <v>330</v>
      </c>
      <c r="U726" s="21">
        <v>0.6</v>
      </c>
      <c r="V726" s="21">
        <v>0.6</v>
      </c>
      <c r="W726" s="25">
        <f t="shared" si="106"/>
        <v>1986.6666666666667</v>
      </c>
      <c r="X726" s="25">
        <f t="shared" si="107"/>
        <v>1008</v>
      </c>
      <c r="Y726" s="21">
        <v>1</v>
      </c>
      <c r="Z726" s="24">
        <f t="shared" si="103"/>
        <v>1986.6666666666667</v>
      </c>
      <c r="AA726" s="24">
        <f t="shared" si="104"/>
        <v>1008</v>
      </c>
      <c r="AB726" s="21"/>
      <c r="AC726" s="21"/>
      <c r="AD726" s="21"/>
      <c r="AE726" s="21"/>
      <c r="AF726" s="21" t="s">
        <v>247</v>
      </c>
      <c r="AG726" s="21"/>
      <c r="AH726" s="24"/>
      <c r="AI726" s="24"/>
      <c r="AJ726" s="21">
        <v>1008</v>
      </c>
      <c r="AK726" s="21">
        <v>30</v>
      </c>
      <c r="AL726" s="22" t="s">
        <v>161</v>
      </c>
      <c r="AM726" s="22">
        <v>0.11</v>
      </c>
      <c r="AO726" s="22" t="s">
        <v>1447</v>
      </c>
      <c r="AP726" s="22" t="s">
        <v>1432</v>
      </c>
      <c r="AQ726" s="22" t="str">
        <f t="shared" si="105"/>
        <v>Microphytoplankton</v>
      </c>
      <c r="AR726" s="22">
        <v>1</v>
      </c>
      <c r="AS726" s="22">
        <v>0</v>
      </c>
      <c r="AT726" s="22">
        <v>1</v>
      </c>
      <c r="AU726" s="22">
        <v>0</v>
      </c>
      <c r="AV726" s="22">
        <v>0</v>
      </c>
      <c r="AW726" s="22">
        <v>0</v>
      </c>
      <c r="AX726" s="22">
        <v>1</v>
      </c>
      <c r="AY726" s="22">
        <v>0</v>
      </c>
    </row>
    <row r="727" spans="1:57">
      <c r="A727" s="21" t="s">
        <v>2198</v>
      </c>
      <c r="B727" s="22" t="s">
        <v>663</v>
      </c>
      <c r="C727" s="23" t="s">
        <v>822</v>
      </c>
      <c r="D727" s="23" t="s">
        <v>965</v>
      </c>
      <c r="E727" s="22" t="s">
        <v>62</v>
      </c>
      <c r="F727" s="23" t="s">
        <v>1434</v>
      </c>
      <c r="G727" s="23" t="s">
        <v>1548</v>
      </c>
      <c r="H727" s="23" t="s">
        <v>1549</v>
      </c>
      <c r="I727" s="22" t="s">
        <v>2189</v>
      </c>
      <c r="J727" s="22" t="s">
        <v>211</v>
      </c>
      <c r="M727" s="22" t="s">
        <v>1</v>
      </c>
      <c r="N727" s="22" t="s">
        <v>1056</v>
      </c>
      <c r="O727" s="22" t="s">
        <v>1430</v>
      </c>
      <c r="P727" s="22">
        <v>72130</v>
      </c>
      <c r="Q727" s="22">
        <v>85</v>
      </c>
      <c r="R727" s="22">
        <v>24</v>
      </c>
      <c r="S727" s="22">
        <v>10</v>
      </c>
      <c r="T727" s="22" t="s">
        <v>330</v>
      </c>
      <c r="U727" s="22">
        <v>0.7</v>
      </c>
      <c r="V727" s="21">
        <v>0.7</v>
      </c>
      <c r="W727" s="25">
        <f t="shared" si="106"/>
        <v>8942.8571428571431</v>
      </c>
      <c r="X727" s="25">
        <f t="shared" si="107"/>
        <v>14280</v>
      </c>
      <c r="Y727" s="21">
        <v>1</v>
      </c>
      <c r="Z727" s="24">
        <f t="shared" si="103"/>
        <v>8942.8571428571431</v>
      </c>
      <c r="AA727" s="24">
        <f t="shared" si="104"/>
        <v>14280</v>
      </c>
      <c r="AE727" s="21"/>
      <c r="AF727" s="21" t="s">
        <v>247</v>
      </c>
      <c r="AJ727" s="21">
        <v>3738.5</v>
      </c>
      <c r="AK727" s="21">
        <v>85</v>
      </c>
      <c r="AL727" s="22" t="s">
        <v>161</v>
      </c>
      <c r="AM727" s="22">
        <v>0.11</v>
      </c>
      <c r="AO727" s="22" t="s">
        <v>1447</v>
      </c>
      <c r="AP727" s="22" t="s">
        <v>1432</v>
      </c>
      <c r="AQ727" s="22" t="str">
        <f t="shared" si="105"/>
        <v>Microphytoplankton</v>
      </c>
      <c r="AR727" s="22">
        <v>1</v>
      </c>
      <c r="AS727" s="22">
        <v>0</v>
      </c>
      <c r="AT727" s="22">
        <v>1</v>
      </c>
      <c r="AU727" s="22">
        <v>0</v>
      </c>
      <c r="AV727" s="22">
        <v>0</v>
      </c>
      <c r="AW727" s="22">
        <v>0</v>
      </c>
      <c r="AX727" s="22">
        <v>1</v>
      </c>
      <c r="AY727" s="22">
        <v>0</v>
      </c>
    </row>
    <row r="728" spans="1:57">
      <c r="A728" s="22" t="s">
        <v>2199</v>
      </c>
      <c r="B728" s="22" t="s">
        <v>663</v>
      </c>
      <c r="C728" s="23" t="s">
        <v>822</v>
      </c>
      <c r="D728" s="23" t="s">
        <v>965</v>
      </c>
      <c r="E728" s="22" t="s">
        <v>62</v>
      </c>
      <c r="F728" s="23" t="s">
        <v>1499</v>
      </c>
      <c r="G728" s="23" t="s">
        <v>1500</v>
      </c>
      <c r="H728" s="23" t="s">
        <v>1501</v>
      </c>
      <c r="I728" s="23" t="s">
        <v>44</v>
      </c>
      <c r="J728" s="22" t="s">
        <v>211</v>
      </c>
      <c r="M728" s="22" t="s">
        <v>1</v>
      </c>
      <c r="N728" s="22" t="s">
        <v>694</v>
      </c>
      <c r="O728" s="22" t="s">
        <v>1430</v>
      </c>
      <c r="P728" s="21">
        <v>70653</v>
      </c>
      <c r="Q728" s="22">
        <v>15</v>
      </c>
      <c r="R728" s="22">
        <v>4</v>
      </c>
      <c r="S728" s="22">
        <v>2</v>
      </c>
      <c r="T728" s="22" t="s">
        <v>330</v>
      </c>
      <c r="U728" s="22">
        <v>0.75</v>
      </c>
      <c r="V728" s="21">
        <v>0.75</v>
      </c>
      <c r="W728" s="25">
        <f t="shared" si="106"/>
        <v>261.33333333333331</v>
      </c>
      <c r="X728" s="25">
        <f t="shared" si="107"/>
        <v>90</v>
      </c>
      <c r="Y728" s="21">
        <v>1</v>
      </c>
      <c r="Z728" s="24">
        <f t="shared" si="103"/>
        <v>261.33333333333331</v>
      </c>
      <c r="AA728" s="24">
        <f t="shared" si="104"/>
        <v>90</v>
      </c>
      <c r="AE728" s="21"/>
      <c r="AF728" s="21" t="s">
        <v>247</v>
      </c>
      <c r="AJ728" s="21">
        <v>90</v>
      </c>
      <c r="AK728" s="21">
        <v>15</v>
      </c>
      <c r="AL728" s="22" t="s">
        <v>748</v>
      </c>
      <c r="AM728" s="22">
        <v>0.11</v>
      </c>
      <c r="AO728" s="22" t="s">
        <v>1762</v>
      </c>
      <c r="AP728" s="22" t="s">
        <v>1432</v>
      </c>
      <c r="AQ728" s="22" t="str">
        <f t="shared" si="105"/>
        <v>Nanophytoplankton</v>
      </c>
      <c r="AR728" s="22">
        <v>0</v>
      </c>
      <c r="AS728" s="22">
        <v>0</v>
      </c>
      <c r="AT728" s="22">
        <v>0</v>
      </c>
      <c r="AU728" s="22">
        <v>1</v>
      </c>
      <c r="AV728" s="22">
        <v>0</v>
      </c>
      <c r="AW728" s="22">
        <v>0</v>
      </c>
      <c r="AX728" s="22">
        <v>1</v>
      </c>
      <c r="AY728" s="22">
        <v>0</v>
      </c>
    </row>
    <row r="729" spans="1:57">
      <c r="A729" s="21" t="s">
        <v>2200</v>
      </c>
      <c r="B729" s="22" t="s">
        <v>663</v>
      </c>
      <c r="C729" s="23" t="s">
        <v>822</v>
      </c>
      <c r="D729" s="23" t="s">
        <v>965</v>
      </c>
      <c r="E729" s="22" t="s">
        <v>62</v>
      </c>
      <c r="F729" s="23" t="s">
        <v>1499</v>
      </c>
      <c r="G729" s="23" t="s">
        <v>2201</v>
      </c>
      <c r="H729" s="23" t="s">
        <v>2202</v>
      </c>
      <c r="I729" s="22" t="s">
        <v>2203</v>
      </c>
      <c r="J729" s="22" t="s">
        <v>2204</v>
      </c>
      <c r="N729" s="22" t="s">
        <v>2205</v>
      </c>
      <c r="O729" s="22" t="s">
        <v>1430</v>
      </c>
      <c r="P729" s="21">
        <v>72230</v>
      </c>
      <c r="Q729" s="21">
        <v>90</v>
      </c>
      <c r="R729" s="21">
        <v>7</v>
      </c>
      <c r="S729" s="21">
        <v>3.5</v>
      </c>
      <c r="T729" s="22" t="s">
        <v>330</v>
      </c>
      <c r="U729" s="21">
        <v>0.8</v>
      </c>
      <c r="V729" s="21">
        <v>0.8</v>
      </c>
      <c r="W729" s="25">
        <f t="shared" si="106"/>
        <v>2423.75</v>
      </c>
      <c r="X729" s="25">
        <f t="shared" si="107"/>
        <v>1764</v>
      </c>
      <c r="Y729" s="21">
        <v>1</v>
      </c>
      <c r="Z729" s="24">
        <f t="shared" si="103"/>
        <v>2423.75</v>
      </c>
      <c r="AA729" s="24">
        <f t="shared" si="104"/>
        <v>1764</v>
      </c>
      <c r="AB729" s="21"/>
      <c r="AC729" s="21"/>
      <c r="AD729" s="21"/>
      <c r="AE729" s="21"/>
      <c r="AF729" s="21" t="s">
        <v>247</v>
      </c>
      <c r="AG729" s="21"/>
      <c r="AH729" s="24"/>
      <c r="AI729" s="24"/>
      <c r="AJ729" s="21">
        <v>1323</v>
      </c>
      <c r="AK729" s="21">
        <v>90</v>
      </c>
      <c r="AL729" s="22" t="s">
        <v>161</v>
      </c>
      <c r="AM729" s="22">
        <v>0.11</v>
      </c>
      <c r="AN729" s="22" t="s">
        <v>2206</v>
      </c>
      <c r="AO729" s="22" t="s">
        <v>2206</v>
      </c>
      <c r="AP729" s="22" t="s">
        <v>1432</v>
      </c>
      <c r="AQ729" s="22" t="str">
        <f t="shared" si="105"/>
        <v>Microphytoplankton</v>
      </c>
      <c r="AR729" s="22">
        <v>0</v>
      </c>
      <c r="AS729" s="22">
        <v>0</v>
      </c>
      <c r="AT729" s="22">
        <v>0</v>
      </c>
      <c r="AU729" s="22">
        <v>1</v>
      </c>
      <c r="AV729" s="22">
        <v>0</v>
      </c>
      <c r="AW729" s="22">
        <v>0</v>
      </c>
      <c r="AX729" s="22">
        <v>1</v>
      </c>
      <c r="AY729" s="22">
        <v>0</v>
      </c>
    </row>
    <row r="730" spans="1:57">
      <c r="A730" s="21" t="s">
        <v>2207</v>
      </c>
      <c r="B730" s="22" t="s">
        <v>663</v>
      </c>
      <c r="C730" s="23" t="s">
        <v>822</v>
      </c>
      <c r="D730" s="23" t="s">
        <v>965</v>
      </c>
      <c r="E730" s="22" t="s">
        <v>62</v>
      </c>
      <c r="F730" s="23" t="s">
        <v>1499</v>
      </c>
      <c r="G730" s="23" t="s">
        <v>2201</v>
      </c>
      <c r="H730" s="23" t="s">
        <v>2202</v>
      </c>
      <c r="I730" s="22" t="s">
        <v>2203</v>
      </c>
      <c r="J730" s="22" t="s">
        <v>2208</v>
      </c>
      <c r="N730" s="22" t="s">
        <v>2209</v>
      </c>
      <c r="O730" s="22" t="s">
        <v>1430</v>
      </c>
      <c r="P730" s="21">
        <v>72220</v>
      </c>
      <c r="Q730" s="21">
        <v>30</v>
      </c>
      <c r="R730" s="21">
        <v>10</v>
      </c>
      <c r="S730" s="21">
        <v>4</v>
      </c>
      <c r="T730" s="22" t="s">
        <v>330</v>
      </c>
      <c r="U730" s="21">
        <v>1</v>
      </c>
      <c r="V730" s="22">
        <v>1</v>
      </c>
      <c r="W730" s="25">
        <f t="shared" si="106"/>
        <v>920</v>
      </c>
      <c r="X730" s="25">
        <f t="shared" si="107"/>
        <v>1200</v>
      </c>
      <c r="Y730" s="21">
        <v>1</v>
      </c>
      <c r="Z730" s="24">
        <f t="shared" si="103"/>
        <v>920</v>
      </c>
      <c r="AA730" s="24">
        <f t="shared" si="104"/>
        <v>1200</v>
      </c>
      <c r="AB730" s="21"/>
      <c r="AC730" s="21"/>
      <c r="AD730" s="21"/>
      <c r="AE730" s="21"/>
      <c r="AF730" s="21" t="s">
        <v>247</v>
      </c>
      <c r="AG730" s="21"/>
      <c r="AH730" s="24"/>
      <c r="AI730" s="24"/>
      <c r="AJ730" s="21">
        <v>1200</v>
      </c>
      <c r="AK730" s="21">
        <v>30</v>
      </c>
      <c r="AL730" s="22" t="s">
        <v>161</v>
      </c>
      <c r="AM730" s="22">
        <v>0.11</v>
      </c>
      <c r="AN730" s="22" t="s">
        <v>2206</v>
      </c>
      <c r="AO730" s="22" t="s">
        <v>2206</v>
      </c>
      <c r="AP730" s="22" t="s">
        <v>1432</v>
      </c>
      <c r="AQ730" s="22" t="str">
        <f t="shared" si="105"/>
        <v>Microphytoplankton</v>
      </c>
      <c r="AR730" s="22">
        <v>0</v>
      </c>
      <c r="AS730" s="22">
        <v>0</v>
      </c>
      <c r="AT730" s="22">
        <v>0</v>
      </c>
      <c r="AU730" s="22">
        <v>1</v>
      </c>
      <c r="AV730" s="22">
        <v>0</v>
      </c>
      <c r="AW730" s="22">
        <v>0</v>
      </c>
      <c r="AX730" s="22">
        <v>1</v>
      </c>
      <c r="AY730" s="22">
        <v>0</v>
      </c>
      <c r="AZ730" s="22">
        <v>0</v>
      </c>
      <c r="BA730" s="22">
        <v>2</v>
      </c>
      <c r="BB730" s="22">
        <v>7</v>
      </c>
      <c r="BC730" s="22">
        <v>1</v>
      </c>
      <c r="BD730" s="22">
        <v>0</v>
      </c>
      <c r="BE730" s="22">
        <v>0</v>
      </c>
    </row>
    <row r="731" spans="1:57">
      <c r="A731" s="22" t="s">
        <v>2210</v>
      </c>
      <c r="B731" s="22" t="s">
        <v>663</v>
      </c>
      <c r="C731" s="23" t="s">
        <v>822</v>
      </c>
      <c r="D731" s="23" t="s">
        <v>965</v>
      </c>
      <c r="E731" s="22" t="s">
        <v>62</v>
      </c>
      <c r="F731" s="23" t="s">
        <v>2112</v>
      </c>
      <c r="G731" s="23" t="s">
        <v>1553</v>
      </c>
      <c r="H731" s="23" t="s">
        <v>2211</v>
      </c>
      <c r="I731" s="23" t="s">
        <v>2212</v>
      </c>
      <c r="J731" s="22" t="s">
        <v>2213</v>
      </c>
      <c r="N731" s="22" t="s">
        <v>2214</v>
      </c>
      <c r="O731" s="22" t="s">
        <v>1430</v>
      </c>
      <c r="P731" s="21">
        <v>70380</v>
      </c>
      <c r="Q731" s="22">
        <v>6</v>
      </c>
      <c r="R731" s="22">
        <v>6</v>
      </c>
      <c r="S731" s="22">
        <v>1.5</v>
      </c>
      <c r="T731" s="21" t="s">
        <v>160</v>
      </c>
      <c r="U731" s="22">
        <v>1</v>
      </c>
      <c r="V731" s="22">
        <v>1</v>
      </c>
      <c r="W731" s="24">
        <f>3.14*R731*Q731+2*3.14*(S731/2)^2/V731</f>
        <v>116.57249999999999</v>
      </c>
      <c r="X731" s="25">
        <f>(3.14/4*R731^2*Q731)*U731</f>
        <v>169.56</v>
      </c>
      <c r="Y731" s="21">
        <v>1</v>
      </c>
      <c r="Z731" s="24">
        <f t="shared" si="103"/>
        <v>116.57249999999999</v>
      </c>
      <c r="AA731" s="24">
        <f t="shared" si="104"/>
        <v>169.56</v>
      </c>
      <c r="AE731" s="21"/>
      <c r="AF731" s="21" t="s">
        <v>247</v>
      </c>
      <c r="AJ731" s="21">
        <v>36</v>
      </c>
      <c r="AK731" s="21">
        <v>6</v>
      </c>
      <c r="AL731" s="22" t="s">
        <v>161</v>
      </c>
      <c r="AM731" s="22">
        <v>0.11</v>
      </c>
      <c r="AO731" s="22" t="s">
        <v>1431</v>
      </c>
      <c r="AP731" s="22" t="s">
        <v>1432</v>
      </c>
      <c r="AQ731" s="22" t="str">
        <f t="shared" si="105"/>
        <v>Nanophytoplankton</v>
      </c>
      <c r="AR731" s="22">
        <v>0</v>
      </c>
      <c r="AS731" s="22">
        <v>0</v>
      </c>
      <c r="AT731" s="22">
        <v>0</v>
      </c>
      <c r="AU731" s="22">
        <v>0</v>
      </c>
      <c r="AV731" s="22">
        <v>0</v>
      </c>
      <c r="AW731" s="22">
        <v>0</v>
      </c>
      <c r="AX731" s="22">
        <v>1</v>
      </c>
      <c r="AY731" s="22">
        <v>0</v>
      </c>
    </row>
    <row r="732" spans="1:57">
      <c r="A732" s="22" t="s">
        <v>2215</v>
      </c>
      <c r="B732" s="22" t="s">
        <v>663</v>
      </c>
      <c r="C732" s="23" t="s">
        <v>822</v>
      </c>
      <c r="D732" s="23" t="s">
        <v>965</v>
      </c>
      <c r="E732" s="22" t="s">
        <v>62</v>
      </c>
      <c r="F732" s="23" t="s">
        <v>1499</v>
      </c>
      <c r="G732" s="23" t="s">
        <v>1500</v>
      </c>
      <c r="H732" s="23" t="s">
        <v>1501</v>
      </c>
      <c r="I732" s="23" t="s">
        <v>2216</v>
      </c>
      <c r="J732" s="22" t="s">
        <v>1868</v>
      </c>
      <c r="N732" s="37" t="s">
        <v>2217</v>
      </c>
      <c r="O732" s="22" t="s">
        <v>1430</v>
      </c>
      <c r="P732" s="22">
        <v>70990</v>
      </c>
      <c r="Q732" s="21">
        <v>180</v>
      </c>
      <c r="R732" s="21">
        <v>8</v>
      </c>
      <c r="S732" s="21">
        <v>5</v>
      </c>
      <c r="T732" s="22" t="s">
        <v>330</v>
      </c>
      <c r="U732" s="21">
        <v>0.7</v>
      </c>
      <c r="V732" s="21">
        <v>0.7</v>
      </c>
      <c r="W732" s="25">
        <f>(Q732*R732*2+Q732*S732*2+R732*S732*2)/V732</f>
        <v>6800</v>
      </c>
      <c r="X732" s="25">
        <f>Q732*R732*S732*U732</f>
        <v>5040</v>
      </c>
      <c r="Y732" s="21">
        <v>1</v>
      </c>
      <c r="Z732" s="24">
        <f t="shared" si="103"/>
        <v>6800</v>
      </c>
      <c r="AA732" s="24">
        <f t="shared" si="104"/>
        <v>5040</v>
      </c>
      <c r="AB732" s="21"/>
      <c r="AC732" s="21"/>
      <c r="AD732" s="21"/>
      <c r="AE732" s="21"/>
      <c r="AF732" s="21" t="s">
        <v>247</v>
      </c>
      <c r="AG732" s="21"/>
      <c r="AH732" s="24"/>
      <c r="AI732" s="24"/>
      <c r="AJ732" s="21">
        <v>5040</v>
      </c>
      <c r="AK732" s="21">
        <v>180</v>
      </c>
      <c r="AL732" s="22" t="s">
        <v>161</v>
      </c>
      <c r="AM732" s="22">
        <v>0.11</v>
      </c>
      <c r="AO732" s="22" t="s">
        <v>383</v>
      </c>
      <c r="AP732" s="22" t="s">
        <v>1432</v>
      </c>
      <c r="AQ732" s="22" t="str">
        <f t="shared" si="105"/>
        <v>Microphytoplankton</v>
      </c>
      <c r="AR732" s="22">
        <v>0</v>
      </c>
      <c r="AS732" s="22">
        <v>0</v>
      </c>
      <c r="AT732" s="22">
        <v>0</v>
      </c>
      <c r="AU732" s="22">
        <v>1</v>
      </c>
      <c r="AV732" s="22">
        <v>0</v>
      </c>
      <c r="AW732" s="22">
        <v>0</v>
      </c>
      <c r="AX732" s="22">
        <v>1</v>
      </c>
      <c r="AY732" s="22">
        <v>0</v>
      </c>
    </row>
    <row r="733" spans="1:57">
      <c r="A733" s="22" t="s">
        <v>2218</v>
      </c>
      <c r="B733" s="22" t="s">
        <v>663</v>
      </c>
      <c r="C733" s="23" t="s">
        <v>822</v>
      </c>
      <c r="D733" s="23" t="s">
        <v>965</v>
      </c>
      <c r="E733" s="22" t="s">
        <v>62</v>
      </c>
      <c r="F733" s="23" t="s">
        <v>1499</v>
      </c>
      <c r="G733" s="23" t="s">
        <v>1500</v>
      </c>
      <c r="H733" s="23" t="s">
        <v>1501</v>
      </c>
      <c r="I733" s="23" t="s">
        <v>2216</v>
      </c>
      <c r="J733" s="22" t="s">
        <v>872</v>
      </c>
      <c r="N733" s="22" t="s">
        <v>2219</v>
      </c>
      <c r="O733" s="22" t="s">
        <v>1430</v>
      </c>
      <c r="P733" s="22">
        <v>70991</v>
      </c>
      <c r="Q733" s="21">
        <v>35</v>
      </c>
      <c r="R733" s="21">
        <v>4</v>
      </c>
      <c r="S733" s="21">
        <v>4</v>
      </c>
      <c r="T733" s="22" t="s">
        <v>330</v>
      </c>
      <c r="U733" s="21">
        <v>1</v>
      </c>
      <c r="V733" s="22">
        <v>1</v>
      </c>
      <c r="W733" s="25">
        <f>(Q733*R733*2+Q733*S733*2+R733*S733*2)/V733</f>
        <v>592</v>
      </c>
      <c r="X733" s="25">
        <f>Q733*R733*S733*U733</f>
        <v>560</v>
      </c>
      <c r="Y733" s="21">
        <v>1</v>
      </c>
      <c r="Z733" s="24">
        <f t="shared" si="103"/>
        <v>592</v>
      </c>
      <c r="AA733" s="24">
        <f t="shared" si="104"/>
        <v>560</v>
      </c>
      <c r="AB733" s="21"/>
      <c r="AC733" s="21"/>
      <c r="AD733" s="21"/>
      <c r="AE733" s="21"/>
      <c r="AF733" s="21" t="s">
        <v>247</v>
      </c>
      <c r="AG733" s="21"/>
      <c r="AH733" s="24"/>
      <c r="AI733" s="24"/>
      <c r="AJ733" s="21">
        <v>560</v>
      </c>
      <c r="AK733" s="21">
        <v>35</v>
      </c>
      <c r="AL733" s="22" t="s">
        <v>161</v>
      </c>
      <c r="AM733" s="22">
        <v>0.11</v>
      </c>
      <c r="AN733" s="22" t="s">
        <v>1762</v>
      </c>
      <c r="AO733" s="22" t="s">
        <v>1762</v>
      </c>
      <c r="AP733" s="22" t="s">
        <v>1432</v>
      </c>
      <c r="AQ733" s="22" t="str">
        <f t="shared" si="105"/>
        <v>Microphytoplankton</v>
      </c>
      <c r="AR733" s="22">
        <v>0</v>
      </c>
      <c r="AS733" s="22">
        <v>0</v>
      </c>
      <c r="AT733" s="22">
        <v>0</v>
      </c>
      <c r="AU733" s="22">
        <v>0</v>
      </c>
      <c r="AV733" s="22">
        <v>0</v>
      </c>
      <c r="AW733" s="22">
        <v>0</v>
      </c>
      <c r="AX733" s="22">
        <v>1</v>
      </c>
      <c r="AY733" s="22">
        <v>0</v>
      </c>
    </row>
    <row r="734" spans="1:57">
      <c r="A734" s="22" t="s">
        <v>2220</v>
      </c>
      <c r="B734" s="22" t="s">
        <v>663</v>
      </c>
      <c r="C734" s="23" t="s">
        <v>822</v>
      </c>
      <c r="D734" s="23" t="s">
        <v>965</v>
      </c>
      <c r="E734" s="22" t="s">
        <v>62</v>
      </c>
      <c r="F734" s="23" t="s">
        <v>1499</v>
      </c>
      <c r="G734" s="23" t="s">
        <v>1500</v>
      </c>
      <c r="H734" s="23" t="s">
        <v>1501</v>
      </c>
      <c r="I734" s="23" t="s">
        <v>2216</v>
      </c>
      <c r="J734" s="22" t="s">
        <v>238</v>
      </c>
      <c r="K734" s="22" t="s">
        <v>175</v>
      </c>
      <c r="L734" s="22" t="s">
        <v>1519</v>
      </c>
      <c r="N734" s="22" t="s">
        <v>2221</v>
      </c>
      <c r="O734" s="22" t="s">
        <v>1430</v>
      </c>
      <c r="P734" s="22">
        <v>70992</v>
      </c>
      <c r="Q734" s="21">
        <v>200</v>
      </c>
      <c r="R734" s="21">
        <v>5</v>
      </c>
      <c r="S734" s="21">
        <v>4</v>
      </c>
      <c r="T734" s="22" t="s">
        <v>330</v>
      </c>
      <c r="U734" s="21">
        <v>0.6</v>
      </c>
      <c r="V734" s="21">
        <v>0.6</v>
      </c>
      <c r="W734" s="25">
        <f>(Q734*R734*2+Q734*S734*2+R734*S734*2)/V734</f>
        <v>6066.666666666667</v>
      </c>
      <c r="X734" s="25">
        <f>Q734*R734*S734*U734</f>
        <v>2400</v>
      </c>
      <c r="Y734" s="21">
        <v>1</v>
      </c>
      <c r="Z734" s="24">
        <f t="shared" si="103"/>
        <v>6066.666666666667</v>
      </c>
      <c r="AA734" s="24">
        <f t="shared" si="104"/>
        <v>2400</v>
      </c>
      <c r="AB734" s="21"/>
      <c r="AC734" s="21"/>
      <c r="AD734" s="21"/>
      <c r="AE734" s="21"/>
      <c r="AF734" s="21" t="s">
        <v>247</v>
      </c>
      <c r="AG734" s="21"/>
      <c r="AH734" s="24"/>
      <c r="AI734" s="24"/>
      <c r="AJ734" s="21">
        <v>2400</v>
      </c>
      <c r="AK734" s="21">
        <v>200</v>
      </c>
      <c r="AL734" s="22" t="s">
        <v>161</v>
      </c>
      <c r="AM734" s="22">
        <v>0.11</v>
      </c>
      <c r="AO734" s="22" t="s">
        <v>1762</v>
      </c>
      <c r="AP734" s="22" t="s">
        <v>1432</v>
      </c>
      <c r="AQ734" s="22" t="str">
        <f t="shared" si="105"/>
        <v>Microphytoplankton</v>
      </c>
      <c r="AR734" s="22">
        <v>0</v>
      </c>
      <c r="AS734" s="22">
        <v>0</v>
      </c>
      <c r="AT734" s="22">
        <v>0</v>
      </c>
      <c r="AU734" s="22">
        <v>0</v>
      </c>
      <c r="AV734" s="22">
        <v>0</v>
      </c>
      <c r="AW734" s="22">
        <v>0</v>
      </c>
      <c r="AX734" s="22">
        <v>1</v>
      </c>
      <c r="AY734" s="22">
        <v>0</v>
      </c>
      <c r="AZ734" s="22">
        <v>0</v>
      </c>
      <c r="BA734" s="22">
        <v>3</v>
      </c>
      <c r="BB734" s="22">
        <v>4</v>
      </c>
      <c r="BC734" s="22">
        <v>2</v>
      </c>
      <c r="BD734" s="22">
        <v>1</v>
      </c>
      <c r="BE734" s="22">
        <v>0</v>
      </c>
    </row>
    <row r="735" spans="1:57">
      <c r="A735" s="22" t="s">
        <v>2222</v>
      </c>
      <c r="B735" s="22" t="s">
        <v>663</v>
      </c>
      <c r="C735" s="22" t="s">
        <v>2223</v>
      </c>
      <c r="D735" s="22" t="s">
        <v>2224</v>
      </c>
      <c r="E735" s="23" t="s">
        <v>63</v>
      </c>
      <c r="F735" s="23" t="s">
        <v>2225</v>
      </c>
      <c r="G735" s="23" t="s">
        <v>2226</v>
      </c>
      <c r="H735" s="23" t="s">
        <v>2227</v>
      </c>
      <c r="I735" s="23" t="s">
        <v>2228</v>
      </c>
      <c r="J735" s="22" t="s">
        <v>211</v>
      </c>
      <c r="M735" s="22" t="s">
        <v>1</v>
      </c>
      <c r="N735" s="22" t="s">
        <v>167</v>
      </c>
      <c r="O735" s="22" t="s">
        <v>2229</v>
      </c>
      <c r="P735" s="22">
        <v>89811</v>
      </c>
      <c r="Q735" s="22">
        <v>11.5</v>
      </c>
      <c r="R735" s="22">
        <v>11.5</v>
      </c>
      <c r="S735" s="22">
        <v>11.5</v>
      </c>
      <c r="T735" s="22" t="s">
        <v>246</v>
      </c>
      <c r="U735" s="21">
        <v>1</v>
      </c>
      <c r="V735" s="22">
        <v>1</v>
      </c>
      <c r="W735" s="25">
        <f>4*3.14*(R735/2)*(Q735/2)/V735</f>
        <v>415.26499999999999</v>
      </c>
      <c r="X735" s="25">
        <f>(3.14/6*(Q735*S735*R735))*U735</f>
        <v>795.92458333333332</v>
      </c>
      <c r="Y735" s="22">
        <v>1</v>
      </c>
      <c r="Z735" s="24">
        <f t="shared" si="103"/>
        <v>415.26499999999999</v>
      </c>
      <c r="AA735" s="24">
        <f t="shared" si="104"/>
        <v>795.92458333333332</v>
      </c>
      <c r="AF735" s="21" t="s">
        <v>247</v>
      </c>
      <c r="AJ735" s="21">
        <v>795.92458333333332</v>
      </c>
      <c r="AK735" s="21">
        <v>11.5</v>
      </c>
      <c r="AL735" s="22" t="s">
        <v>161</v>
      </c>
      <c r="AM735" s="22">
        <v>0.16</v>
      </c>
      <c r="AO735" s="22" t="s">
        <v>1431</v>
      </c>
      <c r="AQ735" s="22" t="str">
        <f t="shared" si="105"/>
        <v>Nanophytoplankton</v>
      </c>
      <c r="AR735" s="22">
        <v>0</v>
      </c>
      <c r="AS735" s="22">
        <v>0</v>
      </c>
      <c r="AT735" s="22">
        <v>0</v>
      </c>
      <c r="AU735" s="22">
        <v>0</v>
      </c>
      <c r="AV735" s="22">
        <v>0</v>
      </c>
      <c r="AW735" s="22">
        <v>0</v>
      </c>
      <c r="AX735" s="22">
        <v>0</v>
      </c>
      <c r="AY735" s="22">
        <v>1</v>
      </c>
    </row>
    <row r="736" spans="1:57">
      <c r="A736" s="22" t="s">
        <v>2230</v>
      </c>
      <c r="B736" s="22" t="s">
        <v>663</v>
      </c>
      <c r="C736" s="22" t="s">
        <v>2223</v>
      </c>
      <c r="D736" s="22" t="s">
        <v>2224</v>
      </c>
      <c r="E736" s="23" t="s">
        <v>63</v>
      </c>
      <c r="F736" s="23" t="s">
        <v>2225</v>
      </c>
      <c r="G736" s="23" t="s">
        <v>2226</v>
      </c>
      <c r="H736" s="38" t="s">
        <v>2231</v>
      </c>
      <c r="I736" s="22" t="s">
        <v>2232</v>
      </c>
      <c r="J736" s="22" t="s">
        <v>2233</v>
      </c>
      <c r="N736" s="22" t="s">
        <v>2190</v>
      </c>
      <c r="O736" s="22" t="s">
        <v>2229</v>
      </c>
      <c r="P736" s="22">
        <v>82611</v>
      </c>
      <c r="Q736" s="22">
        <v>22.5</v>
      </c>
      <c r="R736" s="22">
        <v>3</v>
      </c>
      <c r="S736" s="22">
        <v>3</v>
      </c>
      <c r="T736" s="22" t="s">
        <v>281</v>
      </c>
      <c r="U736" s="22">
        <v>1</v>
      </c>
      <c r="V736" s="22">
        <v>1</v>
      </c>
      <c r="W736" s="24">
        <f t="shared" ref="W736:W780" si="108">(4*3.14*(((Q736^1.6*R736^1.6+Q736^1.6*S736^1.6+R736^1.6+S736^1.6)/3)^(1/1.6)))*(1/V736)</f>
        <v>660.8346982135165</v>
      </c>
      <c r="X736" s="24">
        <f>3.14/6*Q736*R736*S736*U736</f>
        <v>105.97500000000001</v>
      </c>
      <c r="Y736" s="22">
        <v>6</v>
      </c>
      <c r="Z736" s="24">
        <f t="shared" si="103"/>
        <v>3965.008189281099</v>
      </c>
      <c r="AA736" s="24">
        <f t="shared" si="104"/>
        <v>635.85</v>
      </c>
      <c r="AF736" s="21" t="s">
        <v>247</v>
      </c>
      <c r="AJ736" s="21">
        <v>635.84999999999991</v>
      </c>
      <c r="AK736" s="21">
        <v>45</v>
      </c>
      <c r="AL736" s="22" t="s">
        <v>161</v>
      </c>
      <c r="AM736" s="22">
        <v>0.16</v>
      </c>
      <c r="AO736" s="22" t="s">
        <v>1364</v>
      </c>
      <c r="AP736" s="22" t="s">
        <v>162</v>
      </c>
      <c r="AQ736" s="22" t="str">
        <f t="shared" si="105"/>
        <v>Microphytoplankton</v>
      </c>
      <c r="AR736" s="22">
        <v>0</v>
      </c>
      <c r="AS736" s="22">
        <v>0</v>
      </c>
      <c r="AT736" s="22">
        <v>0</v>
      </c>
      <c r="AU736" s="22">
        <v>1</v>
      </c>
      <c r="AV736" s="22">
        <v>0</v>
      </c>
      <c r="AW736" s="22">
        <v>0</v>
      </c>
      <c r="AX736" s="22">
        <v>0</v>
      </c>
      <c r="AY736" s="22">
        <v>1</v>
      </c>
    </row>
    <row r="737" spans="1:57">
      <c r="A737" s="21" t="s">
        <v>2234</v>
      </c>
      <c r="B737" s="22" t="s">
        <v>663</v>
      </c>
      <c r="C737" s="22" t="s">
        <v>2223</v>
      </c>
      <c r="D737" s="22" t="s">
        <v>2224</v>
      </c>
      <c r="E737" s="23" t="s">
        <v>63</v>
      </c>
      <c r="F737" s="23" t="s">
        <v>2225</v>
      </c>
      <c r="G737" s="23" t="s">
        <v>2226</v>
      </c>
      <c r="H737" s="38" t="s">
        <v>2231</v>
      </c>
      <c r="I737" s="22" t="s">
        <v>2232</v>
      </c>
      <c r="J737" s="22" t="s">
        <v>2171</v>
      </c>
      <c r="N737" s="22" t="s">
        <v>2235</v>
      </c>
      <c r="O737" s="22" t="s">
        <v>2229</v>
      </c>
      <c r="P737" s="21">
        <v>82610</v>
      </c>
      <c r="Q737" s="21">
        <v>42</v>
      </c>
      <c r="R737" s="21">
        <v>5</v>
      </c>
      <c r="S737" s="21">
        <v>5</v>
      </c>
      <c r="T737" s="21" t="s">
        <v>281</v>
      </c>
      <c r="U737" s="22">
        <v>1</v>
      </c>
      <c r="V737" s="22">
        <v>1</v>
      </c>
      <c r="W737" s="24">
        <f t="shared" si="108"/>
        <v>2050.3936800913061</v>
      </c>
      <c r="X737" s="24">
        <f>3.14/6*Q737*R737*S737*U737</f>
        <v>549.5</v>
      </c>
      <c r="Y737" s="21">
        <v>8</v>
      </c>
      <c r="Z737" s="24">
        <f t="shared" si="103"/>
        <v>16403.149440730449</v>
      </c>
      <c r="AA737" s="24">
        <f t="shared" si="104"/>
        <v>4396</v>
      </c>
      <c r="AB737" s="21"/>
      <c r="AC737" s="21"/>
      <c r="AD737" s="21"/>
      <c r="AE737" s="21"/>
      <c r="AF737" s="21" t="s">
        <v>247</v>
      </c>
      <c r="AG737" s="21"/>
      <c r="AH737" s="24"/>
      <c r="AI737" s="24"/>
      <c r="AJ737" s="21">
        <v>4398.2</v>
      </c>
      <c r="AK737" s="21">
        <v>90</v>
      </c>
      <c r="AL737" s="22" t="s">
        <v>161</v>
      </c>
      <c r="AM737" s="22">
        <v>0.16</v>
      </c>
      <c r="AO737" s="22" t="s">
        <v>1364</v>
      </c>
      <c r="AP737" s="22" t="s">
        <v>162</v>
      </c>
      <c r="AQ737" s="22" t="str">
        <f t="shared" si="105"/>
        <v>Microphytoplankton</v>
      </c>
      <c r="AR737" s="22">
        <v>0</v>
      </c>
      <c r="AS737" s="22">
        <v>0</v>
      </c>
      <c r="AT737" s="22">
        <v>0</v>
      </c>
      <c r="AU737" s="22">
        <v>1</v>
      </c>
      <c r="AV737" s="22">
        <v>0</v>
      </c>
      <c r="AW737" s="22">
        <v>0</v>
      </c>
      <c r="AX737" s="22">
        <v>0</v>
      </c>
      <c r="AY737" s="22">
        <v>1</v>
      </c>
    </row>
    <row r="738" spans="1:57">
      <c r="A738" s="21" t="s">
        <v>2236</v>
      </c>
      <c r="B738" s="22" t="s">
        <v>663</v>
      </c>
      <c r="C738" s="22" t="s">
        <v>2223</v>
      </c>
      <c r="D738" s="22" t="s">
        <v>2224</v>
      </c>
      <c r="E738" s="23" t="s">
        <v>63</v>
      </c>
      <c r="F738" s="23" t="s">
        <v>2225</v>
      </c>
      <c r="G738" s="23" t="s">
        <v>2226</v>
      </c>
      <c r="H738" s="38" t="s">
        <v>2231</v>
      </c>
      <c r="I738" s="22" t="s">
        <v>2232</v>
      </c>
      <c r="J738" s="22" t="s">
        <v>2237</v>
      </c>
      <c r="N738" s="22" t="s">
        <v>494</v>
      </c>
      <c r="O738" s="22" t="s">
        <v>2229</v>
      </c>
      <c r="P738" s="21">
        <v>82612</v>
      </c>
      <c r="Q738" s="21">
        <v>22</v>
      </c>
      <c r="R738" s="21">
        <v>3</v>
      </c>
      <c r="S738" s="21">
        <v>3</v>
      </c>
      <c r="T738" s="21" t="s">
        <v>977</v>
      </c>
      <c r="U738" s="22">
        <v>1</v>
      </c>
      <c r="V738" s="22">
        <v>1</v>
      </c>
      <c r="W738" s="24">
        <f t="shared" si="108"/>
        <v>646.25025468971432</v>
      </c>
      <c r="X738" s="24">
        <f>3.14/12*Q738*R738*S738*U738</f>
        <v>51.81</v>
      </c>
      <c r="Y738" s="21">
        <v>8</v>
      </c>
      <c r="Z738" s="24">
        <f t="shared" si="103"/>
        <v>5170.0020375177146</v>
      </c>
      <c r="AA738" s="24">
        <f t="shared" si="104"/>
        <v>414.48</v>
      </c>
      <c r="AB738" s="21"/>
      <c r="AC738" s="21"/>
      <c r="AD738" s="21"/>
      <c r="AE738" s="21"/>
      <c r="AF738" s="21" t="s">
        <v>247</v>
      </c>
      <c r="AG738" s="21"/>
      <c r="AH738" s="24"/>
      <c r="AI738" s="24"/>
      <c r="AJ738" s="21">
        <v>414.4799999999999</v>
      </c>
      <c r="AK738" s="21">
        <v>22</v>
      </c>
      <c r="AL738" s="22" t="s">
        <v>161</v>
      </c>
      <c r="AM738" s="22">
        <v>0.16</v>
      </c>
      <c r="AO738" s="22" t="s">
        <v>1364</v>
      </c>
      <c r="AP738" s="22" t="s">
        <v>162</v>
      </c>
      <c r="AQ738" s="22" t="str">
        <f t="shared" si="105"/>
        <v>Microphytoplankton</v>
      </c>
      <c r="AR738" s="22">
        <v>0</v>
      </c>
      <c r="AS738" s="22">
        <v>0</v>
      </c>
      <c r="AT738" s="22">
        <v>0</v>
      </c>
      <c r="AU738" s="22">
        <v>1</v>
      </c>
      <c r="AV738" s="22">
        <v>0</v>
      </c>
      <c r="AW738" s="22">
        <v>0</v>
      </c>
      <c r="AX738" s="22">
        <v>0</v>
      </c>
      <c r="AY738" s="22">
        <v>1</v>
      </c>
    </row>
    <row r="739" spans="1:57">
      <c r="A739" s="22" t="s">
        <v>2238</v>
      </c>
      <c r="B739" s="22" t="s">
        <v>663</v>
      </c>
      <c r="C739" s="22" t="s">
        <v>2223</v>
      </c>
      <c r="D739" s="22" t="s">
        <v>2224</v>
      </c>
      <c r="E739" s="23" t="s">
        <v>63</v>
      </c>
      <c r="F739" s="23" t="s">
        <v>2225</v>
      </c>
      <c r="G739" s="23" t="s">
        <v>2226</v>
      </c>
      <c r="H739" s="23" t="s">
        <v>2239</v>
      </c>
      <c r="I739" s="23" t="s">
        <v>2240</v>
      </c>
      <c r="J739" s="22" t="s">
        <v>2241</v>
      </c>
      <c r="N739" s="22" t="s">
        <v>2242</v>
      </c>
      <c r="O739" s="22" t="s">
        <v>2229</v>
      </c>
      <c r="P739" s="22">
        <v>85522</v>
      </c>
      <c r="Q739" s="22">
        <v>5.5</v>
      </c>
      <c r="R739" s="22">
        <v>3.5</v>
      </c>
      <c r="S739" s="22">
        <v>3.5</v>
      </c>
      <c r="T739" s="22" t="s">
        <v>281</v>
      </c>
      <c r="U739" s="21">
        <v>1</v>
      </c>
      <c r="V739" s="22">
        <v>1</v>
      </c>
      <c r="W739" s="24">
        <f t="shared" si="108"/>
        <v>195.23276559014667</v>
      </c>
      <c r="X739" s="24">
        <f t="shared" ref="X739:X762" si="109">3.14/6*Q739*R739*S739*U739</f>
        <v>35.259583333333332</v>
      </c>
      <c r="Y739" s="22">
        <v>1</v>
      </c>
      <c r="Z739" s="24">
        <f t="shared" si="103"/>
        <v>195.23276559014667</v>
      </c>
      <c r="AA739" s="24">
        <f t="shared" si="104"/>
        <v>35.259583333333332</v>
      </c>
      <c r="AF739" s="21" t="s">
        <v>247</v>
      </c>
      <c r="AJ739" s="21">
        <v>35.259583333333332</v>
      </c>
      <c r="AK739" s="21">
        <v>5.5</v>
      </c>
      <c r="AL739" s="22" t="s">
        <v>161</v>
      </c>
      <c r="AM739" s="22">
        <v>0.16</v>
      </c>
      <c r="AP739" s="22" t="s">
        <v>626</v>
      </c>
      <c r="AQ739" s="22" t="str">
        <f t="shared" si="105"/>
        <v>Nanophytoplankton</v>
      </c>
      <c r="AR739" s="22">
        <v>0</v>
      </c>
      <c r="AS739" s="22">
        <v>0</v>
      </c>
      <c r="AT739" s="22">
        <v>0</v>
      </c>
      <c r="AU739" s="22">
        <v>0</v>
      </c>
      <c r="AV739" s="22">
        <v>0</v>
      </c>
      <c r="AW739" s="22">
        <v>0</v>
      </c>
      <c r="AX739" s="22">
        <v>0</v>
      </c>
      <c r="AY739" s="22">
        <v>1</v>
      </c>
    </row>
    <row r="740" spans="1:57">
      <c r="A740" s="22" t="s">
        <v>2243</v>
      </c>
      <c r="B740" s="22" t="s">
        <v>663</v>
      </c>
      <c r="C740" s="22" t="s">
        <v>2223</v>
      </c>
      <c r="D740" s="22" t="s">
        <v>2224</v>
      </c>
      <c r="E740" s="23" t="s">
        <v>63</v>
      </c>
      <c r="F740" s="23" t="s">
        <v>2225</v>
      </c>
      <c r="G740" s="23" t="s">
        <v>2226</v>
      </c>
      <c r="H740" s="23" t="s">
        <v>2239</v>
      </c>
      <c r="I740" s="23" t="s">
        <v>2240</v>
      </c>
      <c r="J740" s="22" t="s">
        <v>211</v>
      </c>
      <c r="M740" s="22" t="s">
        <v>1</v>
      </c>
      <c r="N740" s="22" t="s">
        <v>2242</v>
      </c>
      <c r="O740" s="22" t="s">
        <v>2229</v>
      </c>
      <c r="P740" s="22">
        <v>85523</v>
      </c>
      <c r="Q740" s="22">
        <v>6</v>
      </c>
      <c r="R740" s="22">
        <v>4</v>
      </c>
      <c r="S740" s="22">
        <v>4</v>
      </c>
      <c r="T740" s="22" t="s">
        <v>281</v>
      </c>
      <c r="U740" s="21">
        <v>1</v>
      </c>
      <c r="V740" s="22">
        <v>1</v>
      </c>
      <c r="W740" s="24">
        <f t="shared" si="108"/>
        <v>242.19202616254199</v>
      </c>
      <c r="X740" s="24">
        <f t="shared" si="109"/>
        <v>50.239999999999995</v>
      </c>
      <c r="Y740" s="22">
        <v>1</v>
      </c>
      <c r="Z740" s="24">
        <f t="shared" si="103"/>
        <v>242.19202616254199</v>
      </c>
      <c r="AA740" s="24">
        <f t="shared" si="104"/>
        <v>50.239999999999995</v>
      </c>
      <c r="AF740" s="21" t="s">
        <v>247</v>
      </c>
      <c r="AJ740" s="21">
        <v>50.239999999999995</v>
      </c>
      <c r="AK740" s="21">
        <v>6</v>
      </c>
      <c r="AL740" s="22" t="s">
        <v>161</v>
      </c>
      <c r="AM740" s="22">
        <v>0.16</v>
      </c>
      <c r="AP740" s="22" t="s">
        <v>626</v>
      </c>
      <c r="AQ740" s="22" t="str">
        <f t="shared" si="105"/>
        <v>Nanophytoplankton</v>
      </c>
      <c r="AR740" s="22">
        <v>0</v>
      </c>
      <c r="AS740" s="22">
        <v>0</v>
      </c>
      <c r="AT740" s="22">
        <v>0</v>
      </c>
      <c r="AU740" s="22">
        <v>0</v>
      </c>
      <c r="AV740" s="22">
        <v>0</v>
      </c>
      <c r="AW740" s="22">
        <v>0</v>
      </c>
      <c r="AX740" s="22">
        <v>0</v>
      </c>
      <c r="AY740" s="22">
        <v>1</v>
      </c>
    </row>
    <row r="741" spans="1:57">
      <c r="A741" s="22" t="s">
        <v>2244</v>
      </c>
      <c r="B741" s="22" t="s">
        <v>663</v>
      </c>
      <c r="C741" s="22" t="s">
        <v>2223</v>
      </c>
      <c r="D741" s="22" t="s">
        <v>2224</v>
      </c>
      <c r="E741" s="23" t="s">
        <v>63</v>
      </c>
      <c r="F741" s="23" t="s">
        <v>2225</v>
      </c>
      <c r="G741" s="23" t="s">
        <v>2226</v>
      </c>
      <c r="H741" s="23" t="s">
        <v>2239</v>
      </c>
      <c r="I741" s="23" t="s">
        <v>2245</v>
      </c>
      <c r="J741" s="22" t="s">
        <v>2246</v>
      </c>
      <c r="N741" s="22" t="s">
        <v>2247</v>
      </c>
      <c r="O741" s="22" t="s">
        <v>2229</v>
      </c>
      <c r="P741" s="22">
        <v>85527</v>
      </c>
      <c r="Q741" s="22">
        <v>7</v>
      </c>
      <c r="R741" s="22">
        <v>3</v>
      </c>
      <c r="S741" s="22">
        <v>3</v>
      </c>
      <c r="T741" s="22" t="s">
        <v>281</v>
      </c>
      <c r="U741" s="21">
        <v>1</v>
      </c>
      <c r="V741" s="22">
        <v>1</v>
      </c>
      <c r="W741" s="24">
        <f t="shared" si="108"/>
        <v>210.35649196309433</v>
      </c>
      <c r="X741" s="24">
        <f t="shared" si="109"/>
        <v>32.97</v>
      </c>
      <c r="Y741" s="22">
        <v>1</v>
      </c>
      <c r="Z741" s="24">
        <f t="shared" si="103"/>
        <v>210.35649196309433</v>
      </c>
      <c r="AA741" s="24">
        <f t="shared" si="104"/>
        <v>32.97</v>
      </c>
      <c r="AF741" s="21" t="s">
        <v>247</v>
      </c>
      <c r="AJ741" s="21">
        <v>32.97</v>
      </c>
      <c r="AK741" s="21">
        <v>7</v>
      </c>
      <c r="AL741" s="22" t="s">
        <v>161</v>
      </c>
      <c r="AM741" s="22">
        <v>0.16</v>
      </c>
      <c r="AP741" s="22" t="s">
        <v>230</v>
      </c>
      <c r="AQ741" s="22" t="str">
        <f t="shared" si="105"/>
        <v>Nanophytoplankton</v>
      </c>
      <c r="AR741" s="22">
        <v>0</v>
      </c>
      <c r="AS741" s="22">
        <v>0</v>
      </c>
      <c r="AT741" s="22">
        <v>0</v>
      </c>
      <c r="AU741" s="22">
        <v>0</v>
      </c>
      <c r="AV741" s="22">
        <v>0</v>
      </c>
      <c r="AW741" s="22">
        <v>0</v>
      </c>
      <c r="AX741" s="22">
        <v>0</v>
      </c>
      <c r="AY741" s="22">
        <v>1</v>
      </c>
    </row>
    <row r="742" spans="1:57">
      <c r="A742" s="22" t="s">
        <v>2248</v>
      </c>
      <c r="B742" s="22" t="s">
        <v>663</v>
      </c>
      <c r="C742" s="22" t="s">
        <v>2223</v>
      </c>
      <c r="D742" s="22" t="s">
        <v>2224</v>
      </c>
      <c r="E742" s="23" t="s">
        <v>63</v>
      </c>
      <c r="F742" s="23" t="s">
        <v>2225</v>
      </c>
      <c r="G742" s="23" t="s">
        <v>2226</v>
      </c>
      <c r="H742" s="23" t="s">
        <v>2239</v>
      </c>
      <c r="I742" s="22" t="s">
        <v>2249</v>
      </c>
      <c r="J742" s="22" t="s">
        <v>211</v>
      </c>
      <c r="M742" s="22" t="s">
        <v>1</v>
      </c>
      <c r="N742" s="22" t="s">
        <v>2250</v>
      </c>
      <c r="O742" s="22" t="s">
        <v>2229</v>
      </c>
      <c r="P742" s="22">
        <v>85526</v>
      </c>
      <c r="Q742" s="22">
        <v>7</v>
      </c>
      <c r="R742" s="22">
        <v>3</v>
      </c>
      <c r="S742" s="22">
        <v>3</v>
      </c>
      <c r="T742" s="22" t="s">
        <v>281</v>
      </c>
      <c r="U742" s="21">
        <v>1</v>
      </c>
      <c r="V742" s="22">
        <v>1</v>
      </c>
      <c r="W742" s="24">
        <f t="shared" si="108"/>
        <v>210.35649196309433</v>
      </c>
      <c r="X742" s="24">
        <f t="shared" si="109"/>
        <v>32.97</v>
      </c>
      <c r="Y742" s="22">
        <v>1</v>
      </c>
      <c r="Z742" s="24">
        <f t="shared" si="103"/>
        <v>210.35649196309433</v>
      </c>
      <c r="AA742" s="24">
        <f t="shared" si="104"/>
        <v>32.97</v>
      </c>
      <c r="AF742" s="21" t="s">
        <v>247</v>
      </c>
      <c r="AJ742" s="21">
        <v>32.97</v>
      </c>
      <c r="AK742" s="21">
        <v>7</v>
      </c>
      <c r="AL742" s="22" t="s">
        <v>2251</v>
      </c>
      <c r="AM742" s="22">
        <v>0.16</v>
      </c>
      <c r="AP742" s="22" t="s">
        <v>230</v>
      </c>
      <c r="AQ742" s="22" t="str">
        <f t="shared" si="105"/>
        <v>Nanophytoplankton</v>
      </c>
      <c r="AR742" s="22">
        <v>0</v>
      </c>
      <c r="AS742" s="22">
        <v>0</v>
      </c>
      <c r="AT742" s="22">
        <v>0</v>
      </c>
      <c r="AU742" s="22">
        <v>0</v>
      </c>
      <c r="AV742" s="22">
        <v>0</v>
      </c>
      <c r="AW742" s="22">
        <v>0</v>
      </c>
      <c r="AX742" s="22">
        <v>0</v>
      </c>
      <c r="AY742" s="22">
        <v>1</v>
      </c>
    </row>
    <row r="743" spans="1:57">
      <c r="A743" s="22" t="s">
        <v>2252</v>
      </c>
      <c r="B743" s="22" t="s">
        <v>663</v>
      </c>
      <c r="C743" s="22" t="s">
        <v>2223</v>
      </c>
      <c r="D743" s="22" t="s">
        <v>2224</v>
      </c>
      <c r="E743" s="23" t="s">
        <v>63</v>
      </c>
      <c r="F743" s="23" t="s">
        <v>2225</v>
      </c>
      <c r="G743" s="23" t="s">
        <v>2226</v>
      </c>
      <c r="H743" s="22" t="s">
        <v>2253</v>
      </c>
      <c r="I743" s="22" t="s">
        <v>2254</v>
      </c>
      <c r="J743" s="22" t="s">
        <v>2255</v>
      </c>
      <c r="N743" s="22" t="s">
        <v>2256</v>
      </c>
      <c r="O743" s="22" t="s">
        <v>2229</v>
      </c>
      <c r="P743" s="21">
        <v>81631</v>
      </c>
      <c r="Q743" s="22">
        <v>43.5</v>
      </c>
      <c r="R743" s="22">
        <v>3</v>
      </c>
      <c r="S743" s="22">
        <v>3</v>
      </c>
      <c r="T743" s="22" t="s">
        <v>281</v>
      </c>
      <c r="U743" s="21">
        <v>1</v>
      </c>
      <c r="V743" s="22">
        <v>1</v>
      </c>
      <c r="W743" s="24">
        <f t="shared" si="108"/>
        <v>1274.0635653884312</v>
      </c>
      <c r="X743" s="24">
        <f t="shared" si="109"/>
        <v>204.88499999999999</v>
      </c>
      <c r="Y743" s="22">
        <v>20</v>
      </c>
      <c r="Z743" s="24">
        <f t="shared" si="103"/>
        <v>25481.271307768624</v>
      </c>
      <c r="AA743" s="24">
        <f t="shared" si="104"/>
        <v>4097.7</v>
      </c>
      <c r="AB743" s="22">
        <v>55</v>
      </c>
      <c r="AC743" s="22">
        <v>55</v>
      </c>
      <c r="AD743" s="22">
        <v>55</v>
      </c>
      <c r="AE743" s="22" t="s">
        <v>159</v>
      </c>
      <c r="AF743" s="21">
        <v>0.1</v>
      </c>
      <c r="AG743" s="22">
        <v>10</v>
      </c>
      <c r="AH743" s="24">
        <f>(4*3.14*(((AB743^1.6*AC743^1.6+AB743^1.6*AD743^1.6+AC743^1.6+AD743^1.6)/3)^(1/1.6)))*(1/AG743)</f>
        <v>2951.9116727680575</v>
      </c>
      <c r="AI743" s="24">
        <f>3.14/6*AB743*AC743*AD743*AF743</f>
        <v>8706.9583333333339</v>
      </c>
      <c r="AJ743" s="21">
        <v>4097.7</v>
      </c>
      <c r="AK743" s="21">
        <v>43.5</v>
      </c>
      <c r="AL743" s="22" t="s">
        <v>161</v>
      </c>
      <c r="AM743" s="22">
        <v>0.16</v>
      </c>
      <c r="AO743" s="22" t="s">
        <v>2257</v>
      </c>
      <c r="AP743" s="22" t="s">
        <v>162</v>
      </c>
      <c r="AQ743" s="22" t="str">
        <f t="shared" si="105"/>
        <v>Microphytoplankton</v>
      </c>
      <c r="AR743" s="22">
        <v>0</v>
      </c>
      <c r="AS743" s="22">
        <v>0</v>
      </c>
      <c r="AT743" s="22">
        <v>0</v>
      </c>
      <c r="AU743" s="22">
        <v>1</v>
      </c>
      <c r="AV743" s="22">
        <v>0</v>
      </c>
      <c r="AW743" s="22">
        <v>0</v>
      </c>
      <c r="AX743" s="22">
        <v>0</v>
      </c>
      <c r="AY743" s="22">
        <v>1</v>
      </c>
    </row>
    <row r="744" spans="1:57">
      <c r="A744" s="22" t="s">
        <v>2258</v>
      </c>
      <c r="B744" s="22" t="s">
        <v>663</v>
      </c>
      <c r="C744" s="22" t="s">
        <v>2223</v>
      </c>
      <c r="D744" s="22" t="s">
        <v>2224</v>
      </c>
      <c r="E744" s="23" t="s">
        <v>63</v>
      </c>
      <c r="F744" s="23" t="s">
        <v>2225</v>
      </c>
      <c r="G744" s="23" t="s">
        <v>2226</v>
      </c>
      <c r="H744" s="22" t="s">
        <v>2253</v>
      </c>
      <c r="I744" s="22" t="s">
        <v>2254</v>
      </c>
      <c r="J744" s="22" t="s">
        <v>2259</v>
      </c>
      <c r="N744" s="22" t="s">
        <v>2260</v>
      </c>
      <c r="O744" s="22" t="s">
        <v>2229</v>
      </c>
      <c r="P744" s="21">
        <v>81632</v>
      </c>
      <c r="Q744" s="22">
        <v>39.5</v>
      </c>
      <c r="R744" s="22">
        <v>2</v>
      </c>
      <c r="S744" s="22">
        <v>2</v>
      </c>
      <c r="T744" s="22" t="s">
        <v>281</v>
      </c>
      <c r="U744" s="21">
        <v>1</v>
      </c>
      <c r="V744" s="22">
        <v>1</v>
      </c>
      <c r="W744" s="24">
        <f t="shared" si="108"/>
        <v>771.46399677116415</v>
      </c>
      <c r="X744" s="24">
        <f t="shared" si="109"/>
        <v>82.686666666666667</v>
      </c>
      <c r="Y744" s="22">
        <v>4</v>
      </c>
      <c r="Z744" s="24">
        <f t="shared" si="103"/>
        <v>3085.8559870846566</v>
      </c>
      <c r="AA744" s="24">
        <f t="shared" si="104"/>
        <v>330.74666666666667</v>
      </c>
      <c r="AB744" s="22">
        <v>40</v>
      </c>
      <c r="AC744" s="22">
        <v>40</v>
      </c>
      <c r="AD744" s="22">
        <v>40</v>
      </c>
      <c r="AE744" s="22" t="s">
        <v>159</v>
      </c>
      <c r="AF744" s="21">
        <v>0.1</v>
      </c>
      <c r="AG744" s="22">
        <v>10</v>
      </c>
      <c r="AH744" s="24">
        <f>(4*3.14*(((AB744^1.6*AC744^1.6+AB744^1.6*AD744^1.6+AC744^1.6+AD744^1.6)/3)^(1/1.6)))*(1/AG744)</f>
        <v>1562.404611876299</v>
      </c>
      <c r="AI744" s="24">
        <f>3.14/6*AB744*AC744*AD744*AF744</f>
        <v>3349.3333333333339</v>
      </c>
      <c r="AJ744" s="21">
        <v>330.74666666666667</v>
      </c>
      <c r="AK744" s="21">
        <v>39.5</v>
      </c>
      <c r="AL744" s="22" t="s">
        <v>161</v>
      </c>
      <c r="AM744" s="22">
        <v>0.16</v>
      </c>
      <c r="AO744" s="22" t="s">
        <v>2257</v>
      </c>
      <c r="AP744" s="22" t="s">
        <v>162</v>
      </c>
      <c r="AQ744" s="22" t="str">
        <f t="shared" si="105"/>
        <v>Microphytoplankton</v>
      </c>
      <c r="AR744" s="22">
        <v>0</v>
      </c>
      <c r="AS744" s="22">
        <v>0</v>
      </c>
      <c r="AT744" s="22">
        <v>0</v>
      </c>
      <c r="AU744" s="22">
        <v>1</v>
      </c>
      <c r="AV744" s="22">
        <v>0</v>
      </c>
      <c r="AW744" s="22">
        <v>0</v>
      </c>
      <c r="AX744" s="22">
        <v>0</v>
      </c>
      <c r="AY744" s="22">
        <v>1</v>
      </c>
    </row>
    <row r="745" spans="1:57">
      <c r="A745" s="22" t="s">
        <v>2261</v>
      </c>
      <c r="B745" s="22" t="s">
        <v>663</v>
      </c>
      <c r="C745" s="22" t="s">
        <v>2223</v>
      </c>
      <c r="D745" s="22" t="s">
        <v>2224</v>
      </c>
      <c r="E745" s="23" t="s">
        <v>63</v>
      </c>
      <c r="F745" s="23" t="s">
        <v>2225</v>
      </c>
      <c r="G745" s="23" t="s">
        <v>2226</v>
      </c>
      <c r="H745" s="22" t="s">
        <v>2253</v>
      </c>
      <c r="I745" s="22" t="s">
        <v>2254</v>
      </c>
      <c r="J745" s="22" t="s">
        <v>609</v>
      </c>
      <c r="N745" s="22" t="s">
        <v>2262</v>
      </c>
      <c r="O745" s="22" t="s">
        <v>2229</v>
      </c>
      <c r="P745" s="22">
        <v>81650</v>
      </c>
      <c r="Q745" s="21">
        <v>40</v>
      </c>
      <c r="R745" s="21">
        <v>1.2</v>
      </c>
      <c r="S745" s="21">
        <v>1.2</v>
      </c>
      <c r="T745" s="21" t="s">
        <v>281</v>
      </c>
      <c r="U745" s="21">
        <v>1</v>
      </c>
      <c r="V745" s="22">
        <v>1</v>
      </c>
      <c r="W745" s="24">
        <f t="shared" si="108"/>
        <v>468.72138356288923</v>
      </c>
      <c r="X745" s="24">
        <f t="shared" si="109"/>
        <v>30.143999999999998</v>
      </c>
      <c r="Y745" s="21">
        <v>1</v>
      </c>
      <c r="Z745" s="24">
        <f t="shared" si="103"/>
        <v>468.72138356288923</v>
      </c>
      <c r="AA745" s="24">
        <f t="shared" si="104"/>
        <v>30.143999999999998</v>
      </c>
      <c r="AB745" s="21"/>
      <c r="AC745" s="21"/>
      <c r="AD745" s="21"/>
      <c r="AE745" s="21"/>
      <c r="AF745" s="21" t="s">
        <v>247</v>
      </c>
      <c r="AG745" s="21"/>
      <c r="AH745" s="24"/>
      <c r="AI745" s="24"/>
      <c r="AJ745" s="21">
        <v>15.1</v>
      </c>
      <c r="AK745" s="21">
        <v>40</v>
      </c>
      <c r="AL745" s="22" t="s">
        <v>161</v>
      </c>
      <c r="AM745" s="22">
        <v>0.16</v>
      </c>
      <c r="AO745" s="22" t="s">
        <v>2257</v>
      </c>
      <c r="AP745" s="22" t="s">
        <v>162</v>
      </c>
      <c r="AQ745" s="22" t="str">
        <f t="shared" si="105"/>
        <v>Microphytoplankton</v>
      </c>
      <c r="AR745" s="22">
        <v>0</v>
      </c>
      <c r="AS745" s="22">
        <v>0</v>
      </c>
      <c r="AT745" s="22">
        <v>0</v>
      </c>
      <c r="AU745" s="22">
        <v>1</v>
      </c>
      <c r="AV745" s="22">
        <v>0</v>
      </c>
      <c r="AW745" s="22">
        <v>0</v>
      </c>
      <c r="AX745" s="22">
        <v>0</v>
      </c>
      <c r="AY745" s="22">
        <v>1</v>
      </c>
      <c r="AZ745" s="22">
        <v>0</v>
      </c>
      <c r="BA745" s="22">
        <v>0</v>
      </c>
      <c r="BB745" s="22">
        <v>0</v>
      </c>
      <c r="BC745" s="22">
        <v>0</v>
      </c>
      <c r="BD745" s="22">
        <v>2</v>
      </c>
      <c r="BE745" s="22">
        <v>8</v>
      </c>
    </row>
    <row r="746" spans="1:57">
      <c r="A746" s="21" t="s">
        <v>2263</v>
      </c>
      <c r="B746" s="22" t="s">
        <v>663</v>
      </c>
      <c r="C746" s="22" t="s">
        <v>2223</v>
      </c>
      <c r="D746" s="22" t="s">
        <v>2224</v>
      </c>
      <c r="E746" s="23" t="s">
        <v>63</v>
      </c>
      <c r="F746" s="23" t="s">
        <v>2225</v>
      </c>
      <c r="G746" s="23" t="s">
        <v>2226</v>
      </c>
      <c r="H746" s="22" t="s">
        <v>2253</v>
      </c>
      <c r="I746" s="22" t="s">
        <v>2254</v>
      </c>
      <c r="J746" s="22" t="s">
        <v>2264</v>
      </c>
      <c r="N746" s="22" t="s">
        <v>157</v>
      </c>
      <c r="O746" s="22" t="s">
        <v>2229</v>
      </c>
      <c r="P746" s="21">
        <v>81640</v>
      </c>
      <c r="Q746" s="21">
        <v>7</v>
      </c>
      <c r="R746" s="21">
        <v>1.5</v>
      </c>
      <c r="S746" s="21">
        <v>1.5</v>
      </c>
      <c r="T746" s="21" t="s">
        <v>281</v>
      </c>
      <c r="U746" s="21">
        <v>1</v>
      </c>
      <c r="V746" s="22">
        <v>1</v>
      </c>
      <c r="W746" s="24">
        <f t="shared" si="108"/>
        <v>105.17824598154721</v>
      </c>
      <c r="X746" s="24">
        <f t="shared" si="109"/>
        <v>8.2424999999999997</v>
      </c>
      <c r="Y746" s="21">
        <v>1</v>
      </c>
      <c r="Z746" s="24">
        <f t="shared" si="103"/>
        <v>105.17824598154721</v>
      </c>
      <c r="AA746" s="24">
        <f t="shared" si="104"/>
        <v>8.2424999999999997</v>
      </c>
      <c r="AB746" s="21"/>
      <c r="AC746" s="21"/>
      <c r="AD746" s="21"/>
      <c r="AE746" s="21"/>
      <c r="AF746" s="21" t="s">
        <v>247</v>
      </c>
      <c r="AG746" s="21"/>
      <c r="AH746" s="24"/>
      <c r="AI746" s="24"/>
      <c r="AJ746" s="21">
        <v>4.0999999999999996</v>
      </c>
      <c r="AK746" s="21">
        <v>7</v>
      </c>
      <c r="AL746" s="22" t="s">
        <v>161</v>
      </c>
      <c r="AM746" s="22">
        <v>0.16</v>
      </c>
      <c r="AO746" s="22" t="s">
        <v>2257</v>
      </c>
      <c r="AP746" s="22" t="s">
        <v>162</v>
      </c>
      <c r="AQ746" s="22" t="str">
        <f t="shared" si="105"/>
        <v>Nanophytoplankton</v>
      </c>
      <c r="AR746" s="22">
        <v>0</v>
      </c>
      <c r="AS746" s="22">
        <v>0</v>
      </c>
      <c r="AT746" s="22">
        <v>0</v>
      </c>
      <c r="AU746" s="22">
        <v>1</v>
      </c>
      <c r="AV746" s="22">
        <v>0</v>
      </c>
      <c r="AW746" s="22">
        <v>0</v>
      </c>
      <c r="AX746" s="22">
        <v>0</v>
      </c>
      <c r="AY746" s="22">
        <v>1</v>
      </c>
      <c r="AZ746" s="22">
        <v>0</v>
      </c>
      <c r="BA746" s="22">
        <v>0</v>
      </c>
      <c r="BB746" s="22">
        <v>0</v>
      </c>
      <c r="BC746" s="22">
        <v>0</v>
      </c>
      <c r="BD746" s="22">
        <v>2</v>
      </c>
      <c r="BE746" s="22">
        <v>8</v>
      </c>
    </row>
    <row r="747" spans="1:57">
      <c r="A747" s="21" t="s">
        <v>2265</v>
      </c>
      <c r="B747" s="22" t="s">
        <v>663</v>
      </c>
      <c r="C747" s="22" t="s">
        <v>2223</v>
      </c>
      <c r="D747" s="22" t="s">
        <v>2224</v>
      </c>
      <c r="E747" s="23" t="s">
        <v>63</v>
      </c>
      <c r="F747" s="23" t="s">
        <v>2225</v>
      </c>
      <c r="G747" s="23" t="s">
        <v>2226</v>
      </c>
      <c r="H747" s="22" t="s">
        <v>2253</v>
      </c>
      <c r="I747" s="22" t="s">
        <v>2254</v>
      </c>
      <c r="J747" s="22" t="s">
        <v>211</v>
      </c>
      <c r="M747" s="22" t="s">
        <v>1</v>
      </c>
      <c r="N747" s="22" t="s">
        <v>2260</v>
      </c>
      <c r="O747" s="22" t="s">
        <v>2229</v>
      </c>
      <c r="P747" s="21">
        <v>81600</v>
      </c>
      <c r="Q747" s="21">
        <v>50</v>
      </c>
      <c r="R747" s="21">
        <v>4</v>
      </c>
      <c r="S747" s="21">
        <v>4</v>
      </c>
      <c r="T747" s="21" t="s">
        <v>281</v>
      </c>
      <c r="U747" s="21">
        <v>0.8</v>
      </c>
      <c r="V747" s="21">
        <v>0.8</v>
      </c>
      <c r="W747" s="24">
        <f t="shared" si="108"/>
        <v>2440.0082151651241</v>
      </c>
      <c r="X747" s="24">
        <f t="shared" si="109"/>
        <v>334.93333333333334</v>
      </c>
      <c r="Y747" s="21">
        <v>1</v>
      </c>
      <c r="Z747" s="24">
        <f t="shared" si="103"/>
        <v>2440.0082151651241</v>
      </c>
      <c r="AA747" s="24">
        <f t="shared" si="104"/>
        <v>334.93333333333334</v>
      </c>
      <c r="AB747" s="21"/>
      <c r="AC747" s="21"/>
      <c r="AD747" s="21"/>
      <c r="AE747" s="21"/>
      <c r="AF747" s="21" t="s">
        <v>247</v>
      </c>
      <c r="AG747" s="21"/>
      <c r="AH747" s="24"/>
      <c r="AI747" s="24"/>
      <c r="AJ747" s="21">
        <v>100</v>
      </c>
      <c r="AK747" s="21">
        <v>50</v>
      </c>
      <c r="AL747" s="22" t="s">
        <v>161</v>
      </c>
      <c r="AM747" s="22">
        <v>0.16</v>
      </c>
      <c r="AO747" s="22" t="s">
        <v>2257</v>
      </c>
      <c r="AP747" s="22" t="s">
        <v>162</v>
      </c>
      <c r="AQ747" s="22" t="str">
        <f t="shared" si="105"/>
        <v>Microphytoplankton</v>
      </c>
      <c r="AR747" s="22">
        <v>0</v>
      </c>
      <c r="AS747" s="22">
        <v>0</v>
      </c>
      <c r="AT747" s="22">
        <v>0</v>
      </c>
      <c r="AU747" s="22">
        <v>1</v>
      </c>
      <c r="AV747" s="22">
        <v>0</v>
      </c>
      <c r="AW747" s="22">
        <v>0</v>
      </c>
      <c r="AX747" s="22">
        <v>0</v>
      </c>
      <c r="AY747" s="22">
        <v>1</v>
      </c>
    </row>
    <row r="748" spans="1:57">
      <c r="A748" s="21" t="s">
        <v>2266</v>
      </c>
      <c r="B748" s="22" t="s">
        <v>663</v>
      </c>
      <c r="C748" s="22" t="s">
        <v>2223</v>
      </c>
      <c r="D748" s="22" t="s">
        <v>2224</v>
      </c>
      <c r="E748" s="23" t="s">
        <v>63</v>
      </c>
      <c r="F748" s="23" t="s">
        <v>2225</v>
      </c>
      <c r="G748" s="23" t="s">
        <v>2226</v>
      </c>
      <c r="H748" s="22" t="s">
        <v>2267</v>
      </c>
      <c r="I748" s="22" t="s">
        <v>2268</v>
      </c>
      <c r="J748" s="22" t="s">
        <v>2269</v>
      </c>
      <c r="M748" s="22" t="s">
        <v>1</v>
      </c>
      <c r="N748" s="22" t="s">
        <v>1367</v>
      </c>
      <c r="O748" s="22" t="s">
        <v>2229</v>
      </c>
      <c r="P748" s="22">
        <v>80969</v>
      </c>
      <c r="Q748" s="21">
        <v>6</v>
      </c>
      <c r="R748" s="21">
        <v>6</v>
      </c>
      <c r="S748" s="21">
        <v>6</v>
      </c>
      <c r="T748" s="21" t="s">
        <v>281</v>
      </c>
      <c r="U748" s="21">
        <v>1</v>
      </c>
      <c r="V748" s="22">
        <v>1</v>
      </c>
      <c r="W748" s="24">
        <f t="shared" si="108"/>
        <v>363.28803924381305</v>
      </c>
      <c r="X748" s="24">
        <f t="shared" si="109"/>
        <v>113.03999999999998</v>
      </c>
      <c r="Y748" s="21">
        <v>1</v>
      </c>
      <c r="Z748" s="24">
        <f t="shared" si="103"/>
        <v>363.28803924381305</v>
      </c>
      <c r="AA748" s="24">
        <f t="shared" si="104"/>
        <v>113.03999999999998</v>
      </c>
      <c r="AB748" s="21"/>
      <c r="AC748" s="21"/>
      <c r="AD748" s="21"/>
      <c r="AE748" s="21"/>
      <c r="AF748" s="21" t="s">
        <v>247</v>
      </c>
      <c r="AG748" s="21"/>
      <c r="AH748" s="24"/>
      <c r="AI748" s="24"/>
      <c r="AJ748" s="21">
        <v>169</v>
      </c>
      <c r="AK748" s="21">
        <v>6</v>
      </c>
      <c r="AL748" s="22" t="s">
        <v>161</v>
      </c>
      <c r="AM748" s="22">
        <v>0.16</v>
      </c>
      <c r="AN748" s="22" t="s">
        <v>2257</v>
      </c>
      <c r="AO748" s="22" t="s">
        <v>2257</v>
      </c>
      <c r="AP748" s="22" t="s">
        <v>162</v>
      </c>
      <c r="AQ748" s="22" t="str">
        <f t="shared" si="105"/>
        <v>Nanophytoplankton</v>
      </c>
      <c r="AR748" s="22">
        <v>0</v>
      </c>
      <c r="AS748" s="22">
        <v>0</v>
      </c>
      <c r="AT748" s="22">
        <v>0</v>
      </c>
      <c r="AU748" s="22">
        <v>0</v>
      </c>
      <c r="AV748" s="22">
        <v>0</v>
      </c>
      <c r="AW748" s="22">
        <v>0</v>
      </c>
      <c r="AX748" s="22">
        <v>0</v>
      </c>
      <c r="AY748" s="22">
        <v>1</v>
      </c>
      <c r="AZ748" s="22">
        <v>0</v>
      </c>
      <c r="BA748" s="22">
        <v>0</v>
      </c>
      <c r="BB748" s="22">
        <v>1</v>
      </c>
      <c r="BC748" s="22">
        <v>3</v>
      </c>
      <c r="BD748" s="22">
        <v>5</v>
      </c>
      <c r="BE748" s="22">
        <v>1</v>
      </c>
    </row>
    <row r="749" spans="1:57">
      <c r="A749" s="21" t="s">
        <v>2270</v>
      </c>
      <c r="B749" s="22" t="s">
        <v>663</v>
      </c>
      <c r="C749" s="22" t="s">
        <v>2223</v>
      </c>
      <c r="D749" s="22" t="s">
        <v>2224</v>
      </c>
      <c r="E749" s="23" t="s">
        <v>63</v>
      </c>
      <c r="F749" s="23" t="s">
        <v>2225</v>
      </c>
      <c r="G749" s="23" t="s">
        <v>2226</v>
      </c>
      <c r="H749" s="22" t="s">
        <v>2267</v>
      </c>
      <c r="I749" s="22" t="s">
        <v>2268</v>
      </c>
      <c r="J749" s="22" t="s">
        <v>2271</v>
      </c>
      <c r="N749" s="22" t="s">
        <v>2272</v>
      </c>
      <c r="O749" s="22" t="s">
        <v>2229</v>
      </c>
      <c r="P749" s="21">
        <v>80940</v>
      </c>
      <c r="Q749" s="21">
        <v>18</v>
      </c>
      <c r="R749" s="21">
        <v>2.5</v>
      </c>
      <c r="S749" s="21">
        <v>2.5</v>
      </c>
      <c r="T749" s="21" t="s">
        <v>281</v>
      </c>
      <c r="U749" s="21">
        <v>1</v>
      </c>
      <c r="V749" s="22">
        <v>1</v>
      </c>
      <c r="W749" s="24">
        <f t="shared" si="108"/>
        <v>441.3613208786154</v>
      </c>
      <c r="X749" s="24">
        <f t="shared" si="109"/>
        <v>58.875</v>
      </c>
      <c r="Y749" s="21">
        <v>1</v>
      </c>
      <c r="Z749" s="24">
        <f t="shared" si="103"/>
        <v>441.3613208786154</v>
      </c>
      <c r="AA749" s="24">
        <f t="shared" si="104"/>
        <v>58.875</v>
      </c>
      <c r="AB749" s="21"/>
      <c r="AC749" s="21"/>
      <c r="AD749" s="21"/>
      <c r="AE749" s="21"/>
      <c r="AF749" s="21" t="s">
        <v>247</v>
      </c>
      <c r="AG749" s="21"/>
      <c r="AH749" s="24"/>
      <c r="AI749" s="24"/>
      <c r="AJ749" s="21">
        <v>29.5</v>
      </c>
      <c r="AK749" s="21">
        <v>18</v>
      </c>
      <c r="AL749" s="22" t="s">
        <v>161</v>
      </c>
      <c r="AM749" s="22">
        <v>0.16</v>
      </c>
      <c r="AN749" s="22" t="s">
        <v>2257</v>
      </c>
      <c r="AO749" s="22" t="s">
        <v>2257</v>
      </c>
      <c r="AP749" s="22" t="s">
        <v>162</v>
      </c>
      <c r="AQ749" s="22" t="str">
        <f t="shared" si="105"/>
        <v>Nanophytoplankton</v>
      </c>
      <c r="AR749" s="22">
        <v>0</v>
      </c>
      <c r="AS749" s="22">
        <v>0</v>
      </c>
      <c r="AT749" s="22">
        <v>0</v>
      </c>
      <c r="AU749" s="22">
        <v>0</v>
      </c>
      <c r="AV749" s="22">
        <v>0</v>
      </c>
      <c r="AW749" s="22">
        <v>0</v>
      </c>
      <c r="AX749" s="22">
        <v>0</v>
      </c>
      <c r="AY749" s="22">
        <v>1</v>
      </c>
      <c r="AZ749" s="22">
        <v>0</v>
      </c>
      <c r="BA749" s="22">
        <v>0</v>
      </c>
      <c r="BB749" s="22">
        <v>1</v>
      </c>
      <c r="BC749" s="22">
        <v>3</v>
      </c>
      <c r="BD749" s="22">
        <v>5</v>
      </c>
      <c r="BE749" s="22">
        <v>1</v>
      </c>
    </row>
    <row r="750" spans="1:57">
      <c r="A750" s="21" t="s">
        <v>2273</v>
      </c>
      <c r="B750" s="22" t="s">
        <v>663</v>
      </c>
      <c r="C750" s="22" t="s">
        <v>2223</v>
      </c>
      <c r="D750" s="22" t="s">
        <v>2224</v>
      </c>
      <c r="E750" s="23" t="s">
        <v>63</v>
      </c>
      <c r="F750" s="23" t="s">
        <v>2225</v>
      </c>
      <c r="G750" s="23" t="s">
        <v>2226</v>
      </c>
      <c r="H750" s="22" t="s">
        <v>2267</v>
      </c>
      <c r="I750" s="22" t="s">
        <v>2268</v>
      </c>
      <c r="J750" s="22" t="s">
        <v>2274</v>
      </c>
      <c r="N750" s="22" t="s">
        <v>2275</v>
      </c>
      <c r="O750" s="22" t="s">
        <v>2229</v>
      </c>
      <c r="P750" s="21">
        <v>80910</v>
      </c>
      <c r="Q750" s="21">
        <v>25</v>
      </c>
      <c r="R750" s="21">
        <v>3</v>
      </c>
      <c r="S750" s="21">
        <v>3</v>
      </c>
      <c r="T750" s="21" t="s">
        <v>281</v>
      </c>
      <c r="U750" s="21">
        <v>1</v>
      </c>
      <c r="V750" s="22">
        <v>1</v>
      </c>
      <c r="W750" s="24">
        <f t="shared" si="108"/>
        <v>733.77542011513458</v>
      </c>
      <c r="X750" s="24">
        <f t="shared" si="109"/>
        <v>117.75</v>
      </c>
      <c r="Y750" s="21">
        <v>1</v>
      </c>
      <c r="Z750" s="24">
        <f t="shared" si="103"/>
        <v>733.77542011513458</v>
      </c>
      <c r="AA750" s="24">
        <f t="shared" si="104"/>
        <v>117.75</v>
      </c>
      <c r="AB750" s="21"/>
      <c r="AC750" s="21"/>
      <c r="AD750" s="21"/>
      <c r="AE750" s="21"/>
      <c r="AF750" s="21" t="s">
        <v>247</v>
      </c>
      <c r="AG750" s="21"/>
      <c r="AH750" s="24"/>
      <c r="AI750" s="24"/>
      <c r="AJ750" s="21">
        <v>58.9</v>
      </c>
      <c r="AK750" s="21">
        <v>25</v>
      </c>
      <c r="AL750" s="22" t="s">
        <v>161</v>
      </c>
      <c r="AM750" s="22">
        <v>0.16</v>
      </c>
      <c r="AN750" s="22" t="s">
        <v>2257</v>
      </c>
      <c r="AO750" s="22" t="s">
        <v>2257</v>
      </c>
      <c r="AP750" s="22" t="s">
        <v>162</v>
      </c>
      <c r="AQ750" s="22" t="str">
        <f t="shared" si="105"/>
        <v>Microphytoplankton</v>
      </c>
      <c r="AR750" s="22">
        <v>0</v>
      </c>
      <c r="AS750" s="22">
        <v>0</v>
      </c>
      <c r="AT750" s="22">
        <v>0</v>
      </c>
      <c r="AU750" s="22">
        <v>0</v>
      </c>
      <c r="AV750" s="22">
        <v>0</v>
      </c>
      <c r="AW750" s="22">
        <v>0</v>
      </c>
      <c r="AX750" s="22">
        <v>0</v>
      </c>
      <c r="AY750" s="22">
        <v>1</v>
      </c>
      <c r="AZ750" s="22">
        <v>0</v>
      </c>
      <c r="BA750" s="22">
        <v>0</v>
      </c>
      <c r="BB750" s="22">
        <v>1</v>
      </c>
      <c r="BC750" s="22">
        <v>3</v>
      </c>
      <c r="BD750" s="22">
        <v>5</v>
      </c>
      <c r="BE750" s="22">
        <v>1</v>
      </c>
    </row>
    <row r="751" spans="1:57">
      <c r="A751" s="21" t="s">
        <v>2276</v>
      </c>
      <c r="B751" s="22" t="s">
        <v>663</v>
      </c>
      <c r="C751" s="22" t="s">
        <v>2223</v>
      </c>
      <c r="D751" s="22" t="s">
        <v>2224</v>
      </c>
      <c r="E751" s="23" t="s">
        <v>63</v>
      </c>
      <c r="F751" s="23" t="s">
        <v>2225</v>
      </c>
      <c r="G751" s="23" t="s">
        <v>2226</v>
      </c>
      <c r="H751" s="22" t="s">
        <v>2267</v>
      </c>
      <c r="I751" s="22" t="s">
        <v>2268</v>
      </c>
      <c r="J751" s="22" t="s">
        <v>1463</v>
      </c>
      <c r="N751" s="22" t="s">
        <v>2277</v>
      </c>
      <c r="O751" s="22" t="s">
        <v>2229</v>
      </c>
      <c r="P751" s="21">
        <v>80950</v>
      </c>
      <c r="Q751" s="21">
        <v>65</v>
      </c>
      <c r="R751" s="21">
        <v>3.5</v>
      </c>
      <c r="S751" s="21">
        <v>3.5</v>
      </c>
      <c r="T751" s="21" t="s">
        <v>281</v>
      </c>
      <c r="U751" s="21">
        <v>0.6</v>
      </c>
      <c r="V751" s="21">
        <v>0.6</v>
      </c>
      <c r="W751" s="24">
        <f t="shared" si="108"/>
        <v>3699.1652620672444</v>
      </c>
      <c r="X751" s="24">
        <f t="shared" si="109"/>
        <v>250.02249999999998</v>
      </c>
      <c r="Y751" s="21">
        <v>1</v>
      </c>
      <c r="Z751" s="24">
        <f t="shared" si="103"/>
        <v>3699.1652620672444</v>
      </c>
      <c r="AA751" s="24">
        <f t="shared" si="104"/>
        <v>250.02249999999998</v>
      </c>
      <c r="AB751" s="21"/>
      <c r="AC751" s="21"/>
      <c r="AD751" s="21"/>
      <c r="AE751" s="21"/>
      <c r="AF751" s="21" t="s">
        <v>247</v>
      </c>
      <c r="AG751" s="21"/>
      <c r="AH751" s="24"/>
      <c r="AI751" s="24"/>
      <c r="AJ751" s="21">
        <v>104.2</v>
      </c>
      <c r="AK751" s="21">
        <v>65</v>
      </c>
      <c r="AL751" s="22" t="s">
        <v>161</v>
      </c>
      <c r="AM751" s="22">
        <v>0.16</v>
      </c>
      <c r="AN751" s="22" t="s">
        <v>2257</v>
      </c>
      <c r="AO751" s="22" t="s">
        <v>2257</v>
      </c>
      <c r="AP751" s="22" t="s">
        <v>162</v>
      </c>
      <c r="AQ751" s="22" t="str">
        <f t="shared" si="105"/>
        <v>Microphytoplankton</v>
      </c>
      <c r="AR751" s="22">
        <v>0</v>
      </c>
      <c r="AS751" s="22">
        <v>0</v>
      </c>
      <c r="AT751" s="22">
        <v>0</v>
      </c>
      <c r="AU751" s="22">
        <v>0</v>
      </c>
      <c r="AV751" s="22">
        <v>0</v>
      </c>
      <c r="AW751" s="22">
        <v>0</v>
      </c>
      <c r="AX751" s="22">
        <v>0</v>
      </c>
      <c r="AY751" s="22">
        <v>1</v>
      </c>
      <c r="AZ751" s="22">
        <v>0</v>
      </c>
      <c r="BA751" s="22">
        <v>0</v>
      </c>
      <c r="BB751" s="22">
        <v>1</v>
      </c>
      <c r="BC751" s="22">
        <v>3</v>
      </c>
      <c r="BD751" s="22">
        <v>5</v>
      </c>
      <c r="BE751" s="22">
        <v>1</v>
      </c>
    </row>
    <row r="752" spans="1:57">
      <c r="A752" s="21" t="s">
        <v>2278</v>
      </c>
      <c r="B752" s="22" t="s">
        <v>663</v>
      </c>
      <c r="C752" s="22" t="s">
        <v>2223</v>
      </c>
      <c r="D752" s="22" t="s">
        <v>2224</v>
      </c>
      <c r="E752" s="23" t="s">
        <v>63</v>
      </c>
      <c r="F752" s="23" t="s">
        <v>2225</v>
      </c>
      <c r="G752" s="23" t="s">
        <v>2226</v>
      </c>
      <c r="H752" s="22" t="s">
        <v>2279</v>
      </c>
      <c r="I752" s="22" t="s">
        <v>2280</v>
      </c>
      <c r="J752" s="22" t="s">
        <v>2281</v>
      </c>
      <c r="N752" s="22" t="s">
        <v>413</v>
      </c>
      <c r="O752" s="22" t="s">
        <v>2229</v>
      </c>
      <c r="P752" s="21">
        <v>81910</v>
      </c>
      <c r="Q752" s="21">
        <v>9</v>
      </c>
      <c r="R752" s="21">
        <v>4.5</v>
      </c>
      <c r="S752" s="21">
        <v>4.5</v>
      </c>
      <c r="T752" s="21" t="s">
        <v>281</v>
      </c>
      <c r="U752" s="21">
        <v>1</v>
      </c>
      <c r="V752" s="22">
        <v>1</v>
      </c>
      <c r="W752" s="24">
        <f t="shared" si="108"/>
        <v>402.1055221400822</v>
      </c>
      <c r="X752" s="24">
        <f t="shared" si="109"/>
        <v>95.377499999999998</v>
      </c>
      <c r="Y752" s="21">
        <v>32</v>
      </c>
      <c r="Z752" s="24">
        <f t="shared" si="103"/>
        <v>12867.37670848263</v>
      </c>
      <c r="AA752" s="24">
        <f t="shared" si="104"/>
        <v>3052.08</v>
      </c>
      <c r="AB752" s="21">
        <v>60</v>
      </c>
      <c r="AC752" s="21">
        <v>30</v>
      </c>
      <c r="AD752" s="21">
        <v>30</v>
      </c>
      <c r="AE752" s="21" t="s">
        <v>159</v>
      </c>
      <c r="AF752" s="21">
        <v>0.9</v>
      </c>
      <c r="AG752" s="21">
        <v>1.2</v>
      </c>
      <c r="AH752" s="24">
        <f>(4*3.14*(((AB752^1.6*AC752^1.6+AB752^1.6*AD752^1.6+AC752^1.6+AD752^1.6)/3)^(1/1.6)))*(1/AG752)</f>
        <v>14635.629193901632</v>
      </c>
      <c r="AI752" s="24">
        <f>3.14/6*AB752*AC752*AD752*AF752</f>
        <v>25434</v>
      </c>
      <c r="AJ752" s="21">
        <v>1750</v>
      </c>
      <c r="AK752" s="21">
        <v>50</v>
      </c>
      <c r="AL752" s="22" t="s">
        <v>161</v>
      </c>
      <c r="AM752" s="22">
        <v>0.16</v>
      </c>
      <c r="AN752" s="22" t="s">
        <v>2282</v>
      </c>
      <c r="AO752" s="22" t="s">
        <v>2282</v>
      </c>
      <c r="AP752" s="22" t="s">
        <v>230</v>
      </c>
      <c r="AQ752" s="22" t="str">
        <f t="shared" si="105"/>
        <v>Microphytoplankton</v>
      </c>
      <c r="AR752" s="22">
        <v>0</v>
      </c>
      <c r="AS752" s="22">
        <v>0</v>
      </c>
      <c r="AT752" s="22">
        <v>0</v>
      </c>
      <c r="AU752" s="22">
        <v>1</v>
      </c>
      <c r="AV752" s="22">
        <v>0</v>
      </c>
      <c r="AW752" s="22">
        <v>0</v>
      </c>
      <c r="AX752" s="22">
        <v>0</v>
      </c>
      <c r="AY752" s="22">
        <v>1</v>
      </c>
      <c r="AZ752" s="22">
        <v>1</v>
      </c>
      <c r="BA752" s="22">
        <v>5</v>
      </c>
      <c r="BB752" s="22">
        <v>3</v>
      </c>
      <c r="BC752" s="22">
        <v>1</v>
      </c>
      <c r="BD752" s="22">
        <v>0</v>
      </c>
      <c r="BE752" s="22">
        <v>0</v>
      </c>
    </row>
    <row r="753" spans="1:57">
      <c r="A753" s="21" t="s">
        <v>2283</v>
      </c>
      <c r="B753" s="22" t="s">
        <v>663</v>
      </c>
      <c r="C753" s="22" t="s">
        <v>2223</v>
      </c>
      <c r="D753" s="22" t="s">
        <v>2224</v>
      </c>
      <c r="E753" s="23" t="s">
        <v>63</v>
      </c>
      <c r="F753" s="23" t="s">
        <v>2225</v>
      </c>
      <c r="G753" s="23" t="s">
        <v>2284</v>
      </c>
      <c r="H753" s="23" t="s">
        <v>2285</v>
      </c>
      <c r="I753" s="22" t="s">
        <v>2286</v>
      </c>
      <c r="J753" s="22" t="s">
        <v>2287</v>
      </c>
      <c r="N753" s="22" t="s">
        <v>2288</v>
      </c>
      <c r="O753" s="22" t="s">
        <v>2229</v>
      </c>
      <c r="P753" s="21">
        <v>80220</v>
      </c>
      <c r="Q753" s="22">
        <v>23</v>
      </c>
      <c r="R753" s="22">
        <v>23</v>
      </c>
      <c r="S753" s="22">
        <v>23</v>
      </c>
      <c r="T753" s="22" t="s">
        <v>281</v>
      </c>
      <c r="U753" s="21">
        <v>1</v>
      </c>
      <c r="V753" s="22">
        <v>1</v>
      </c>
      <c r="W753" s="24">
        <f t="shared" si="108"/>
        <v>5178.2235861748914</v>
      </c>
      <c r="X753" s="24">
        <f t="shared" si="109"/>
        <v>6367.3966666666674</v>
      </c>
      <c r="Y753" s="22">
        <v>1</v>
      </c>
      <c r="Z753" s="24">
        <f t="shared" si="103"/>
        <v>5178.2235861748914</v>
      </c>
      <c r="AA753" s="24">
        <f t="shared" si="104"/>
        <v>6367.3966666666674</v>
      </c>
      <c r="AF753" s="21" t="s">
        <v>247</v>
      </c>
      <c r="AJ753" s="21">
        <v>6370.6</v>
      </c>
      <c r="AK753" s="21">
        <v>23</v>
      </c>
      <c r="AL753" s="22" t="s">
        <v>161</v>
      </c>
      <c r="AM753" s="22">
        <v>0.16</v>
      </c>
      <c r="AO753" s="22" t="s">
        <v>2289</v>
      </c>
      <c r="AP753" s="22" t="s">
        <v>673</v>
      </c>
      <c r="AQ753" s="22" t="str">
        <f t="shared" si="105"/>
        <v>Microphytoplankton</v>
      </c>
      <c r="AR753" s="22">
        <v>1</v>
      </c>
      <c r="AS753" s="22">
        <v>1</v>
      </c>
      <c r="AT753" s="22">
        <v>0</v>
      </c>
      <c r="AU753" s="22">
        <v>0</v>
      </c>
      <c r="AV753" s="22">
        <v>0</v>
      </c>
      <c r="AW753" s="22">
        <v>0</v>
      </c>
      <c r="AX753" s="22">
        <v>0</v>
      </c>
      <c r="AY753" s="22">
        <v>1</v>
      </c>
      <c r="AZ753" s="22">
        <v>0</v>
      </c>
      <c r="BA753" s="22">
        <v>0</v>
      </c>
      <c r="BB753" s="22">
        <v>1</v>
      </c>
      <c r="BC753" s="22">
        <v>1</v>
      </c>
      <c r="BD753" s="22">
        <v>6</v>
      </c>
      <c r="BE753" s="22">
        <v>2</v>
      </c>
    </row>
    <row r="754" spans="1:57">
      <c r="A754" s="21" t="s">
        <v>2290</v>
      </c>
      <c r="B754" s="22" t="s">
        <v>663</v>
      </c>
      <c r="C754" s="22" t="s">
        <v>2223</v>
      </c>
      <c r="D754" s="22" t="s">
        <v>2224</v>
      </c>
      <c r="E754" s="23" t="s">
        <v>63</v>
      </c>
      <c r="F754" s="23" t="s">
        <v>2225</v>
      </c>
      <c r="G754" s="23" t="s">
        <v>2284</v>
      </c>
      <c r="H754" s="23" t="s">
        <v>2285</v>
      </c>
      <c r="I754" s="22" t="s">
        <v>2286</v>
      </c>
      <c r="J754" s="22" t="s">
        <v>211</v>
      </c>
      <c r="M754" s="22" t="s">
        <v>1</v>
      </c>
      <c r="N754" s="22" t="s">
        <v>2291</v>
      </c>
      <c r="O754" s="22" t="s">
        <v>2229</v>
      </c>
      <c r="P754" s="21">
        <v>80221</v>
      </c>
      <c r="Q754" s="22">
        <v>15</v>
      </c>
      <c r="R754" s="22">
        <v>11</v>
      </c>
      <c r="S754" s="22">
        <v>11</v>
      </c>
      <c r="T754" s="22" t="s">
        <v>281</v>
      </c>
      <c r="U754" s="21">
        <v>1</v>
      </c>
      <c r="V754" s="22">
        <v>1</v>
      </c>
      <c r="W754" s="24">
        <f t="shared" si="108"/>
        <v>1621.6502539499531</v>
      </c>
      <c r="X754" s="24">
        <f t="shared" si="109"/>
        <v>949.84999999999991</v>
      </c>
      <c r="Y754" s="22">
        <v>1</v>
      </c>
      <c r="Z754" s="24">
        <f t="shared" si="103"/>
        <v>1621.6502539499531</v>
      </c>
      <c r="AA754" s="24">
        <f t="shared" si="104"/>
        <v>949.84999999999991</v>
      </c>
      <c r="AF754" s="21" t="s">
        <v>247</v>
      </c>
      <c r="AJ754" s="21">
        <v>955.9000000000002</v>
      </c>
      <c r="AK754" s="21">
        <v>15</v>
      </c>
      <c r="AL754" s="22" t="s">
        <v>161</v>
      </c>
      <c r="AM754" s="22">
        <v>0.16</v>
      </c>
      <c r="AO754" s="22" t="s">
        <v>2289</v>
      </c>
      <c r="AP754" s="22" t="s">
        <v>673</v>
      </c>
      <c r="AQ754" s="22" t="str">
        <f t="shared" si="105"/>
        <v>Nanophytoplankton</v>
      </c>
      <c r="AR754" s="22">
        <v>1</v>
      </c>
      <c r="AS754" s="22">
        <v>1</v>
      </c>
      <c r="AT754" s="22">
        <v>0</v>
      </c>
      <c r="AU754" s="22">
        <v>0</v>
      </c>
      <c r="AV754" s="22">
        <v>0</v>
      </c>
      <c r="AW754" s="22">
        <v>0</v>
      </c>
      <c r="AX754" s="22">
        <v>0</v>
      </c>
      <c r="AY754" s="22">
        <v>1</v>
      </c>
    </row>
    <row r="755" spans="1:57">
      <c r="A755" s="21" t="s">
        <v>2292</v>
      </c>
      <c r="B755" s="22" t="s">
        <v>663</v>
      </c>
      <c r="C755" s="22" t="s">
        <v>2223</v>
      </c>
      <c r="D755" s="22" t="s">
        <v>2224</v>
      </c>
      <c r="E755" s="23" t="s">
        <v>63</v>
      </c>
      <c r="F755" s="23" t="s">
        <v>2225</v>
      </c>
      <c r="G755" s="23" t="s">
        <v>2284</v>
      </c>
      <c r="H755" s="23" t="s">
        <v>2285</v>
      </c>
      <c r="I755" s="22" t="s">
        <v>2286</v>
      </c>
      <c r="J755" s="22" t="s">
        <v>2293</v>
      </c>
      <c r="N755" s="22" t="s">
        <v>2294</v>
      </c>
      <c r="O755" s="22" t="s">
        <v>2229</v>
      </c>
      <c r="P755" s="21">
        <v>80222</v>
      </c>
      <c r="Q755" s="22">
        <v>12</v>
      </c>
      <c r="R755" s="22">
        <v>7.5</v>
      </c>
      <c r="S755" s="22">
        <v>7.5</v>
      </c>
      <c r="T755" s="22" t="s">
        <v>281</v>
      </c>
      <c r="U755" s="21">
        <v>1</v>
      </c>
      <c r="V755" s="22">
        <v>1</v>
      </c>
      <c r="W755" s="24">
        <f t="shared" si="108"/>
        <v>887.60742832100368</v>
      </c>
      <c r="X755" s="24">
        <f t="shared" si="109"/>
        <v>353.24999999999994</v>
      </c>
      <c r="Y755" s="22">
        <v>1</v>
      </c>
      <c r="Z755" s="24">
        <f t="shared" si="103"/>
        <v>887.60742832100368</v>
      </c>
      <c r="AA755" s="24">
        <f t="shared" si="104"/>
        <v>353.24999999999994</v>
      </c>
      <c r="AF755" s="21"/>
      <c r="AJ755" s="21">
        <v>353.24999999999994</v>
      </c>
      <c r="AK755" s="21">
        <v>12</v>
      </c>
      <c r="AL755" s="22" t="s">
        <v>161</v>
      </c>
      <c r="AM755" s="22">
        <v>0.16</v>
      </c>
      <c r="AO755" s="22" t="s">
        <v>2289</v>
      </c>
      <c r="AP755" s="22" t="s">
        <v>673</v>
      </c>
      <c r="AQ755" s="22" t="str">
        <f t="shared" si="105"/>
        <v>Nanophytoplankton</v>
      </c>
      <c r="AR755" s="22">
        <v>1</v>
      </c>
      <c r="AS755" s="22">
        <v>1</v>
      </c>
      <c r="AT755" s="22">
        <v>0</v>
      </c>
      <c r="AU755" s="22">
        <v>0</v>
      </c>
      <c r="AV755" s="22">
        <v>0</v>
      </c>
      <c r="AW755" s="22">
        <v>0</v>
      </c>
      <c r="AX755" s="22">
        <v>0</v>
      </c>
      <c r="AY755" s="22">
        <v>1</v>
      </c>
    </row>
    <row r="756" spans="1:57">
      <c r="A756" s="39" t="s">
        <v>2295</v>
      </c>
      <c r="B756" s="22" t="s">
        <v>663</v>
      </c>
      <c r="C756" s="22" t="s">
        <v>2223</v>
      </c>
      <c r="D756" s="22" t="s">
        <v>2224</v>
      </c>
      <c r="E756" s="23" t="s">
        <v>63</v>
      </c>
      <c r="F756" s="23" t="s">
        <v>2225</v>
      </c>
      <c r="G756" s="23" t="s">
        <v>2296</v>
      </c>
      <c r="H756" s="23" t="s">
        <v>2297</v>
      </c>
      <c r="I756" s="22" t="s">
        <v>2298</v>
      </c>
      <c r="J756" s="22" t="s">
        <v>211</v>
      </c>
      <c r="M756" s="22" t="s">
        <v>1</v>
      </c>
      <c r="N756" s="22" t="s">
        <v>2299</v>
      </c>
      <c r="O756" s="22" t="s">
        <v>2229</v>
      </c>
      <c r="P756" s="22">
        <v>83255</v>
      </c>
      <c r="Q756" s="21">
        <v>10</v>
      </c>
      <c r="R756" s="21">
        <v>10</v>
      </c>
      <c r="S756" s="21">
        <v>10</v>
      </c>
      <c r="T756" s="21" t="s">
        <v>281</v>
      </c>
      <c r="U756" s="21">
        <v>1</v>
      </c>
      <c r="V756" s="21"/>
      <c r="W756" s="24" t="e">
        <f t="shared" si="108"/>
        <v>#DIV/0!</v>
      </c>
      <c r="X756" s="24">
        <f t="shared" si="109"/>
        <v>523.33333333333337</v>
      </c>
      <c r="Y756" s="21">
        <v>4</v>
      </c>
      <c r="Z756" s="24" t="e">
        <f t="shared" si="103"/>
        <v>#DIV/0!</v>
      </c>
      <c r="AA756" s="24">
        <f t="shared" si="104"/>
        <v>2093.3333333333335</v>
      </c>
      <c r="AB756" s="21">
        <v>50</v>
      </c>
      <c r="AC756" s="21">
        <v>50</v>
      </c>
      <c r="AD756" s="21">
        <v>50</v>
      </c>
      <c r="AE756" s="21" t="s">
        <v>159</v>
      </c>
      <c r="AF756" s="21">
        <v>0.5</v>
      </c>
      <c r="AG756" s="21">
        <v>1</v>
      </c>
      <c r="AH756" s="24">
        <f>(4*3.14*(((AB756^1.6*AC756^1.6+AB756^1.6*AD756^1.6+AC756^1.6+AD756^1.6)/3)^(1/1.6)))*(1/AG756)</f>
        <v>24400.082151651244</v>
      </c>
      <c r="AI756" s="24">
        <f>3.14/6*AB756*AC756*AD756*AF756</f>
        <v>32708.333333333332</v>
      </c>
      <c r="AJ756" s="21">
        <v>1500</v>
      </c>
      <c r="AK756" s="21">
        <v>50</v>
      </c>
      <c r="AL756" s="22" t="s">
        <v>161</v>
      </c>
      <c r="AM756" s="22">
        <v>0.16</v>
      </c>
      <c r="AQ756" s="22" t="str">
        <f t="shared" si="105"/>
        <v>Microphytoplankton</v>
      </c>
      <c r="AR756" s="22">
        <v>1</v>
      </c>
      <c r="AS756" s="22">
        <v>1</v>
      </c>
      <c r="AT756" s="22">
        <v>0</v>
      </c>
      <c r="AU756" s="22">
        <v>0</v>
      </c>
      <c r="AV756" s="22">
        <v>0</v>
      </c>
      <c r="AW756" s="22">
        <v>0</v>
      </c>
      <c r="AX756" s="22">
        <v>0</v>
      </c>
      <c r="AY756" s="22">
        <v>1</v>
      </c>
    </row>
    <row r="757" spans="1:57">
      <c r="A757" s="21" t="s">
        <v>2300</v>
      </c>
      <c r="B757" s="22" t="s">
        <v>663</v>
      </c>
      <c r="C757" s="22" t="s">
        <v>2223</v>
      </c>
      <c r="D757" s="22" t="s">
        <v>2224</v>
      </c>
      <c r="E757" s="23" t="s">
        <v>63</v>
      </c>
      <c r="F757" s="23" t="s">
        <v>2225</v>
      </c>
      <c r="G757" s="23" t="s">
        <v>2226</v>
      </c>
      <c r="H757" s="22" t="s">
        <v>2253</v>
      </c>
      <c r="I757" s="22" t="s">
        <v>2301</v>
      </c>
      <c r="J757" s="22" t="s">
        <v>211</v>
      </c>
      <c r="K757" s="38"/>
      <c r="L757" s="38"/>
      <c r="M757" s="22" t="s">
        <v>1</v>
      </c>
      <c r="O757" s="22" t="s">
        <v>2229</v>
      </c>
      <c r="P757" s="22">
        <v>86400</v>
      </c>
      <c r="Q757" s="22">
        <v>4.4000000000000004</v>
      </c>
      <c r="R757" s="22">
        <v>2</v>
      </c>
      <c r="S757" s="22">
        <v>2</v>
      </c>
      <c r="T757" s="22" t="s">
        <v>281</v>
      </c>
      <c r="U757" s="21">
        <v>1</v>
      </c>
      <c r="V757" s="22">
        <v>1</v>
      </c>
      <c r="W757" s="24">
        <f t="shared" si="108"/>
        <v>90.7108157886843</v>
      </c>
      <c r="X757" s="24">
        <f t="shared" si="109"/>
        <v>9.2106666666666666</v>
      </c>
      <c r="Y757" s="22">
        <v>1</v>
      </c>
      <c r="Z757" s="24">
        <f t="shared" si="103"/>
        <v>90.7108157886843</v>
      </c>
      <c r="AA757" s="24">
        <f t="shared" si="104"/>
        <v>9.2106666666666666</v>
      </c>
      <c r="AF757" s="21" t="s">
        <v>247</v>
      </c>
      <c r="AJ757" s="21">
        <v>9.1999999999999993</v>
      </c>
      <c r="AK757" s="21">
        <v>4.4000000000000004</v>
      </c>
      <c r="AL757" s="22" t="s">
        <v>161</v>
      </c>
      <c r="AM757" s="22">
        <v>0.16</v>
      </c>
      <c r="AN757" s="38" t="s">
        <v>2257</v>
      </c>
      <c r="AO757" s="38" t="s">
        <v>2257</v>
      </c>
      <c r="AP757" s="22" t="s">
        <v>626</v>
      </c>
      <c r="AQ757" s="22" t="str">
        <f t="shared" si="105"/>
        <v>Nanophytoplankton</v>
      </c>
      <c r="AR757" s="22">
        <v>0</v>
      </c>
      <c r="AS757" s="22">
        <v>0</v>
      </c>
      <c r="AT757" s="22">
        <v>0</v>
      </c>
      <c r="AU757" s="22">
        <v>0</v>
      </c>
      <c r="AV757" s="22">
        <v>0</v>
      </c>
      <c r="AW757" s="22">
        <v>0</v>
      </c>
      <c r="AX757" s="22">
        <v>0</v>
      </c>
      <c r="AY757" s="22">
        <v>1</v>
      </c>
    </row>
    <row r="758" spans="1:57">
      <c r="A758" s="22" t="s">
        <v>2302</v>
      </c>
      <c r="B758" s="22" t="s">
        <v>663</v>
      </c>
      <c r="C758" s="22" t="s">
        <v>2223</v>
      </c>
      <c r="D758" s="22" t="s">
        <v>2224</v>
      </c>
      <c r="E758" s="23" t="s">
        <v>63</v>
      </c>
      <c r="F758" s="23" t="s">
        <v>2225</v>
      </c>
      <c r="G758" s="23" t="s">
        <v>2226</v>
      </c>
      <c r="H758" s="23" t="s">
        <v>2303</v>
      </c>
      <c r="I758" s="23" t="s">
        <v>2304</v>
      </c>
      <c r="J758" s="22" t="s">
        <v>2305</v>
      </c>
      <c r="N758" s="22" t="s">
        <v>2306</v>
      </c>
      <c r="O758" s="22" t="s">
        <v>2229</v>
      </c>
      <c r="P758" s="22">
        <v>84312</v>
      </c>
      <c r="Q758" s="22">
        <v>8</v>
      </c>
      <c r="R758" s="22">
        <v>4</v>
      </c>
      <c r="S758" s="22">
        <v>4</v>
      </c>
      <c r="T758" s="22" t="s">
        <v>281</v>
      </c>
      <c r="U758" s="21">
        <v>1</v>
      </c>
      <c r="V758" s="22">
        <v>1</v>
      </c>
      <c r="W758" s="24">
        <f t="shared" si="108"/>
        <v>318.9006424569489</v>
      </c>
      <c r="X758" s="24">
        <f t="shared" si="109"/>
        <v>66.986666666666665</v>
      </c>
      <c r="Y758" s="22">
        <v>8</v>
      </c>
      <c r="Z758" s="24">
        <f t="shared" si="103"/>
        <v>2551.2051396555912</v>
      </c>
      <c r="AA758" s="24">
        <f t="shared" si="104"/>
        <v>535.89333333333332</v>
      </c>
      <c r="AF758" s="21" t="s">
        <v>247</v>
      </c>
      <c r="AJ758" s="21">
        <v>535.89333333333332</v>
      </c>
      <c r="AK758" s="21">
        <v>32</v>
      </c>
      <c r="AL758" s="22" t="s">
        <v>161</v>
      </c>
      <c r="AM758" s="22">
        <v>0.16</v>
      </c>
      <c r="AQ758" s="22" t="str">
        <f t="shared" si="105"/>
        <v>Microphytoplankton</v>
      </c>
      <c r="AR758" s="22">
        <v>0</v>
      </c>
      <c r="AS758" s="22">
        <v>0</v>
      </c>
      <c r="AT758" s="22">
        <v>0</v>
      </c>
      <c r="AU758" s="22">
        <v>0</v>
      </c>
      <c r="AV758" s="22">
        <v>0</v>
      </c>
      <c r="AW758" s="22">
        <v>0</v>
      </c>
      <c r="AX758" s="22">
        <v>0</v>
      </c>
      <c r="AY758" s="22">
        <v>1</v>
      </c>
    </row>
    <row r="759" spans="1:57">
      <c r="A759" s="22" t="s">
        <v>2307</v>
      </c>
      <c r="B759" s="22" t="s">
        <v>663</v>
      </c>
      <c r="C759" s="22" t="s">
        <v>2223</v>
      </c>
      <c r="D759" s="22" t="s">
        <v>2224</v>
      </c>
      <c r="E759" s="23" t="s">
        <v>63</v>
      </c>
      <c r="F759" s="23" t="s">
        <v>2225</v>
      </c>
      <c r="G759" s="23" t="s">
        <v>2226</v>
      </c>
      <c r="H759" s="38" t="s">
        <v>2303</v>
      </c>
      <c r="I759" s="22" t="s">
        <v>2308</v>
      </c>
      <c r="J759" s="22" t="s">
        <v>2309</v>
      </c>
      <c r="N759" s="22" t="s">
        <v>228</v>
      </c>
      <c r="O759" s="22" t="s">
        <v>2229</v>
      </c>
      <c r="P759" s="22">
        <v>89800</v>
      </c>
      <c r="Q759" s="21">
        <v>7</v>
      </c>
      <c r="R759" s="21">
        <v>7</v>
      </c>
      <c r="S759" s="21">
        <v>7</v>
      </c>
      <c r="T759" s="21" t="s">
        <v>281</v>
      </c>
      <c r="U759" s="21">
        <v>1</v>
      </c>
      <c r="V759" s="21"/>
      <c r="W759" s="24" t="e">
        <f t="shared" si="108"/>
        <v>#DIV/0!</v>
      </c>
      <c r="X759" s="24">
        <f t="shared" si="109"/>
        <v>179.50333333333333</v>
      </c>
      <c r="Y759" s="21">
        <v>8</v>
      </c>
      <c r="Z759" s="24" t="e">
        <f t="shared" si="103"/>
        <v>#DIV/0!</v>
      </c>
      <c r="AA759" s="24">
        <f t="shared" si="104"/>
        <v>1436.0266666666666</v>
      </c>
      <c r="AB759" s="21">
        <v>40</v>
      </c>
      <c r="AC759" s="21">
        <v>40</v>
      </c>
      <c r="AD759" s="21">
        <v>40</v>
      </c>
      <c r="AE759" s="21" t="s">
        <v>159</v>
      </c>
      <c r="AF759" s="21">
        <v>0.5</v>
      </c>
      <c r="AG759" s="21">
        <v>1</v>
      </c>
      <c r="AH759" s="24">
        <f>(4*3.14*(((AB759^1.6*AC759^1.6+AB759^1.6*AD759^1.6+AC759^1.6+AD759^1.6)/3)^(1/1.6)))*(1/AG759)</f>
        <v>15624.046118762988</v>
      </c>
      <c r="AI759" s="24">
        <f>3.14/6*AB759*AC759*AD759*AF759</f>
        <v>16746.666666666668</v>
      </c>
      <c r="AJ759" s="21">
        <v>44680</v>
      </c>
      <c r="AK759" s="21">
        <v>40</v>
      </c>
      <c r="AL759" s="22" t="s">
        <v>161</v>
      </c>
      <c r="AM759" s="22">
        <v>0.16</v>
      </c>
      <c r="AN759" s="22" t="s">
        <v>2282</v>
      </c>
      <c r="AO759" s="22" t="s">
        <v>2282</v>
      </c>
      <c r="AP759" s="22" t="s">
        <v>230</v>
      </c>
      <c r="AQ759" s="22" t="str">
        <f t="shared" si="105"/>
        <v>Microphytoplankton</v>
      </c>
      <c r="AR759" s="22">
        <v>0</v>
      </c>
      <c r="AS759" s="22">
        <v>0</v>
      </c>
      <c r="AT759" s="22">
        <v>0</v>
      </c>
      <c r="AU759" s="22">
        <v>1</v>
      </c>
      <c r="AV759" s="22">
        <v>0</v>
      </c>
      <c r="AW759" s="22">
        <v>0</v>
      </c>
      <c r="AX759" s="22">
        <v>0</v>
      </c>
      <c r="AY759" s="22">
        <v>1</v>
      </c>
    </row>
    <row r="760" spans="1:57">
      <c r="A760" s="21" t="s">
        <v>2310</v>
      </c>
      <c r="B760" s="22" t="s">
        <v>663</v>
      </c>
      <c r="C760" s="22" t="s">
        <v>2223</v>
      </c>
      <c r="D760" s="22" t="s">
        <v>2224</v>
      </c>
      <c r="E760" s="23" t="s">
        <v>63</v>
      </c>
      <c r="F760" s="23" t="s">
        <v>2225</v>
      </c>
      <c r="G760" s="23" t="s">
        <v>2226</v>
      </c>
      <c r="H760" s="22" t="s">
        <v>2311</v>
      </c>
      <c r="I760" s="22" t="s">
        <v>2312</v>
      </c>
      <c r="J760" s="22" t="s">
        <v>211</v>
      </c>
      <c r="M760" s="22" t="s">
        <v>1</v>
      </c>
      <c r="O760" s="22" t="s">
        <v>2229</v>
      </c>
      <c r="P760" s="22">
        <v>89600</v>
      </c>
      <c r="Q760" s="21">
        <v>10</v>
      </c>
      <c r="R760" s="21">
        <v>10</v>
      </c>
      <c r="S760" s="21">
        <v>10</v>
      </c>
      <c r="T760" s="21" t="s">
        <v>281</v>
      </c>
      <c r="U760" s="21">
        <v>1</v>
      </c>
      <c r="V760" s="22">
        <v>1</v>
      </c>
      <c r="W760" s="24">
        <f t="shared" si="108"/>
        <v>990.0713501282612</v>
      </c>
      <c r="X760" s="24">
        <f t="shared" si="109"/>
        <v>523.33333333333337</v>
      </c>
      <c r="Y760" s="21">
        <v>1</v>
      </c>
      <c r="Z760" s="24">
        <f t="shared" si="103"/>
        <v>990.0713501282612</v>
      </c>
      <c r="AA760" s="24">
        <f t="shared" si="104"/>
        <v>523.33333333333337</v>
      </c>
      <c r="AB760" s="21"/>
      <c r="AC760" s="21"/>
      <c r="AD760" s="21"/>
      <c r="AE760" s="21"/>
      <c r="AF760" s="21" t="s">
        <v>247</v>
      </c>
      <c r="AG760" s="21"/>
      <c r="AH760" s="24"/>
      <c r="AI760" s="24"/>
      <c r="AJ760" s="21">
        <v>523.6</v>
      </c>
      <c r="AK760" s="21">
        <v>22</v>
      </c>
      <c r="AL760" s="22" t="s">
        <v>161</v>
      </c>
      <c r="AM760" s="22">
        <v>0.16</v>
      </c>
      <c r="AP760" s="22" t="s">
        <v>230</v>
      </c>
      <c r="AQ760" s="22" t="str">
        <f t="shared" si="105"/>
        <v>Microphytoplankton</v>
      </c>
      <c r="AR760" s="22">
        <v>0</v>
      </c>
      <c r="AS760" s="22">
        <v>0</v>
      </c>
      <c r="AT760" s="22">
        <v>0</v>
      </c>
      <c r="AU760" s="22">
        <v>1</v>
      </c>
      <c r="AV760" s="22">
        <v>0</v>
      </c>
      <c r="AW760" s="22">
        <v>0</v>
      </c>
      <c r="AX760" s="22">
        <v>0</v>
      </c>
      <c r="AY760" s="22">
        <v>1</v>
      </c>
    </row>
    <row r="761" spans="1:57">
      <c r="A761" s="39" t="s">
        <v>2313</v>
      </c>
      <c r="B761" s="22" t="s">
        <v>663</v>
      </c>
      <c r="C761" s="22" t="s">
        <v>2223</v>
      </c>
      <c r="D761" s="22" t="s">
        <v>2224</v>
      </c>
      <c r="E761" s="23" t="s">
        <v>63</v>
      </c>
      <c r="F761" s="23" t="s">
        <v>2225</v>
      </c>
      <c r="G761" s="23" t="s">
        <v>2226</v>
      </c>
      <c r="H761" s="22" t="s">
        <v>2311</v>
      </c>
      <c r="I761" s="22" t="s">
        <v>2314</v>
      </c>
      <c r="J761" s="22" t="s">
        <v>211</v>
      </c>
      <c r="M761" s="22" t="s">
        <v>1</v>
      </c>
      <c r="O761" s="22" t="s">
        <v>2229</v>
      </c>
      <c r="P761" s="21">
        <v>89601</v>
      </c>
      <c r="Q761" s="21">
        <v>15</v>
      </c>
      <c r="R761" s="21">
        <v>15</v>
      </c>
      <c r="S761" s="21">
        <v>15</v>
      </c>
      <c r="T761" s="21" t="s">
        <v>281</v>
      </c>
      <c r="U761" s="21">
        <v>1</v>
      </c>
      <c r="V761" s="22">
        <v>1</v>
      </c>
      <c r="W761" s="24">
        <f t="shared" si="108"/>
        <v>2211.3412553863004</v>
      </c>
      <c r="X761" s="24">
        <f t="shared" si="109"/>
        <v>1766.25</v>
      </c>
      <c r="Y761" s="21">
        <v>1</v>
      </c>
      <c r="Z761" s="24">
        <f t="shared" si="103"/>
        <v>2211.3412553863004</v>
      </c>
      <c r="AA761" s="24">
        <f t="shared" si="104"/>
        <v>1766.25</v>
      </c>
      <c r="AB761" s="21"/>
      <c r="AC761" s="21"/>
      <c r="AD761" s="21"/>
      <c r="AE761" s="21"/>
      <c r="AF761" s="21" t="s">
        <v>247</v>
      </c>
      <c r="AG761" s="21"/>
      <c r="AH761" s="24"/>
      <c r="AI761" s="24"/>
      <c r="AJ761" s="21">
        <v>1767</v>
      </c>
      <c r="AK761" s="21">
        <v>100</v>
      </c>
      <c r="AL761" s="22" t="s">
        <v>161</v>
      </c>
      <c r="AM761" s="22">
        <v>0.16</v>
      </c>
      <c r="AP761" s="22" t="s">
        <v>230</v>
      </c>
      <c r="AQ761" s="22" t="str">
        <f t="shared" si="105"/>
        <v>Microphytoplankton</v>
      </c>
      <c r="AR761" s="22">
        <v>0</v>
      </c>
      <c r="AS761" s="22">
        <v>0</v>
      </c>
      <c r="AT761" s="22">
        <v>0</v>
      </c>
      <c r="AU761" s="22">
        <v>1</v>
      </c>
      <c r="AV761" s="22">
        <v>0</v>
      </c>
      <c r="AW761" s="22">
        <v>0</v>
      </c>
      <c r="AX761" s="22">
        <v>0</v>
      </c>
      <c r="AY761" s="22">
        <v>1</v>
      </c>
    </row>
    <row r="762" spans="1:57">
      <c r="A762" s="39" t="s">
        <v>2315</v>
      </c>
      <c r="B762" s="22" t="s">
        <v>663</v>
      </c>
      <c r="C762" s="22" t="s">
        <v>2223</v>
      </c>
      <c r="D762" s="22" t="s">
        <v>2224</v>
      </c>
      <c r="E762" s="23" t="s">
        <v>63</v>
      </c>
      <c r="F762" s="23" t="s">
        <v>2225</v>
      </c>
      <c r="G762" s="23" t="s">
        <v>2226</v>
      </c>
      <c r="H762" s="22" t="s">
        <v>2311</v>
      </c>
      <c r="I762" s="22" t="s">
        <v>2316</v>
      </c>
      <c r="J762" s="22" t="s">
        <v>211</v>
      </c>
      <c r="M762" s="22" t="s">
        <v>1</v>
      </c>
      <c r="N762" s="22" t="s">
        <v>1861</v>
      </c>
      <c r="O762" s="22" t="s">
        <v>2229</v>
      </c>
      <c r="P762" s="21">
        <v>89602</v>
      </c>
      <c r="Q762" s="21">
        <v>5</v>
      </c>
      <c r="R762" s="21">
        <v>5</v>
      </c>
      <c r="S762" s="21">
        <v>5</v>
      </c>
      <c r="T762" s="21" t="s">
        <v>281</v>
      </c>
      <c r="U762" s="21">
        <v>1</v>
      </c>
      <c r="V762" s="22">
        <v>1</v>
      </c>
      <c r="W762" s="24">
        <f t="shared" si="108"/>
        <v>255.14798814971115</v>
      </c>
      <c r="X762" s="24">
        <f t="shared" si="109"/>
        <v>65.416666666666671</v>
      </c>
      <c r="Y762" s="21">
        <v>10</v>
      </c>
      <c r="Z762" s="24">
        <f t="shared" si="103"/>
        <v>2551.4798814971114</v>
      </c>
      <c r="AA762" s="24">
        <f t="shared" si="104"/>
        <v>654.16666666666674</v>
      </c>
      <c r="AB762" s="21">
        <v>25</v>
      </c>
      <c r="AC762" s="21">
        <v>25</v>
      </c>
      <c r="AD762" s="21">
        <v>25</v>
      </c>
      <c r="AE762" s="21" t="s">
        <v>281</v>
      </c>
      <c r="AF762" s="21">
        <v>0.4</v>
      </c>
      <c r="AG762" s="21">
        <v>1</v>
      </c>
      <c r="AH762" s="24">
        <f>(4*3.14*(((AB762^1.6*AC762^1.6+AB762^1.6*AD762^1.6+AC762^1.6+AD762^1.6)/3)^(1/1.6)))*(1/AG762)</f>
        <v>6114.7951676261209</v>
      </c>
      <c r="AI762" s="24">
        <f>3.14/6*AB762*AC762*AD762*AF762</f>
        <v>3270.8333333333335</v>
      </c>
      <c r="AJ762" s="21">
        <v>65.416666666666671</v>
      </c>
      <c r="AK762" s="21">
        <v>5</v>
      </c>
      <c r="AL762" s="22" t="s">
        <v>2317</v>
      </c>
      <c r="AM762" s="22">
        <v>0.16</v>
      </c>
      <c r="AP762" s="22" t="s">
        <v>230</v>
      </c>
      <c r="AQ762" s="22" t="str">
        <f t="shared" si="105"/>
        <v>Nanophytoplankton</v>
      </c>
      <c r="AR762" s="22">
        <v>0</v>
      </c>
      <c r="AS762" s="22">
        <v>0</v>
      </c>
      <c r="AT762" s="22">
        <v>0</v>
      </c>
      <c r="AU762" s="22">
        <v>1</v>
      </c>
      <c r="AV762" s="22">
        <v>0</v>
      </c>
      <c r="AW762" s="22">
        <v>0</v>
      </c>
      <c r="AX762" s="22">
        <v>0</v>
      </c>
      <c r="AY762" s="22">
        <v>1</v>
      </c>
    </row>
    <row r="763" spans="1:57">
      <c r="A763" s="22" t="s">
        <v>2318</v>
      </c>
      <c r="B763" s="22" t="s">
        <v>663</v>
      </c>
      <c r="C763" s="22" t="s">
        <v>2223</v>
      </c>
      <c r="D763" s="22" t="s">
        <v>2224</v>
      </c>
      <c r="E763" s="23" t="s">
        <v>63</v>
      </c>
      <c r="F763" s="23" t="s">
        <v>2225</v>
      </c>
      <c r="G763" s="23" t="s">
        <v>2226</v>
      </c>
      <c r="H763" s="23" t="s">
        <v>2319</v>
      </c>
      <c r="I763" s="23" t="s">
        <v>2320</v>
      </c>
      <c r="J763" s="22" t="s">
        <v>2321</v>
      </c>
      <c r="N763" s="22" t="s">
        <v>2322</v>
      </c>
      <c r="O763" s="22" t="s">
        <v>2229</v>
      </c>
      <c r="P763" s="22">
        <v>82700</v>
      </c>
      <c r="Q763" s="22">
        <v>30</v>
      </c>
      <c r="R763" s="22">
        <v>6</v>
      </c>
      <c r="S763" s="22">
        <v>6</v>
      </c>
      <c r="T763" s="22" t="s">
        <v>874</v>
      </c>
      <c r="U763" s="21">
        <v>0.9</v>
      </c>
      <c r="V763" s="22">
        <v>0.9</v>
      </c>
      <c r="W763" s="24">
        <f t="shared" si="108"/>
        <v>1954.9501544993077</v>
      </c>
      <c r="X763" s="24">
        <f>3.14/12*R763*S763*Q763*U763</f>
        <v>254.33999999999997</v>
      </c>
      <c r="Y763" s="22">
        <v>2</v>
      </c>
      <c r="Z763" s="24">
        <f t="shared" si="103"/>
        <v>3909.9003089986154</v>
      </c>
      <c r="AA763" s="24">
        <f t="shared" si="104"/>
        <v>508.67999999999995</v>
      </c>
      <c r="AB763" s="22">
        <v>60</v>
      </c>
      <c r="AC763" s="22">
        <v>6</v>
      </c>
      <c r="AD763" s="22">
        <v>6</v>
      </c>
      <c r="AE763" s="22" t="s">
        <v>159</v>
      </c>
      <c r="AF763" s="21">
        <v>0.5</v>
      </c>
      <c r="AG763" s="22">
        <v>1</v>
      </c>
      <c r="AH763" s="24">
        <f>(4*3.14*(((AB763^1.6*AC763^1.6+AB763^1.6*AD763^1.6+AC763^1.6+AD763^1.6)/3)^(1/1.6)))*(1/AG763)</f>
        <v>3512.5510065363915</v>
      </c>
      <c r="AI763" s="24">
        <f>3.14/6*AB763*AC763*AD763*AF763</f>
        <v>565.19999999999993</v>
      </c>
      <c r="AJ763" s="21">
        <v>565.20000000000005</v>
      </c>
      <c r="AK763" s="21">
        <v>60</v>
      </c>
      <c r="AL763" s="22" t="s">
        <v>161</v>
      </c>
      <c r="AM763" s="22">
        <v>0.16</v>
      </c>
      <c r="AP763" s="22" t="s">
        <v>162</v>
      </c>
      <c r="AQ763" s="22" t="str">
        <f t="shared" si="105"/>
        <v>Microphytoplankton</v>
      </c>
      <c r="AR763" s="22">
        <v>0</v>
      </c>
      <c r="AS763" s="22">
        <v>0</v>
      </c>
      <c r="AT763" s="22">
        <v>0</v>
      </c>
      <c r="AU763" s="22">
        <v>0</v>
      </c>
      <c r="AV763" s="22">
        <v>0</v>
      </c>
      <c r="AW763" s="22">
        <v>0</v>
      </c>
      <c r="AX763" s="22">
        <v>0</v>
      </c>
      <c r="AY763" s="22">
        <v>1</v>
      </c>
    </row>
    <row r="764" spans="1:57">
      <c r="A764" s="22" t="s">
        <v>2323</v>
      </c>
      <c r="B764" s="22" t="s">
        <v>663</v>
      </c>
      <c r="C764" s="22" t="s">
        <v>2223</v>
      </c>
      <c r="D764" s="22" t="s">
        <v>2224</v>
      </c>
      <c r="E764" s="23" t="s">
        <v>63</v>
      </c>
      <c r="F764" s="23" t="s">
        <v>2225</v>
      </c>
      <c r="G764" s="23" t="s">
        <v>2226</v>
      </c>
      <c r="H764" s="22" t="s">
        <v>2267</v>
      </c>
      <c r="M764" s="22" t="s">
        <v>104</v>
      </c>
      <c r="O764" s="22" t="s">
        <v>2229</v>
      </c>
      <c r="P764" s="22">
        <v>86111</v>
      </c>
      <c r="Q764" s="22">
        <v>30</v>
      </c>
      <c r="R764" s="22">
        <v>3</v>
      </c>
      <c r="S764" s="22">
        <v>3</v>
      </c>
      <c r="T764" s="22" t="s">
        <v>281</v>
      </c>
      <c r="U764" s="21">
        <v>0.8</v>
      </c>
      <c r="V764" s="21">
        <v>0.8</v>
      </c>
      <c r="W764" s="24">
        <f t="shared" si="108"/>
        <v>1099.6594619058606</v>
      </c>
      <c r="X764" s="24">
        <f t="shared" ref="X764:X780" si="110">3.14/6*Q764*R764*S764*U764</f>
        <v>113.03999999999999</v>
      </c>
      <c r="Y764" s="22">
        <v>1</v>
      </c>
      <c r="Z764" s="24">
        <f t="shared" si="103"/>
        <v>1099.6594619058606</v>
      </c>
      <c r="AA764" s="24">
        <f t="shared" si="104"/>
        <v>113.03999999999999</v>
      </c>
      <c r="AF764" s="21" t="s">
        <v>247</v>
      </c>
      <c r="AJ764" s="21">
        <v>141.30000000000001</v>
      </c>
      <c r="AK764" s="21">
        <v>30</v>
      </c>
      <c r="AL764" s="22" t="s">
        <v>161</v>
      </c>
      <c r="AM764" s="22">
        <v>0.16</v>
      </c>
      <c r="AP764" s="22" t="s">
        <v>162</v>
      </c>
      <c r="AQ764" s="22" t="str">
        <f t="shared" si="105"/>
        <v>Microphytoplankton</v>
      </c>
      <c r="AR764" s="22">
        <v>0</v>
      </c>
      <c r="AS764" s="22">
        <v>0</v>
      </c>
      <c r="AT764" s="22">
        <v>0</v>
      </c>
      <c r="AU764" s="22">
        <v>0</v>
      </c>
      <c r="AV764" s="22">
        <v>0</v>
      </c>
      <c r="AW764" s="22">
        <v>0</v>
      </c>
      <c r="AX764" s="22">
        <v>0</v>
      </c>
      <c r="AY764" s="22">
        <v>1</v>
      </c>
    </row>
    <row r="765" spans="1:57">
      <c r="A765" s="22" t="s">
        <v>2324</v>
      </c>
      <c r="B765" s="22" t="s">
        <v>663</v>
      </c>
      <c r="C765" s="22" t="s">
        <v>2223</v>
      </c>
      <c r="D765" s="22" t="s">
        <v>2224</v>
      </c>
      <c r="E765" s="23" t="s">
        <v>63</v>
      </c>
      <c r="F765" s="23" t="s">
        <v>2225</v>
      </c>
      <c r="G765" s="23" t="s">
        <v>2226</v>
      </c>
      <c r="H765" s="22" t="s">
        <v>2267</v>
      </c>
      <c r="I765" s="22" t="s">
        <v>2325</v>
      </c>
      <c r="J765" s="22" t="s">
        <v>211</v>
      </c>
      <c r="M765" s="22" t="s">
        <v>0</v>
      </c>
      <c r="N765" s="22" t="s">
        <v>2326</v>
      </c>
      <c r="O765" s="22" t="s">
        <v>2229</v>
      </c>
      <c r="P765" s="22">
        <v>86110</v>
      </c>
      <c r="Q765" s="21">
        <v>32</v>
      </c>
      <c r="R765" s="21">
        <v>2.7</v>
      </c>
      <c r="S765" s="21">
        <v>2.7</v>
      </c>
      <c r="T765" s="21" t="s">
        <v>281</v>
      </c>
      <c r="U765" s="21">
        <v>0.8</v>
      </c>
      <c r="V765" s="21">
        <v>0.8</v>
      </c>
      <c r="W765" s="24">
        <f t="shared" si="108"/>
        <v>1055.393904961112</v>
      </c>
      <c r="X765" s="24">
        <f t="shared" si="110"/>
        <v>97.666560000000004</v>
      </c>
      <c r="Y765" s="21">
        <v>1</v>
      </c>
      <c r="Z765" s="24">
        <f t="shared" si="103"/>
        <v>1055.393904961112</v>
      </c>
      <c r="AA765" s="24">
        <f t="shared" si="104"/>
        <v>97.666560000000004</v>
      </c>
      <c r="AB765" s="21"/>
      <c r="AC765" s="21"/>
      <c r="AD765" s="21"/>
      <c r="AE765" s="21"/>
      <c r="AF765" s="21" t="s">
        <v>247</v>
      </c>
      <c r="AG765" s="21"/>
      <c r="AH765" s="24"/>
      <c r="AI765" s="24"/>
      <c r="AJ765" s="21">
        <v>146.6</v>
      </c>
      <c r="AK765" s="21">
        <v>32</v>
      </c>
      <c r="AL765" s="22" t="s">
        <v>161</v>
      </c>
      <c r="AM765" s="22">
        <v>0.16</v>
      </c>
      <c r="AP765" s="22" t="s">
        <v>162</v>
      </c>
      <c r="AQ765" s="22" t="str">
        <f t="shared" si="105"/>
        <v>Microphytoplankton</v>
      </c>
      <c r="AR765" s="22">
        <v>0</v>
      </c>
      <c r="AS765" s="22">
        <v>0</v>
      </c>
      <c r="AT765" s="22">
        <v>0</v>
      </c>
      <c r="AU765" s="22">
        <v>0</v>
      </c>
      <c r="AV765" s="22">
        <v>0</v>
      </c>
      <c r="AW765" s="22">
        <v>0</v>
      </c>
      <c r="AX765" s="22">
        <v>0</v>
      </c>
      <c r="AY765" s="22">
        <v>1</v>
      </c>
    </row>
    <row r="766" spans="1:57">
      <c r="A766" s="21" t="s">
        <v>2327</v>
      </c>
      <c r="B766" s="22" t="s">
        <v>663</v>
      </c>
      <c r="C766" s="22" t="s">
        <v>2223</v>
      </c>
      <c r="D766" s="22" t="s">
        <v>2224</v>
      </c>
      <c r="E766" s="23" t="s">
        <v>63</v>
      </c>
      <c r="F766" s="23" t="s">
        <v>2225</v>
      </c>
      <c r="G766" s="23" t="s">
        <v>2284</v>
      </c>
      <c r="H766" s="22" t="s">
        <v>2285</v>
      </c>
      <c r="I766" s="22" t="s">
        <v>2285</v>
      </c>
      <c r="J766" s="22" t="s">
        <v>211</v>
      </c>
      <c r="M766" s="22" t="s">
        <v>104</v>
      </c>
      <c r="O766" s="22" t="s">
        <v>2229</v>
      </c>
      <c r="P766" s="21">
        <v>80001</v>
      </c>
      <c r="Q766" s="21">
        <v>10</v>
      </c>
      <c r="R766" s="21">
        <v>8</v>
      </c>
      <c r="S766" s="21">
        <v>5</v>
      </c>
      <c r="T766" s="21" t="s">
        <v>281</v>
      </c>
      <c r="U766" s="21">
        <v>1</v>
      </c>
      <c r="V766" s="22">
        <v>1</v>
      </c>
      <c r="W766" s="24">
        <f t="shared" si="108"/>
        <v>653.80486406610351</v>
      </c>
      <c r="X766" s="24">
        <f t="shared" si="110"/>
        <v>209.33333333333334</v>
      </c>
      <c r="Y766" s="21">
        <v>1</v>
      </c>
      <c r="Z766" s="24">
        <f t="shared" si="103"/>
        <v>653.80486406610351</v>
      </c>
      <c r="AA766" s="24">
        <f t="shared" si="104"/>
        <v>209.33333333333334</v>
      </c>
      <c r="AB766" s="21"/>
      <c r="AC766" s="21"/>
      <c r="AD766" s="21"/>
      <c r="AE766" s="21"/>
      <c r="AF766" s="21" t="s">
        <v>247</v>
      </c>
      <c r="AG766" s="21"/>
      <c r="AH766" s="24"/>
      <c r="AI766" s="24"/>
      <c r="AJ766" s="21">
        <v>209.4</v>
      </c>
      <c r="AK766" s="21">
        <v>10</v>
      </c>
      <c r="AL766" s="22" t="s">
        <v>161</v>
      </c>
      <c r="AM766" s="22">
        <v>0.16</v>
      </c>
      <c r="AO766" s="22" t="s">
        <v>830</v>
      </c>
      <c r="AP766" s="22" t="s">
        <v>673</v>
      </c>
      <c r="AQ766" s="22" t="str">
        <f t="shared" si="105"/>
        <v>Nanophytoplankton</v>
      </c>
      <c r="AR766" s="22">
        <v>1</v>
      </c>
      <c r="AS766" s="22">
        <v>1</v>
      </c>
      <c r="AT766" s="22">
        <v>0</v>
      </c>
      <c r="AU766" s="22">
        <v>0</v>
      </c>
      <c r="AV766" s="22">
        <v>0</v>
      </c>
      <c r="AW766" s="22">
        <v>0</v>
      </c>
      <c r="AX766" s="22">
        <v>0</v>
      </c>
      <c r="AY766" s="22">
        <v>1</v>
      </c>
    </row>
    <row r="767" spans="1:57">
      <c r="A767" s="21" t="s">
        <v>2328</v>
      </c>
      <c r="B767" s="22" t="s">
        <v>663</v>
      </c>
      <c r="C767" s="22" t="s">
        <v>2223</v>
      </c>
      <c r="D767" s="22" t="s">
        <v>2224</v>
      </c>
      <c r="E767" s="23" t="s">
        <v>63</v>
      </c>
      <c r="F767" s="23" t="s">
        <v>2225</v>
      </c>
      <c r="G767" s="23" t="s">
        <v>2284</v>
      </c>
      <c r="H767" s="23" t="s">
        <v>2285</v>
      </c>
      <c r="I767" s="22" t="s">
        <v>45</v>
      </c>
      <c r="J767" s="22" t="s">
        <v>2329</v>
      </c>
      <c r="N767" s="22" t="s">
        <v>2330</v>
      </c>
      <c r="O767" s="22" t="s">
        <v>2229</v>
      </c>
      <c r="P767" s="21">
        <v>80165</v>
      </c>
      <c r="Q767" s="21">
        <v>7</v>
      </c>
      <c r="R767" s="21">
        <v>7</v>
      </c>
      <c r="S767" s="21">
        <v>7</v>
      </c>
      <c r="T767" s="21" t="s">
        <v>281</v>
      </c>
      <c r="U767" s="21">
        <v>1</v>
      </c>
      <c r="V767" s="22">
        <v>1</v>
      </c>
      <c r="W767" s="24">
        <f t="shared" si="108"/>
        <v>490.83181458055361</v>
      </c>
      <c r="X767" s="24">
        <f t="shared" si="110"/>
        <v>179.50333333333333</v>
      </c>
      <c r="Y767" s="21">
        <v>1</v>
      </c>
      <c r="Z767" s="24">
        <f t="shared" si="103"/>
        <v>490.83181458055361</v>
      </c>
      <c r="AA767" s="24">
        <f t="shared" si="104"/>
        <v>179.50333333333333</v>
      </c>
      <c r="AB767" s="21"/>
      <c r="AC767" s="21"/>
      <c r="AD767" s="21"/>
      <c r="AE767" s="21"/>
      <c r="AF767" s="21" t="s">
        <v>247</v>
      </c>
      <c r="AG767" s="21"/>
      <c r="AH767" s="24"/>
      <c r="AI767" s="24"/>
      <c r="AJ767" s="21">
        <v>180</v>
      </c>
      <c r="AK767" s="21">
        <v>7</v>
      </c>
      <c r="AL767" s="22" t="s">
        <v>161</v>
      </c>
      <c r="AM767" s="22">
        <v>0.16</v>
      </c>
      <c r="AO767" s="22" t="s">
        <v>830</v>
      </c>
      <c r="AP767" s="22" t="s">
        <v>673</v>
      </c>
      <c r="AQ767" s="22" t="str">
        <f t="shared" si="105"/>
        <v>Nanophytoplankton</v>
      </c>
      <c r="AR767" s="22">
        <v>1</v>
      </c>
      <c r="AS767" s="22">
        <v>1</v>
      </c>
      <c r="AT767" s="22">
        <v>0</v>
      </c>
      <c r="AU767" s="22">
        <v>0</v>
      </c>
      <c r="AV767" s="22">
        <v>0</v>
      </c>
      <c r="AW767" s="22">
        <v>0</v>
      </c>
      <c r="AX767" s="22">
        <v>0</v>
      </c>
      <c r="AY767" s="22">
        <v>1</v>
      </c>
    </row>
    <row r="768" spans="1:57">
      <c r="A768" s="21" t="s">
        <v>2331</v>
      </c>
      <c r="B768" s="22" t="s">
        <v>663</v>
      </c>
      <c r="C768" s="22" t="s">
        <v>2223</v>
      </c>
      <c r="D768" s="22" t="s">
        <v>2224</v>
      </c>
      <c r="E768" s="23" t="s">
        <v>63</v>
      </c>
      <c r="F768" s="23" t="s">
        <v>2225</v>
      </c>
      <c r="G768" s="23" t="s">
        <v>2284</v>
      </c>
      <c r="H768" s="23" t="s">
        <v>2285</v>
      </c>
      <c r="I768" s="22" t="s">
        <v>45</v>
      </c>
      <c r="J768" s="38" t="s">
        <v>2332</v>
      </c>
      <c r="K768" s="38"/>
      <c r="L768" s="38"/>
      <c r="N768" s="22" t="s">
        <v>2333</v>
      </c>
      <c r="O768" s="22" t="s">
        <v>2229</v>
      </c>
      <c r="P768" s="21">
        <v>80131</v>
      </c>
      <c r="Q768" s="21">
        <v>19</v>
      </c>
      <c r="R768" s="21">
        <v>13</v>
      </c>
      <c r="S768" s="21">
        <v>13</v>
      </c>
      <c r="T768" s="21" t="s">
        <v>281</v>
      </c>
      <c r="U768" s="21">
        <v>1</v>
      </c>
      <c r="V768" s="22">
        <v>1</v>
      </c>
      <c r="W768" s="24">
        <f t="shared" si="108"/>
        <v>2421.3643891031488</v>
      </c>
      <c r="X768" s="24">
        <f t="shared" si="110"/>
        <v>1680.4233333333332</v>
      </c>
      <c r="Y768" s="21">
        <v>1</v>
      </c>
      <c r="Z768" s="24">
        <f t="shared" si="103"/>
        <v>2421.3643891031488</v>
      </c>
      <c r="AA768" s="24">
        <f t="shared" si="104"/>
        <v>1680.4233333333332</v>
      </c>
      <c r="AB768" s="21"/>
      <c r="AC768" s="21"/>
      <c r="AD768" s="21"/>
      <c r="AE768" s="21"/>
      <c r="AF768" s="21" t="s">
        <v>247</v>
      </c>
      <c r="AG768" s="21"/>
      <c r="AH768" s="24"/>
      <c r="AI768" s="24"/>
      <c r="AJ768" s="21">
        <v>1681.2</v>
      </c>
      <c r="AK768" s="21">
        <v>19</v>
      </c>
      <c r="AL768" s="22" t="s">
        <v>161</v>
      </c>
      <c r="AM768" s="22">
        <v>0.16</v>
      </c>
      <c r="AN768" s="38"/>
      <c r="AO768" s="22" t="s">
        <v>830</v>
      </c>
      <c r="AP768" s="22" t="s">
        <v>673</v>
      </c>
      <c r="AQ768" s="22" t="str">
        <f t="shared" si="105"/>
        <v>Nanophytoplankton</v>
      </c>
      <c r="AR768" s="22">
        <v>1</v>
      </c>
      <c r="AS768" s="22">
        <v>1</v>
      </c>
      <c r="AT768" s="22">
        <v>0</v>
      </c>
      <c r="AU768" s="22">
        <v>0</v>
      </c>
      <c r="AV768" s="22">
        <v>0</v>
      </c>
      <c r="AW768" s="22">
        <v>0</v>
      </c>
      <c r="AX768" s="22">
        <v>0</v>
      </c>
      <c r="AY768" s="22">
        <v>1</v>
      </c>
    </row>
    <row r="769" spans="1:57">
      <c r="A769" s="21" t="s">
        <v>2334</v>
      </c>
      <c r="B769" s="22" t="s">
        <v>663</v>
      </c>
      <c r="C769" s="22" t="s">
        <v>2223</v>
      </c>
      <c r="D769" s="22" t="s">
        <v>2224</v>
      </c>
      <c r="E769" s="23" t="s">
        <v>63</v>
      </c>
      <c r="F769" s="23" t="s">
        <v>2225</v>
      </c>
      <c r="G769" s="23" t="s">
        <v>2284</v>
      </c>
      <c r="H769" s="23" t="s">
        <v>2285</v>
      </c>
      <c r="I769" s="22" t="s">
        <v>45</v>
      </c>
      <c r="J769" s="38" t="s">
        <v>2332</v>
      </c>
      <c r="K769" s="38" t="s">
        <v>175</v>
      </c>
      <c r="L769" s="38" t="s">
        <v>2335</v>
      </c>
      <c r="N769" s="22" t="s">
        <v>2336</v>
      </c>
      <c r="O769" s="22" t="s">
        <v>2229</v>
      </c>
      <c r="P769" s="22">
        <v>80130</v>
      </c>
      <c r="Q769" s="21">
        <v>13</v>
      </c>
      <c r="R769" s="21">
        <v>9</v>
      </c>
      <c r="S769" s="21">
        <v>9</v>
      </c>
      <c r="T769" s="21" t="s">
        <v>281</v>
      </c>
      <c r="U769" s="21">
        <v>1</v>
      </c>
      <c r="V769" s="22">
        <v>1</v>
      </c>
      <c r="W769" s="24">
        <f t="shared" si="108"/>
        <v>1152.2923429984291</v>
      </c>
      <c r="X769" s="24">
        <f t="shared" si="110"/>
        <v>551.06999999999994</v>
      </c>
      <c r="Y769" s="21">
        <v>1</v>
      </c>
      <c r="Z769" s="24">
        <f t="shared" si="103"/>
        <v>1152.2923429984291</v>
      </c>
      <c r="AA769" s="24">
        <f t="shared" si="104"/>
        <v>551.06999999999994</v>
      </c>
      <c r="AB769" s="21"/>
      <c r="AC769" s="21"/>
      <c r="AD769" s="21"/>
      <c r="AE769" s="21"/>
      <c r="AF769" s="21" t="s">
        <v>247</v>
      </c>
      <c r="AG769" s="21"/>
      <c r="AH769" s="24"/>
      <c r="AI769" s="24"/>
      <c r="AJ769" s="21">
        <v>551.29999999999995</v>
      </c>
      <c r="AK769" s="21">
        <v>13</v>
      </c>
      <c r="AL769" s="22" t="s">
        <v>161</v>
      </c>
      <c r="AM769" s="22">
        <v>0.16</v>
      </c>
      <c r="AN769" s="38"/>
      <c r="AO769" s="22" t="s">
        <v>830</v>
      </c>
      <c r="AP769" s="22" t="s">
        <v>673</v>
      </c>
      <c r="AQ769" s="22" t="str">
        <f t="shared" si="105"/>
        <v>Nanophytoplankton</v>
      </c>
      <c r="AR769" s="22">
        <v>1</v>
      </c>
      <c r="AS769" s="22">
        <v>1</v>
      </c>
      <c r="AT769" s="22">
        <v>0</v>
      </c>
      <c r="AU769" s="22">
        <v>0</v>
      </c>
      <c r="AV769" s="22">
        <v>0</v>
      </c>
      <c r="AW769" s="22">
        <v>0</v>
      </c>
      <c r="AX769" s="22">
        <v>0</v>
      </c>
      <c r="AY769" s="22">
        <v>1</v>
      </c>
    </row>
    <row r="770" spans="1:57">
      <c r="A770" s="21" t="s">
        <v>2337</v>
      </c>
      <c r="B770" s="22" t="s">
        <v>663</v>
      </c>
      <c r="C770" s="22" t="s">
        <v>2223</v>
      </c>
      <c r="D770" s="22" t="s">
        <v>2224</v>
      </c>
      <c r="E770" s="23" t="s">
        <v>63</v>
      </c>
      <c r="F770" s="23" t="s">
        <v>2225</v>
      </c>
      <c r="G770" s="23" t="s">
        <v>2284</v>
      </c>
      <c r="H770" s="23" t="s">
        <v>2285</v>
      </c>
      <c r="I770" s="22" t="s">
        <v>45</v>
      </c>
      <c r="J770" s="38" t="s">
        <v>2338</v>
      </c>
      <c r="K770" s="38"/>
      <c r="L770" s="38"/>
      <c r="N770" s="22" t="s">
        <v>2339</v>
      </c>
      <c r="O770" s="22" t="s">
        <v>2229</v>
      </c>
      <c r="P770" s="21">
        <v>80120</v>
      </c>
      <c r="Q770" s="21">
        <v>6</v>
      </c>
      <c r="R770" s="21">
        <v>6</v>
      </c>
      <c r="S770" s="21">
        <v>6</v>
      </c>
      <c r="T770" s="21" t="s">
        <v>281</v>
      </c>
      <c r="U770" s="21">
        <v>1</v>
      </c>
      <c r="V770" s="22">
        <v>1</v>
      </c>
      <c r="W770" s="24">
        <f t="shared" si="108"/>
        <v>363.28803924381305</v>
      </c>
      <c r="X770" s="24">
        <f t="shared" si="110"/>
        <v>113.03999999999998</v>
      </c>
      <c r="Y770" s="21">
        <v>1</v>
      </c>
      <c r="Z770" s="24">
        <f t="shared" ref="Z770:Z833" si="111">Y770*W770</f>
        <v>363.28803924381305</v>
      </c>
      <c r="AA770" s="24">
        <f t="shared" ref="AA770:AA833" si="112">Y770*X770</f>
        <v>113.03999999999998</v>
      </c>
      <c r="AB770" s="21"/>
      <c r="AC770" s="21"/>
      <c r="AD770" s="21"/>
      <c r="AE770" s="21"/>
      <c r="AF770" s="21" t="s">
        <v>247</v>
      </c>
      <c r="AG770" s="21"/>
      <c r="AH770" s="24"/>
      <c r="AI770" s="24"/>
      <c r="AJ770" s="21">
        <v>113.1</v>
      </c>
      <c r="AK770" s="21">
        <v>6</v>
      </c>
      <c r="AL770" s="22" t="s">
        <v>161</v>
      </c>
      <c r="AM770" s="22">
        <v>0.16</v>
      </c>
      <c r="AN770" s="38"/>
      <c r="AO770" s="22" t="s">
        <v>830</v>
      </c>
      <c r="AP770" s="22" t="s">
        <v>673</v>
      </c>
      <c r="AQ770" s="22" t="str">
        <f t="shared" ref="AQ770:AQ833" si="113">IF(AND($AK770&lt;20,AJ770&lt;10000),"Nanophytoplankton","Microphytoplankton")</f>
        <v>Nanophytoplankton</v>
      </c>
      <c r="AR770" s="22">
        <v>1</v>
      </c>
      <c r="AS770" s="22">
        <v>1</v>
      </c>
      <c r="AT770" s="22">
        <v>0</v>
      </c>
      <c r="AU770" s="22">
        <v>0</v>
      </c>
      <c r="AV770" s="22">
        <v>0</v>
      </c>
      <c r="AW770" s="22">
        <v>0</v>
      </c>
      <c r="AX770" s="22">
        <v>0</v>
      </c>
      <c r="AY770" s="22">
        <v>1</v>
      </c>
    </row>
    <row r="771" spans="1:57">
      <c r="A771" s="21" t="s">
        <v>2340</v>
      </c>
      <c r="B771" s="22" t="s">
        <v>663</v>
      </c>
      <c r="C771" s="22" t="s">
        <v>2223</v>
      </c>
      <c r="D771" s="22" t="s">
        <v>2224</v>
      </c>
      <c r="E771" s="23" t="s">
        <v>63</v>
      </c>
      <c r="F771" s="23" t="s">
        <v>2225</v>
      </c>
      <c r="G771" s="23" t="s">
        <v>2284</v>
      </c>
      <c r="H771" s="23" t="s">
        <v>2285</v>
      </c>
      <c r="I771" s="22" t="s">
        <v>45</v>
      </c>
      <c r="J771" s="38" t="s">
        <v>2341</v>
      </c>
      <c r="K771" s="38"/>
      <c r="L771" s="38"/>
      <c r="N771" s="22" t="s">
        <v>2342</v>
      </c>
      <c r="O771" s="22" t="s">
        <v>2229</v>
      </c>
      <c r="P771" s="21">
        <v>80121</v>
      </c>
      <c r="Q771" s="21">
        <v>9</v>
      </c>
      <c r="R771" s="21">
        <v>6</v>
      </c>
      <c r="S771" s="21">
        <v>6</v>
      </c>
      <c r="T771" s="21" t="s">
        <v>159</v>
      </c>
      <c r="U771" s="21">
        <v>1</v>
      </c>
      <c r="V771" s="22">
        <v>1</v>
      </c>
      <c r="W771" s="24">
        <f t="shared" si="108"/>
        <v>536.14069618677627</v>
      </c>
      <c r="X771" s="24">
        <f t="shared" si="110"/>
        <v>169.56</v>
      </c>
      <c r="Y771" s="21">
        <v>1</v>
      </c>
      <c r="Z771" s="24">
        <f t="shared" si="111"/>
        <v>536.14069618677627</v>
      </c>
      <c r="AA771" s="24">
        <f t="shared" si="112"/>
        <v>169.56</v>
      </c>
      <c r="AB771" s="21"/>
      <c r="AC771" s="21"/>
      <c r="AD771" s="21"/>
      <c r="AE771" s="21"/>
      <c r="AF771" s="21" t="s">
        <v>247</v>
      </c>
      <c r="AG771" s="21"/>
      <c r="AH771" s="24"/>
      <c r="AI771" s="24"/>
      <c r="AJ771" s="21">
        <v>169.56</v>
      </c>
      <c r="AK771" s="21">
        <v>9</v>
      </c>
      <c r="AL771" s="38" t="s">
        <v>2343</v>
      </c>
      <c r="AM771" s="22">
        <v>0.16</v>
      </c>
      <c r="AN771" s="38"/>
      <c r="AO771" s="22" t="s">
        <v>830</v>
      </c>
      <c r="AP771" s="22" t="s">
        <v>673</v>
      </c>
      <c r="AQ771" s="22" t="str">
        <f t="shared" si="113"/>
        <v>Nanophytoplankton</v>
      </c>
      <c r="AR771" s="22">
        <v>1</v>
      </c>
      <c r="AS771" s="22">
        <v>1</v>
      </c>
      <c r="AT771" s="22">
        <v>0</v>
      </c>
      <c r="AU771" s="22">
        <v>0</v>
      </c>
      <c r="AV771" s="22">
        <v>0</v>
      </c>
      <c r="AW771" s="22">
        <v>0</v>
      </c>
      <c r="AX771" s="22">
        <v>0</v>
      </c>
      <c r="AY771" s="22">
        <v>1</v>
      </c>
    </row>
    <row r="772" spans="1:57">
      <c r="A772" s="21" t="s">
        <v>2344</v>
      </c>
      <c r="B772" s="22" t="s">
        <v>663</v>
      </c>
      <c r="C772" s="22" t="s">
        <v>2223</v>
      </c>
      <c r="D772" s="22" t="s">
        <v>2224</v>
      </c>
      <c r="E772" s="23" t="s">
        <v>63</v>
      </c>
      <c r="F772" s="23" t="s">
        <v>2225</v>
      </c>
      <c r="G772" s="23" t="s">
        <v>2284</v>
      </c>
      <c r="H772" s="23" t="s">
        <v>2285</v>
      </c>
      <c r="I772" s="22" t="s">
        <v>45</v>
      </c>
      <c r="J772" s="38" t="s">
        <v>2345</v>
      </c>
      <c r="K772" s="38" t="s">
        <v>175</v>
      </c>
      <c r="L772" s="38" t="s">
        <v>2346</v>
      </c>
      <c r="N772" s="22" t="s">
        <v>2347</v>
      </c>
      <c r="O772" s="22" t="s">
        <v>2229</v>
      </c>
      <c r="P772" s="22">
        <v>80160</v>
      </c>
      <c r="Q772" s="21">
        <v>8</v>
      </c>
      <c r="R772" s="21">
        <v>8</v>
      </c>
      <c r="S772" s="21">
        <v>8</v>
      </c>
      <c r="T772" s="21" t="s">
        <v>281</v>
      </c>
      <c r="U772" s="21">
        <v>1</v>
      </c>
      <c r="V772" s="22">
        <v>1</v>
      </c>
      <c r="W772" s="24">
        <f t="shared" si="108"/>
        <v>637.80128491389792</v>
      </c>
      <c r="X772" s="24">
        <f t="shared" si="110"/>
        <v>267.94666666666666</v>
      </c>
      <c r="Y772" s="21">
        <v>1</v>
      </c>
      <c r="Z772" s="24">
        <f t="shared" si="111"/>
        <v>637.80128491389792</v>
      </c>
      <c r="AA772" s="24">
        <f t="shared" si="112"/>
        <v>267.94666666666666</v>
      </c>
      <c r="AB772" s="21"/>
      <c r="AC772" s="21"/>
      <c r="AD772" s="21"/>
      <c r="AE772" s="21"/>
      <c r="AF772" s="21" t="s">
        <v>247</v>
      </c>
      <c r="AG772" s="21"/>
      <c r="AH772" s="24"/>
      <c r="AI772" s="24"/>
      <c r="AJ772" s="21">
        <v>268.10000000000002</v>
      </c>
      <c r="AK772" s="21">
        <v>8</v>
      </c>
      <c r="AL772" s="22" t="s">
        <v>161</v>
      </c>
      <c r="AM772" s="22">
        <v>0.16</v>
      </c>
      <c r="AN772" s="38"/>
      <c r="AO772" s="22" t="s">
        <v>830</v>
      </c>
      <c r="AP772" s="22" t="s">
        <v>673</v>
      </c>
      <c r="AQ772" s="22" t="str">
        <f t="shared" si="113"/>
        <v>Nanophytoplankton</v>
      </c>
      <c r="AR772" s="22">
        <v>1</v>
      </c>
      <c r="AS772" s="22">
        <v>1</v>
      </c>
      <c r="AT772" s="22">
        <v>0</v>
      </c>
      <c r="AU772" s="22">
        <v>0</v>
      </c>
      <c r="AV772" s="22">
        <v>0</v>
      </c>
      <c r="AW772" s="22">
        <v>0</v>
      </c>
      <c r="AX772" s="22">
        <v>0</v>
      </c>
      <c r="AY772" s="22">
        <v>1</v>
      </c>
    </row>
    <row r="773" spans="1:57">
      <c r="A773" s="21" t="s">
        <v>2348</v>
      </c>
      <c r="B773" s="22" t="s">
        <v>663</v>
      </c>
      <c r="C773" s="22" t="s">
        <v>2223</v>
      </c>
      <c r="D773" s="22" t="s">
        <v>2224</v>
      </c>
      <c r="E773" s="23" t="s">
        <v>63</v>
      </c>
      <c r="F773" s="23" t="s">
        <v>2225</v>
      </c>
      <c r="G773" s="23" t="s">
        <v>2284</v>
      </c>
      <c r="H773" s="23" t="s">
        <v>2285</v>
      </c>
      <c r="I773" s="22" t="s">
        <v>45</v>
      </c>
      <c r="J773" s="38" t="s">
        <v>2349</v>
      </c>
      <c r="K773" s="38"/>
      <c r="L773" s="38"/>
      <c r="N773" s="22" t="s">
        <v>409</v>
      </c>
      <c r="O773" s="22" t="s">
        <v>2229</v>
      </c>
      <c r="P773" s="21">
        <v>80150</v>
      </c>
      <c r="Q773" s="21">
        <v>20</v>
      </c>
      <c r="R773" s="21">
        <v>20</v>
      </c>
      <c r="S773" s="21">
        <v>20</v>
      </c>
      <c r="T773" s="21" t="s">
        <v>281</v>
      </c>
      <c r="U773" s="21">
        <v>1</v>
      </c>
      <c r="V773" s="22">
        <v>1</v>
      </c>
      <c r="W773" s="24">
        <f t="shared" si="108"/>
        <v>3919.5162184844248</v>
      </c>
      <c r="X773" s="24">
        <f t="shared" si="110"/>
        <v>4186.666666666667</v>
      </c>
      <c r="Y773" s="21">
        <v>1</v>
      </c>
      <c r="Z773" s="24">
        <f t="shared" si="111"/>
        <v>3919.5162184844248</v>
      </c>
      <c r="AA773" s="24">
        <f t="shared" si="112"/>
        <v>4186.666666666667</v>
      </c>
      <c r="AB773" s="21"/>
      <c r="AC773" s="21"/>
      <c r="AD773" s="21"/>
      <c r="AE773" s="21"/>
      <c r="AF773" s="21" t="s">
        <v>247</v>
      </c>
      <c r="AG773" s="21"/>
      <c r="AH773" s="24"/>
      <c r="AI773" s="24"/>
      <c r="AJ773" s="21">
        <v>4188.8</v>
      </c>
      <c r="AK773" s="21">
        <v>20</v>
      </c>
      <c r="AL773" s="22" t="s">
        <v>161</v>
      </c>
      <c r="AM773" s="22">
        <v>0.16</v>
      </c>
      <c r="AN773" s="38"/>
      <c r="AO773" s="22" t="s">
        <v>830</v>
      </c>
      <c r="AP773" s="22" t="s">
        <v>673</v>
      </c>
      <c r="AQ773" s="22" t="str">
        <f t="shared" si="113"/>
        <v>Microphytoplankton</v>
      </c>
      <c r="AR773" s="22">
        <v>1</v>
      </c>
      <c r="AS773" s="22">
        <v>1</v>
      </c>
      <c r="AT773" s="22">
        <v>0</v>
      </c>
      <c r="AU773" s="22">
        <v>0</v>
      </c>
      <c r="AV773" s="22">
        <v>0</v>
      </c>
      <c r="AW773" s="22">
        <v>0</v>
      </c>
      <c r="AX773" s="22">
        <v>0</v>
      </c>
      <c r="AY773" s="22">
        <v>1</v>
      </c>
    </row>
    <row r="774" spans="1:57">
      <c r="A774" s="21" t="s">
        <v>2350</v>
      </c>
      <c r="B774" s="22" t="s">
        <v>663</v>
      </c>
      <c r="C774" s="22" t="s">
        <v>2223</v>
      </c>
      <c r="D774" s="22" t="s">
        <v>2224</v>
      </c>
      <c r="E774" s="23" t="s">
        <v>63</v>
      </c>
      <c r="F774" s="23" t="s">
        <v>2225</v>
      </c>
      <c r="G774" s="23" t="s">
        <v>2284</v>
      </c>
      <c r="H774" s="23" t="s">
        <v>2285</v>
      </c>
      <c r="I774" s="22" t="s">
        <v>45</v>
      </c>
      <c r="J774" s="38" t="s">
        <v>2351</v>
      </c>
      <c r="K774" s="38"/>
      <c r="L774" s="38"/>
      <c r="N774" s="22" t="s">
        <v>2352</v>
      </c>
      <c r="O774" s="22" t="s">
        <v>2229</v>
      </c>
      <c r="P774" s="21">
        <v>80110</v>
      </c>
      <c r="Q774" s="21">
        <v>20</v>
      </c>
      <c r="R774" s="21">
        <v>20</v>
      </c>
      <c r="S774" s="21">
        <v>20</v>
      </c>
      <c r="T774" s="21" t="s">
        <v>281</v>
      </c>
      <c r="U774" s="21">
        <v>1</v>
      </c>
      <c r="V774" s="22">
        <v>1</v>
      </c>
      <c r="W774" s="24">
        <f t="shared" si="108"/>
        <v>3919.5162184844248</v>
      </c>
      <c r="X774" s="24">
        <f t="shared" si="110"/>
        <v>4186.666666666667</v>
      </c>
      <c r="Y774" s="21">
        <v>1</v>
      </c>
      <c r="Z774" s="24">
        <f t="shared" si="111"/>
        <v>3919.5162184844248</v>
      </c>
      <c r="AA774" s="24">
        <f t="shared" si="112"/>
        <v>4186.666666666667</v>
      </c>
      <c r="AB774" s="21"/>
      <c r="AC774" s="21"/>
      <c r="AD774" s="21"/>
      <c r="AE774" s="21"/>
      <c r="AF774" s="21" t="s">
        <v>247</v>
      </c>
      <c r="AG774" s="21"/>
      <c r="AH774" s="24"/>
      <c r="AI774" s="24"/>
      <c r="AJ774" s="21">
        <v>4188.8</v>
      </c>
      <c r="AK774" s="21">
        <v>20</v>
      </c>
      <c r="AL774" s="22" t="s">
        <v>161</v>
      </c>
      <c r="AM774" s="22">
        <v>0.16</v>
      </c>
      <c r="AN774" s="38"/>
      <c r="AO774" s="22" t="s">
        <v>830</v>
      </c>
      <c r="AP774" s="22" t="s">
        <v>673</v>
      </c>
      <c r="AQ774" s="22" t="str">
        <f t="shared" si="113"/>
        <v>Microphytoplankton</v>
      </c>
      <c r="AR774" s="22">
        <v>1</v>
      </c>
      <c r="AS774" s="22">
        <v>1</v>
      </c>
      <c r="AT774" s="22">
        <v>0</v>
      </c>
      <c r="AU774" s="22">
        <v>0</v>
      </c>
      <c r="AV774" s="22">
        <v>0</v>
      </c>
      <c r="AW774" s="22">
        <v>0</v>
      </c>
      <c r="AX774" s="22">
        <v>0</v>
      </c>
      <c r="AY774" s="22">
        <v>1</v>
      </c>
    </row>
    <row r="775" spans="1:57">
      <c r="A775" s="21" t="s">
        <v>2353</v>
      </c>
      <c r="B775" s="22" t="s">
        <v>663</v>
      </c>
      <c r="C775" s="22" t="s">
        <v>2223</v>
      </c>
      <c r="D775" s="22" t="s">
        <v>2224</v>
      </c>
      <c r="E775" s="23" t="s">
        <v>63</v>
      </c>
      <c r="F775" s="23" t="s">
        <v>2225</v>
      </c>
      <c r="G775" s="23" t="s">
        <v>2284</v>
      </c>
      <c r="H775" s="23" t="s">
        <v>2285</v>
      </c>
      <c r="I775" s="22" t="s">
        <v>45</v>
      </c>
      <c r="J775" s="38" t="s">
        <v>1990</v>
      </c>
      <c r="K775" s="38"/>
      <c r="L775" s="38"/>
      <c r="N775" s="22" t="s">
        <v>2354</v>
      </c>
      <c r="O775" s="22" t="s">
        <v>2229</v>
      </c>
      <c r="P775" s="21">
        <v>80111</v>
      </c>
      <c r="Q775" s="21">
        <v>16</v>
      </c>
      <c r="R775" s="21">
        <v>15</v>
      </c>
      <c r="S775" s="21">
        <v>15</v>
      </c>
      <c r="T775" s="21" t="s">
        <v>281</v>
      </c>
      <c r="U775" s="21">
        <v>1</v>
      </c>
      <c r="V775" s="22">
        <v>1</v>
      </c>
      <c r="W775" s="24">
        <f t="shared" si="108"/>
        <v>2356.8891580659561</v>
      </c>
      <c r="X775" s="24">
        <f t="shared" si="110"/>
        <v>1884</v>
      </c>
      <c r="Y775" s="21">
        <v>1</v>
      </c>
      <c r="Z775" s="24">
        <f t="shared" si="111"/>
        <v>2356.8891580659561</v>
      </c>
      <c r="AA775" s="24">
        <f t="shared" si="112"/>
        <v>1884</v>
      </c>
      <c r="AB775" s="21"/>
      <c r="AC775" s="21"/>
      <c r="AD775" s="21"/>
      <c r="AE775" s="21"/>
      <c r="AF775" s="21"/>
      <c r="AG775" s="21"/>
      <c r="AH775" s="24"/>
      <c r="AI775" s="24"/>
      <c r="AJ775" s="21">
        <v>1884</v>
      </c>
      <c r="AK775" s="21">
        <v>16</v>
      </c>
      <c r="AL775" s="38" t="s">
        <v>2343</v>
      </c>
      <c r="AM775" s="22">
        <v>0.16</v>
      </c>
      <c r="AN775" s="38"/>
      <c r="AO775" s="22" t="s">
        <v>830</v>
      </c>
      <c r="AP775" s="22" t="s">
        <v>673</v>
      </c>
      <c r="AQ775" s="22" t="str">
        <f t="shared" si="113"/>
        <v>Nanophytoplankton</v>
      </c>
      <c r="AR775" s="22">
        <v>1</v>
      </c>
      <c r="AS775" s="22">
        <v>1</v>
      </c>
      <c r="AT775" s="22">
        <v>0</v>
      </c>
      <c r="AU775" s="22">
        <v>0</v>
      </c>
      <c r="AV775" s="22">
        <v>0</v>
      </c>
      <c r="AW775" s="22">
        <v>0</v>
      </c>
      <c r="AX775" s="22">
        <v>0</v>
      </c>
      <c r="AY775" s="22">
        <v>1</v>
      </c>
    </row>
    <row r="776" spans="1:57">
      <c r="A776" s="21" t="s">
        <v>2355</v>
      </c>
      <c r="B776" s="22" t="s">
        <v>663</v>
      </c>
      <c r="C776" s="22" t="s">
        <v>2223</v>
      </c>
      <c r="D776" s="22" t="s">
        <v>2224</v>
      </c>
      <c r="E776" s="23" t="s">
        <v>63</v>
      </c>
      <c r="F776" s="23" t="s">
        <v>2225</v>
      </c>
      <c r="G776" s="23" t="s">
        <v>2284</v>
      </c>
      <c r="H776" s="23" t="s">
        <v>2285</v>
      </c>
      <c r="I776" s="22" t="s">
        <v>45</v>
      </c>
      <c r="J776" s="38" t="s">
        <v>211</v>
      </c>
      <c r="K776" s="38"/>
      <c r="L776" s="38"/>
      <c r="M776" s="22" t="s">
        <v>1</v>
      </c>
      <c r="N776" s="22" t="s">
        <v>694</v>
      </c>
      <c r="O776" s="22" t="s">
        <v>2229</v>
      </c>
      <c r="P776" s="21">
        <v>80100</v>
      </c>
      <c r="Q776" s="22">
        <v>18</v>
      </c>
      <c r="R776" s="22">
        <v>18</v>
      </c>
      <c r="S776" s="22">
        <v>18</v>
      </c>
      <c r="T776" s="22" t="s">
        <v>281</v>
      </c>
      <c r="U776" s="21">
        <v>1</v>
      </c>
      <c r="V776" s="22">
        <v>1</v>
      </c>
      <c r="W776" s="24">
        <f t="shared" si="108"/>
        <v>3177.8015103260286</v>
      </c>
      <c r="X776" s="24">
        <f t="shared" si="110"/>
        <v>3052.08</v>
      </c>
      <c r="Y776" s="21">
        <v>1</v>
      </c>
      <c r="Z776" s="24">
        <f t="shared" si="111"/>
        <v>3177.8015103260286</v>
      </c>
      <c r="AA776" s="24">
        <f t="shared" si="112"/>
        <v>3052.08</v>
      </c>
      <c r="AE776" s="21"/>
      <c r="AF776" s="21" t="s">
        <v>247</v>
      </c>
      <c r="AG776" s="21"/>
      <c r="AH776" s="24"/>
      <c r="AI776" s="24"/>
      <c r="AJ776" s="21">
        <v>3053.6</v>
      </c>
      <c r="AK776" s="21">
        <v>18</v>
      </c>
      <c r="AL776" s="22" t="s">
        <v>161</v>
      </c>
      <c r="AM776" s="22">
        <v>0.16</v>
      </c>
      <c r="AN776" s="38"/>
      <c r="AO776" s="22" t="s">
        <v>830</v>
      </c>
      <c r="AP776" s="22" t="s">
        <v>673</v>
      </c>
      <c r="AQ776" s="22" t="str">
        <f t="shared" si="113"/>
        <v>Nanophytoplankton</v>
      </c>
      <c r="AR776" s="22">
        <v>1</v>
      </c>
      <c r="AS776" s="22">
        <v>1</v>
      </c>
      <c r="AT776" s="22">
        <v>0</v>
      </c>
      <c r="AU776" s="22">
        <v>0</v>
      </c>
      <c r="AV776" s="22">
        <v>0</v>
      </c>
      <c r="AW776" s="22">
        <v>0</v>
      </c>
      <c r="AX776" s="22">
        <v>0</v>
      </c>
      <c r="AY776" s="22">
        <v>1</v>
      </c>
    </row>
    <row r="777" spans="1:57">
      <c r="A777" s="21" t="s">
        <v>2356</v>
      </c>
      <c r="B777" s="22" t="s">
        <v>663</v>
      </c>
      <c r="C777" s="22" t="s">
        <v>2223</v>
      </c>
      <c r="D777" s="22" t="s">
        <v>2224</v>
      </c>
      <c r="E777" s="23" t="s">
        <v>63</v>
      </c>
      <c r="F777" s="23" t="s">
        <v>2225</v>
      </c>
      <c r="G777" s="23" t="s">
        <v>2284</v>
      </c>
      <c r="H777" s="23" t="s">
        <v>2285</v>
      </c>
      <c r="I777" s="22" t="s">
        <v>45</v>
      </c>
      <c r="J777" s="38" t="s">
        <v>2357</v>
      </c>
      <c r="K777" s="38"/>
      <c r="L777" s="38"/>
      <c r="N777" s="22" t="s">
        <v>2358</v>
      </c>
      <c r="O777" s="22" t="s">
        <v>2229</v>
      </c>
      <c r="P777" s="21">
        <v>80101</v>
      </c>
      <c r="Q777" s="22">
        <v>8</v>
      </c>
      <c r="R777" s="22">
        <v>4</v>
      </c>
      <c r="S777" s="22">
        <v>4</v>
      </c>
      <c r="T777" s="22" t="s">
        <v>159</v>
      </c>
      <c r="U777" s="21">
        <v>1</v>
      </c>
      <c r="V777" s="22">
        <v>1</v>
      </c>
      <c r="W777" s="24">
        <f t="shared" si="108"/>
        <v>318.9006424569489</v>
      </c>
      <c r="X777" s="24">
        <f t="shared" si="110"/>
        <v>66.986666666666665</v>
      </c>
      <c r="Y777" s="22">
        <v>1</v>
      </c>
      <c r="Z777" s="24">
        <f t="shared" si="111"/>
        <v>318.9006424569489</v>
      </c>
      <c r="AA777" s="24">
        <f t="shared" si="112"/>
        <v>66.986666666666665</v>
      </c>
      <c r="AF777" s="21" t="s">
        <v>247</v>
      </c>
      <c r="AJ777" s="21">
        <v>66.986666666666665</v>
      </c>
      <c r="AK777" s="21">
        <v>8</v>
      </c>
      <c r="AL777" s="38" t="s">
        <v>2359</v>
      </c>
      <c r="AM777" s="22">
        <v>0.16</v>
      </c>
      <c r="AN777" s="38"/>
      <c r="AO777" s="22" t="s">
        <v>830</v>
      </c>
      <c r="AP777" s="22" t="s">
        <v>673</v>
      </c>
      <c r="AQ777" s="22" t="str">
        <f t="shared" si="113"/>
        <v>Nanophytoplankton</v>
      </c>
      <c r="AR777" s="22">
        <v>1</v>
      </c>
      <c r="AS777" s="22">
        <v>1</v>
      </c>
      <c r="AT777" s="22">
        <v>0</v>
      </c>
      <c r="AU777" s="22">
        <v>0</v>
      </c>
      <c r="AV777" s="22">
        <v>0</v>
      </c>
      <c r="AW777" s="22">
        <v>0</v>
      </c>
      <c r="AX777" s="22">
        <v>0</v>
      </c>
      <c r="AY777" s="22">
        <v>1</v>
      </c>
    </row>
    <row r="778" spans="1:57">
      <c r="A778" s="21" t="s">
        <v>2360</v>
      </c>
      <c r="B778" s="22" t="s">
        <v>663</v>
      </c>
      <c r="C778" s="22" t="s">
        <v>2223</v>
      </c>
      <c r="D778" s="22" t="s">
        <v>2224</v>
      </c>
      <c r="E778" s="23" t="s">
        <v>63</v>
      </c>
      <c r="F778" s="23" t="s">
        <v>2225</v>
      </c>
      <c r="G778" s="23" t="s">
        <v>2284</v>
      </c>
      <c r="H778" s="23" t="s">
        <v>2285</v>
      </c>
      <c r="I778" s="22" t="s">
        <v>45</v>
      </c>
      <c r="J778" s="22" t="s">
        <v>2361</v>
      </c>
      <c r="N778" s="22" t="s">
        <v>2362</v>
      </c>
      <c r="O778" s="22" t="s">
        <v>2229</v>
      </c>
      <c r="P778" s="21">
        <v>80140</v>
      </c>
      <c r="Q778" s="21">
        <v>15</v>
      </c>
      <c r="R778" s="21">
        <v>15</v>
      </c>
      <c r="S778" s="21">
        <v>15</v>
      </c>
      <c r="T778" s="21" t="s">
        <v>281</v>
      </c>
      <c r="U778" s="21">
        <v>1</v>
      </c>
      <c r="V778" s="22">
        <v>1</v>
      </c>
      <c r="W778" s="24">
        <f t="shared" si="108"/>
        <v>2211.3412553863004</v>
      </c>
      <c r="X778" s="24">
        <f t="shared" si="110"/>
        <v>1766.25</v>
      </c>
      <c r="Y778" s="22">
        <v>1</v>
      </c>
      <c r="Z778" s="24">
        <f t="shared" si="111"/>
        <v>2211.3412553863004</v>
      </c>
      <c r="AA778" s="24">
        <f t="shared" si="112"/>
        <v>1766.25</v>
      </c>
      <c r="AB778" s="21"/>
      <c r="AC778" s="21"/>
      <c r="AD778" s="21"/>
      <c r="AF778" s="21" t="s">
        <v>247</v>
      </c>
      <c r="AJ778" s="21">
        <v>1767.1</v>
      </c>
      <c r="AK778" s="21">
        <v>15</v>
      </c>
      <c r="AL778" s="22" t="s">
        <v>161</v>
      </c>
      <c r="AM778" s="22">
        <v>0.16</v>
      </c>
      <c r="AO778" s="22" t="s">
        <v>830</v>
      </c>
      <c r="AP778" s="22" t="s">
        <v>673</v>
      </c>
      <c r="AQ778" s="22" t="str">
        <f t="shared" si="113"/>
        <v>Nanophytoplankton</v>
      </c>
      <c r="AR778" s="22">
        <v>1</v>
      </c>
      <c r="AS778" s="22">
        <v>1</v>
      </c>
      <c r="AT778" s="22">
        <v>0</v>
      </c>
      <c r="AU778" s="22">
        <v>0</v>
      </c>
      <c r="AV778" s="22">
        <v>0</v>
      </c>
      <c r="AW778" s="22">
        <v>0</v>
      </c>
      <c r="AX778" s="22">
        <v>0</v>
      </c>
      <c r="AY778" s="22">
        <v>1</v>
      </c>
    </row>
    <row r="779" spans="1:57">
      <c r="A779" s="21" t="s">
        <v>2363</v>
      </c>
      <c r="B779" s="22" t="s">
        <v>663</v>
      </c>
      <c r="C779" s="22" t="s">
        <v>2223</v>
      </c>
      <c r="D779" s="22" t="s">
        <v>2224</v>
      </c>
      <c r="E779" s="23" t="s">
        <v>63</v>
      </c>
      <c r="F779" s="23" t="s">
        <v>2225</v>
      </c>
      <c r="G779" s="23" t="s">
        <v>2226</v>
      </c>
      <c r="H779" s="22" t="s">
        <v>2253</v>
      </c>
      <c r="I779" s="22" t="s">
        <v>46</v>
      </c>
      <c r="J779" s="22" t="s">
        <v>2364</v>
      </c>
      <c r="N779" s="22" t="s">
        <v>2365</v>
      </c>
      <c r="O779" s="22" t="s">
        <v>2229</v>
      </c>
      <c r="P779" s="21">
        <v>83120</v>
      </c>
      <c r="Q779" s="21">
        <v>7</v>
      </c>
      <c r="R779" s="21">
        <v>5.5</v>
      </c>
      <c r="S779" s="21">
        <v>5.5</v>
      </c>
      <c r="T779" s="21" t="s">
        <v>281</v>
      </c>
      <c r="U779" s="21">
        <v>1</v>
      </c>
      <c r="V779" s="22">
        <v>1</v>
      </c>
      <c r="W779" s="24">
        <f t="shared" si="108"/>
        <v>385.65356859900635</v>
      </c>
      <c r="X779" s="24">
        <f t="shared" si="110"/>
        <v>110.81583333333333</v>
      </c>
      <c r="Y779" s="22">
        <v>1</v>
      </c>
      <c r="Z779" s="24">
        <f t="shared" si="111"/>
        <v>385.65356859900635</v>
      </c>
      <c r="AA779" s="24">
        <f t="shared" si="112"/>
        <v>110.81583333333333</v>
      </c>
      <c r="AB779" s="21"/>
      <c r="AC779" s="21"/>
      <c r="AD779" s="21"/>
      <c r="AF779" s="21" t="s">
        <v>247</v>
      </c>
      <c r="AJ779" s="21">
        <v>110.9</v>
      </c>
      <c r="AK779" s="21">
        <v>7</v>
      </c>
      <c r="AL779" s="22" t="s">
        <v>161</v>
      </c>
      <c r="AM779" s="22">
        <v>0.16</v>
      </c>
      <c r="AN779" s="22" t="s">
        <v>2257</v>
      </c>
      <c r="AO779" s="22" t="s">
        <v>2257</v>
      </c>
      <c r="AP779" s="22" t="s">
        <v>626</v>
      </c>
      <c r="AQ779" s="22" t="str">
        <f t="shared" si="113"/>
        <v>Nanophytoplankton</v>
      </c>
      <c r="AR779" s="22">
        <v>0</v>
      </c>
      <c r="AS779" s="22">
        <v>0</v>
      </c>
      <c r="AT779" s="22">
        <v>0</v>
      </c>
      <c r="AU779" s="22">
        <v>0</v>
      </c>
      <c r="AV779" s="22">
        <v>0</v>
      </c>
      <c r="AW779" s="22">
        <v>0</v>
      </c>
      <c r="AX779" s="22">
        <v>0</v>
      </c>
      <c r="AY779" s="22">
        <v>1</v>
      </c>
      <c r="AZ779" s="22">
        <v>0</v>
      </c>
      <c r="BA779" s="22">
        <v>0</v>
      </c>
      <c r="BB779" s="22">
        <v>0</v>
      </c>
      <c r="BC779" s="22">
        <v>0</v>
      </c>
      <c r="BD779" s="22">
        <v>2</v>
      </c>
      <c r="BE779" s="22">
        <v>8</v>
      </c>
    </row>
    <row r="780" spans="1:57">
      <c r="A780" s="21" t="s">
        <v>2366</v>
      </c>
      <c r="B780" s="22" t="s">
        <v>663</v>
      </c>
      <c r="C780" s="22" t="s">
        <v>2223</v>
      </c>
      <c r="D780" s="22" t="s">
        <v>2224</v>
      </c>
      <c r="E780" s="23" t="s">
        <v>63</v>
      </c>
      <c r="F780" s="23" t="s">
        <v>2225</v>
      </c>
      <c r="G780" s="23" t="s">
        <v>2226</v>
      </c>
      <c r="H780" s="22" t="s">
        <v>2253</v>
      </c>
      <c r="I780" s="22" t="s">
        <v>46</v>
      </c>
      <c r="J780" s="22" t="s">
        <v>1733</v>
      </c>
      <c r="N780" s="22" t="s">
        <v>2367</v>
      </c>
      <c r="O780" s="22" t="s">
        <v>2229</v>
      </c>
      <c r="P780" s="21">
        <v>83110</v>
      </c>
      <c r="Q780" s="21">
        <v>2</v>
      </c>
      <c r="R780" s="21">
        <v>2</v>
      </c>
      <c r="S780" s="21">
        <v>2</v>
      </c>
      <c r="T780" s="21" t="s">
        <v>281</v>
      </c>
      <c r="U780" s="21">
        <v>1</v>
      </c>
      <c r="V780" s="22">
        <v>1</v>
      </c>
      <c r="W780" s="24">
        <f t="shared" si="108"/>
        <v>46.59880302207403</v>
      </c>
      <c r="X780" s="24">
        <f t="shared" si="110"/>
        <v>4.1866666666666665</v>
      </c>
      <c r="Y780" s="22">
        <v>1</v>
      </c>
      <c r="Z780" s="24">
        <f t="shared" si="111"/>
        <v>46.59880302207403</v>
      </c>
      <c r="AA780" s="24">
        <f t="shared" si="112"/>
        <v>4.1866666666666665</v>
      </c>
      <c r="AB780" s="21"/>
      <c r="AC780" s="21"/>
      <c r="AD780" s="21"/>
      <c r="AF780" s="21" t="s">
        <v>247</v>
      </c>
      <c r="AJ780" s="21">
        <v>4.2</v>
      </c>
      <c r="AK780" s="21">
        <v>2</v>
      </c>
      <c r="AL780" s="22" t="s">
        <v>161</v>
      </c>
      <c r="AM780" s="22">
        <v>0.16</v>
      </c>
      <c r="AN780" s="22" t="s">
        <v>2257</v>
      </c>
      <c r="AO780" s="22" t="s">
        <v>2257</v>
      </c>
      <c r="AP780" s="22" t="s">
        <v>626</v>
      </c>
      <c r="AQ780" s="22" t="str">
        <f t="shared" si="113"/>
        <v>Nanophytoplankton</v>
      </c>
      <c r="AR780" s="22">
        <v>0</v>
      </c>
      <c r="AS780" s="22">
        <v>0</v>
      </c>
      <c r="AT780" s="22">
        <v>0</v>
      </c>
      <c r="AU780" s="22">
        <v>0</v>
      </c>
      <c r="AV780" s="22">
        <v>0</v>
      </c>
      <c r="AW780" s="22">
        <v>0</v>
      </c>
      <c r="AX780" s="22">
        <v>0</v>
      </c>
      <c r="AY780" s="22">
        <v>1</v>
      </c>
      <c r="AZ780" s="22">
        <v>0</v>
      </c>
      <c r="BA780" s="22">
        <v>0</v>
      </c>
      <c r="BB780" s="22">
        <v>0</v>
      </c>
      <c r="BC780" s="22">
        <v>0</v>
      </c>
      <c r="BD780" s="22">
        <v>2</v>
      </c>
      <c r="BE780" s="22">
        <v>8</v>
      </c>
    </row>
    <row r="781" spans="1:57">
      <c r="A781" s="22" t="s">
        <v>2368</v>
      </c>
      <c r="B781" s="22" t="s">
        <v>663</v>
      </c>
      <c r="C781" s="22" t="s">
        <v>2223</v>
      </c>
      <c r="D781" s="22" t="s">
        <v>2224</v>
      </c>
      <c r="E781" s="23" t="s">
        <v>63</v>
      </c>
      <c r="F781" s="23" t="s">
        <v>2225</v>
      </c>
      <c r="G781" s="23" t="s">
        <v>2226</v>
      </c>
      <c r="H781" s="22" t="s">
        <v>2253</v>
      </c>
      <c r="J781" s="22" t="s">
        <v>211</v>
      </c>
      <c r="M781" s="22" t="s">
        <v>104</v>
      </c>
      <c r="O781" s="22" t="s">
        <v>2229</v>
      </c>
      <c r="P781" s="21">
        <v>83109</v>
      </c>
      <c r="Q781" s="22">
        <v>5</v>
      </c>
      <c r="R781" s="22">
        <v>5</v>
      </c>
      <c r="S781" s="22">
        <v>5</v>
      </c>
      <c r="T781" s="22" t="s">
        <v>246</v>
      </c>
      <c r="U781" s="21">
        <v>1</v>
      </c>
      <c r="V781" s="22">
        <v>1</v>
      </c>
      <c r="W781" s="25">
        <f>4*3.14*(R781/2)*(Q781/2)/V781</f>
        <v>78.5</v>
      </c>
      <c r="X781" s="25">
        <f>(3.14/6*(Q781*S781*R781))*U781</f>
        <v>65.416666666666671</v>
      </c>
      <c r="Y781" s="22">
        <v>1</v>
      </c>
      <c r="Z781" s="24">
        <f t="shared" si="111"/>
        <v>78.5</v>
      </c>
      <c r="AA781" s="24">
        <f t="shared" si="112"/>
        <v>65.416666666666671</v>
      </c>
      <c r="AF781" s="21" t="s">
        <v>247</v>
      </c>
      <c r="AJ781" s="21">
        <v>65.416666666666671</v>
      </c>
      <c r="AK781" s="21">
        <v>5</v>
      </c>
      <c r="AL781" s="22" t="s">
        <v>161</v>
      </c>
      <c r="AM781" s="22">
        <v>0.16</v>
      </c>
      <c r="AN781" s="22" t="s">
        <v>2257</v>
      </c>
      <c r="AO781" s="22" t="s">
        <v>2257</v>
      </c>
      <c r="AP781" s="22" t="s">
        <v>626</v>
      </c>
      <c r="AQ781" s="22" t="str">
        <f t="shared" si="113"/>
        <v>Nanophytoplankton</v>
      </c>
      <c r="AR781" s="22">
        <v>0</v>
      </c>
      <c r="AS781" s="22">
        <v>0</v>
      </c>
      <c r="AT781" s="22">
        <v>0</v>
      </c>
      <c r="AU781" s="22">
        <v>0</v>
      </c>
      <c r="AV781" s="22">
        <v>0</v>
      </c>
      <c r="AW781" s="22">
        <v>0</v>
      </c>
      <c r="AX781" s="22">
        <v>0</v>
      </c>
      <c r="AY781" s="22">
        <v>1</v>
      </c>
    </row>
    <row r="782" spans="1:57">
      <c r="A782" s="21" t="s">
        <v>2369</v>
      </c>
      <c r="B782" s="22" t="s">
        <v>663</v>
      </c>
      <c r="C782" s="22" t="s">
        <v>2223</v>
      </c>
      <c r="D782" s="22" t="s">
        <v>2224</v>
      </c>
      <c r="E782" s="23" t="s">
        <v>63</v>
      </c>
      <c r="F782" s="23" t="s">
        <v>2370</v>
      </c>
      <c r="G782" s="23" t="s">
        <v>2371</v>
      </c>
      <c r="H782" s="23" t="s">
        <v>2372</v>
      </c>
      <c r="I782" s="22" t="s">
        <v>2373</v>
      </c>
      <c r="J782" s="22" t="s">
        <v>211</v>
      </c>
      <c r="M782" s="22" t="s">
        <v>1</v>
      </c>
      <c r="N782" s="22" t="s">
        <v>1367</v>
      </c>
      <c r="O782" s="22" t="s">
        <v>2229</v>
      </c>
      <c r="P782" s="21">
        <v>82911</v>
      </c>
      <c r="Q782" s="21">
        <v>9</v>
      </c>
      <c r="R782" s="21">
        <v>7</v>
      </c>
      <c r="S782" s="21">
        <v>7</v>
      </c>
      <c r="T782" s="21" t="s">
        <v>160</v>
      </c>
      <c r="U782" s="21">
        <v>1</v>
      </c>
      <c r="V782" s="21">
        <v>1</v>
      </c>
      <c r="W782" s="24">
        <f>3.14*R782*Q782+2*3.14*(S782/2)^2/V782</f>
        <v>274.75</v>
      </c>
      <c r="X782" s="25">
        <f>(3.14/4*R782^2*Q782)*U782</f>
        <v>346.18500000000006</v>
      </c>
      <c r="Y782" s="21">
        <v>11.11</v>
      </c>
      <c r="Z782" s="24">
        <f t="shared" si="111"/>
        <v>3052.4724999999999</v>
      </c>
      <c r="AA782" s="24">
        <f t="shared" si="112"/>
        <v>3846.1153500000005</v>
      </c>
      <c r="AB782" s="21">
        <v>100</v>
      </c>
      <c r="AC782" s="21">
        <v>7</v>
      </c>
      <c r="AD782" s="21">
        <v>7</v>
      </c>
      <c r="AE782" s="21" t="s">
        <v>160</v>
      </c>
      <c r="AF782" s="21">
        <v>1</v>
      </c>
      <c r="AG782" s="21">
        <v>1</v>
      </c>
      <c r="AH782" s="24">
        <f>3.14*AC782*AB782+2*3.14*(AD782/2)^2/AG782</f>
        <v>2274.9299999999998</v>
      </c>
      <c r="AI782" s="25">
        <f>(3.14/4*AC782^2*AB782)*AF782</f>
        <v>3846.5000000000005</v>
      </c>
      <c r="AJ782" s="21">
        <v>3848.2</v>
      </c>
      <c r="AK782" s="21">
        <v>100</v>
      </c>
      <c r="AL782" s="22" t="s">
        <v>161</v>
      </c>
      <c r="AM782" s="22">
        <v>0.16</v>
      </c>
      <c r="AO782" s="22" t="s">
        <v>673</v>
      </c>
      <c r="AP782" s="22" t="s">
        <v>162</v>
      </c>
      <c r="AQ782" s="22" t="str">
        <f t="shared" si="113"/>
        <v>Microphytoplankton</v>
      </c>
      <c r="AR782" s="22">
        <v>0</v>
      </c>
      <c r="AS782" s="22">
        <v>0</v>
      </c>
      <c r="AT782" s="22">
        <v>0</v>
      </c>
      <c r="AU782" s="22">
        <v>1</v>
      </c>
      <c r="AV782" s="22">
        <v>1</v>
      </c>
      <c r="AW782" s="22">
        <v>0</v>
      </c>
      <c r="AX782" s="22">
        <v>0</v>
      </c>
      <c r="AY782" s="22">
        <v>1</v>
      </c>
    </row>
    <row r="783" spans="1:57">
      <c r="A783" s="21" t="s">
        <v>2374</v>
      </c>
      <c r="B783" s="22" t="s">
        <v>663</v>
      </c>
      <c r="C783" s="22" t="s">
        <v>2223</v>
      </c>
      <c r="D783" s="22" t="s">
        <v>2224</v>
      </c>
      <c r="E783" s="23" t="s">
        <v>63</v>
      </c>
      <c r="F783" s="23" t="s">
        <v>2370</v>
      </c>
      <c r="G783" s="23" t="s">
        <v>2371</v>
      </c>
      <c r="H783" s="23" t="s">
        <v>2372</v>
      </c>
      <c r="I783" s="22" t="s">
        <v>2373</v>
      </c>
      <c r="J783" s="22" t="s">
        <v>2375</v>
      </c>
      <c r="N783" s="22" t="s">
        <v>2376</v>
      </c>
      <c r="O783" s="22" t="s">
        <v>2229</v>
      </c>
      <c r="P783" s="21">
        <v>82910</v>
      </c>
      <c r="Q783" s="21">
        <v>9</v>
      </c>
      <c r="R783" s="21">
        <v>7</v>
      </c>
      <c r="S783" s="21">
        <v>7</v>
      </c>
      <c r="T783" s="21" t="s">
        <v>160</v>
      </c>
      <c r="U783" s="21">
        <v>1</v>
      </c>
      <c r="V783" s="21">
        <v>1</v>
      </c>
      <c r="W783" s="24">
        <f>3.14*R783*Q783+2*3.14*(S783/2)^2/V783</f>
        <v>274.75</v>
      </c>
      <c r="X783" s="25">
        <f>(3.14/4*R783^2*Q783)*U783</f>
        <v>346.18500000000006</v>
      </c>
      <c r="Y783" s="21">
        <v>11.11</v>
      </c>
      <c r="Z783" s="24">
        <f t="shared" si="111"/>
        <v>3052.4724999999999</v>
      </c>
      <c r="AA783" s="24">
        <f t="shared" si="112"/>
        <v>3846.1153500000005</v>
      </c>
      <c r="AB783" s="21">
        <v>100</v>
      </c>
      <c r="AC783" s="21">
        <v>7</v>
      </c>
      <c r="AD783" s="21">
        <v>7</v>
      </c>
      <c r="AE783" s="21" t="s">
        <v>160</v>
      </c>
      <c r="AF783" s="21">
        <v>1</v>
      </c>
      <c r="AG783" s="21">
        <v>1</v>
      </c>
      <c r="AH783" s="24">
        <f>3.14*AC783*AB783+2*3.14*(AD783/2)^2/AG783</f>
        <v>2274.9299999999998</v>
      </c>
      <c r="AI783" s="25">
        <f>(3.14/4*AC783^2*AB783)*AF783</f>
        <v>3846.5000000000005</v>
      </c>
      <c r="AJ783" s="21">
        <v>3848.2</v>
      </c>
      <c r="AK783" s="21">
        <v>100</v>
      </c>
      <c r="AL783" s="22" t="s">
        <v>161</v>
      </c>
      <c r="AM783" s="22">
        <v>0.16</v>
      </c>
      <c r="AO783" s="22" t="s">
        <v>673</v>
      </c>
      <c r="AP783" s="22" t="s">
        <v>162</v>
      </c>
      <c r="AQ783" s="22" t="str">
        <f t="shared" si="113"/>
        <v>Microphytoplankton</v>
      </c>
      <c r="AR783" s="22">
        <v>0</v>
      </c>
      <c r="AS783" s="22">
        <v>0</v>
      </c>
      <c r="AT783" s="22">
        <v>0</v>
      </c>
      <c r="AU783" s="22">
        <v>1</v>
      </c>
      <c r="AV783" s="22">
        <v>1</v>
      </c>
      <c r="AW783" s="22">
        <v>0</v>
      </c>
      <c r="AX783" s="22">
        <v>0</v>
      </c>
      <c r="AY783" s="22">
        <v>1</v>
      </c>
    </row>
    <row r="784" spans="1:57">
      <c r="A784" s="21" t="s">
        <v>2377</v>
      </c>
      <c r="B784" s="22" t="s">
        <v>663</v>
      </c>
      <c r="C784" s="22" t="s">
        <v>2223</v>
      </c>
      <c r="D784" s="22" t="s">
        <v>2224</v>
      </c>
      <c r="E784" s="23" t="s">
        <v>63</v>
      </c>
      <c r="F784" s="23" t="s">
        <v>2225</v>
      </c>
      <c r="G784" s="23" t="s">
        <v>2226</v>
      </c>
      <c r="H784" s="22" t="s">
        <v>2253</v>
      </c>
      <c r="I784" s="22" t="s">
        <v>2378</v>
      </c>
      <c r="J784" s="22" t="s">
        <v>2379</v>
      </c>
      <c r="N784" s="22" t="s">
        <v>2380</v>
      </c>
      <c r="O784" s="22" t="s">
        <v>2229</v>
      </c>
      <c r="P784" s="21">
        <v>81000</v>
      </c>
      <c r="Q784" s="21">
        <v>9.5</v>
      </c>
      <c r="R784" s="21">
        <v>9.5</v>
      </c>
      <c r="S784" s="21">
        <v>4</v>
      </c>
      <c r="T784" s="21" t="s">
        <v>281</v>
      </c>
      <c r="U784" s="21">
        <v>1</v>
      </c>
      <c r="V784" s="22">
        <v>1</v>
      </c>
      <c r="W784" s="24">
        <f t="shared" ref="W784:W803" si="114">(4*3.14*(((Q784^1.6*R784^1.6+Q784^1.6*S784^1.6+R784^1.6+S784^1.6)/3)^(1/1.6)))*(1/V784)</f>
        <v>667.16289002261783</v>
      </c>
      <c r="X784" s="24">
        <f t="shared" ref="X784:X794" si="115">3.14/6*Q784*R784*S784*U784</f>
        <v>188.92333333333335</v>
      </c>
      <c r="Y784" s="21">
        <v>1</v>
      </c>
      <c r="Z784" s="24">
        <f t="shared" si="111"/>
        <v>667.16289002261783</v>
      </c>
      <c r="AA784" s="24">
        <f t="shared" si="112"/>
        <v>188.92333333333335</v>
      </c>
      <c r="AB784" s="21"/>
      <c r="AC784" s="21"/>
      <c r="AD784" s="21"/>
      <c r="AE784" s="21"/>
      <c r="AF784" s="21" t="s">
        <v>247</v>
      </c>
      <c r="AG784" s="21"/>
      <c r="AH784" s="24"/>
      <c r="AI784" s="24"/>
      <c r="AJ784" s="21">
        <v>189</v>
      </c>
      <c r="AK784" s="21">
        <v>9.5</v>
      </c>
      <c r="AL784" s="22" t="s">
        <v>161</v>
      </c>
      <c r="AM784" s="22">
        <v>0.16</v>
      </c>
      <c r="AQ784" s="22" t="str">
        <f t="shared" si="113"/>
        <v>Nanophytoplankton</v>
      </c>
      <c r="AR784" s="22">
        <v>0</v>
      </c>
      <c r="AS784" s="22">
        <v>0</v>
      </c>
      <c r="AT784" s="22">
        <v>0</v>
      </c>
      <c r="AU784" s="22">
        <v>1</v>
      </c>
      <c r="AV784" s="22">
        <v>0</v>
      </c>
      <c r="AW784" s="22">
        <v>0</v>
      </c>
      <c r="AX784" s="22">
        <v>0</v>
      </c>
      <c r="AY784" s="22">
        <v>1</v>
      </c>
    </row>
    <row r="785" spans="1:57">
      <c r="A785" s="21" t="s">
        <v>2381</v>
      </c>
      <c r="B785" s="22" t="s">
        <v>663</v>
      </c>
      <c r="C785" s="22" t="s">
        <v>2223</v>
      </c>
      <c r="D785" s="22" t="s">
        <v>2224</v>
      </c>
      <c r="E785" s="23" t="s">
        <v>63</v>
      </c>
      <c r="F785" s="23" t="s">
        <v>2225</v>
      </c>
      <c r="G785" s="29"/>
      <c r="H785" s="29"/>
      <c r="I785" s="22" t="s">
        <v>2225</v>
      </c>
      <c r="J785" s="22" t="s">
        <v>2382</v>
      </c>
      <c r="K785" s="29"/>
      <c r="L785" s="29"/>
      <c r="M785" s="22" t="s">
        <v>104</v>
      </c>
      <c r="O785" s="22" t="s">
        <v>2225</v>
      </c>
      <c r="P785" s="21">
        <v>80005</v>
      </c>
      <c r="Q785" s="22">
        <v>2</v>
      </c>
      <c r="R785" s="22">
        <v>2</v>
      </c>
      <c r="S785" s="22">
        <v>2</v>
      </c>
      <c r="T785" s="22" t="s">
        <v>281</v>
      </c>
      <c r="U785" s="21">
        <v>1</v>
      </c>
      <c r="V785" s="22">
        <v>1</v>
      </c>
      <c r="W785" s="24">
        <f t="shared" si="114"/>
        <v>46.59880302207403</v>
      </c>
      <c r="X785" s="24">
        <f t="shared" si="115"/>
        <v>4.1866666666666665</v>
      </c>
      <c r="Y785" s="22">
        <v>8</v>
      </c>
      <c r="Z785" s="24">
        <f t="shared" si="111"/>
        <v>372.79042417659224</v>
      </c>
      <c r="AA785" s="24">
        <f t="shared" si="112"/>
        <v>33.493333333333332</v>
      </c>
      <c r="AB785" s="22">
        <v>4</v>
      </c>
      <c r="AC785" s="22">
        <v>4</v>
      </c>
      <c r="AD785" s="22">
        <v>4</v>
      </c>
      <c r="AE785" s="22" t="s">
        <v>159</v>
      </c>
      <c r="AF785" s="21">
        <v>1</v>
      </c>
      <c r="AG785" s="22">
        <v>1</v>
      </c>
      <c r="AH785" s="24">
        <f>(4*3.14*(((AB785^1.6*AC785^1.6+AB785^1.6*AD785^1.6+AC785^1.6+AD785^1.6)/3)^(1/1.6)))*(1/AG785)</f>
        <v>166.37591354482302</v>
      </c>
      <c r="AI785" s="24">
        <f>3.14/6*AB785*AC785*AD785*AF785</f>
        <v>33.493333333333332</v>
      </c>
      <c r="AJ785" s="21">
        <v>268</v>
      </c>
      <c r="AK785" s="21">
        <v>7.5</v>
      </c>
      <c r="AL785" s="22" t="s">
        <v>161</v>
      </c>
      <c r="AM785" s="22">
        <v>0.16</v>
      </c>
      <c r="AN785" s="29"/>
      <c r="AP785" s="22" t="s">
        <v>626</v>
      </c>
      <c r="AQ785" s="22" t="str">
        <f t="shared" si="113"/>
        <v>Nanophytoplankton</v>
      </c>
      <c r="AR785" s="22">
        <v>0</v>
      </c>
      <c r="AS785" s="22">
        <v>0</v>
      </c>
      <c r="AT785" s="22">
        <v>0</v>
      </c>
      <c r="AU785" s="22">
        <v>0</v>
      </c>
      <c r="AV785" s="22">
        <v>0</v>
      </c>
      <c r="AW785" s="22">
        <v>0</v>
      </c>
      <c r="AX785" s="22">
        <v>0</v>
      </c>
      <c r="AY785" s="22">
        <v>1</v>
      </c>
    </row>
    <row r="786" spans="1:57">
      <c r="A786" s="21" t="s">
        <v>2383</v>
      </c>
      <c r="B786" s="22" t="s">
        <v>663</v>
      </c>
      <c r="C786" s="22" t="s">
        <v>2223</v>
      </c>
      <c r="D786" s="22" t="s">
        <v>2224</v>
      </c>
      <c r="E786" s="23" t="s">
        <v>63</v>
      </c>
      <c r="F786" s="23" t="s">
        <v>2225</v>
      </c>
      <c r="I786" s="22" t="s">
        <v>2225</v>
      </c>
      <c r="J786" s="22" t="s">
        <v>2384</v>
      </c>
      <c r="M786" s="22" t="s">
        <v>104</v>
      </c>
      <c r="O786" s="22" t="s">
        <v>2225</v>
      </c>
      <c r="P786" s="21">
        <v>80004</v>
      </c>
      <c r="Q786" s="22">
        <v>40</v>
      </c>
      <c r="R786" s="22">
        <v>1.2</v>
      </c>
      <c r="S786" s="22">
        <v>1.2</v>
      </c>
      <c r="T786" s="22" t="s">
        <v>281</v>
      </c>
      <c r="U786" s="21">
        <v>1</v>
      </c>
      <c r="V786" s="22">
        <v>1</v>
      </c>
      <c r="W786" s="24">
        <f t="shared" si="114"/>
        <v>468.72138356288923</v>
      </c>
      <c r="X786" s="24">
        <f t="shared" si="115"/>
        <v>30.143999999999998</v>
      </c>
      <c r="Y786" s="22">
        <v>1</v>
      </c>
      <c r="Z786" s="24">
        <f t="shared" si="111"/>
        <v>468.72138356288923</v>
      </c>
      <c r="AA786" s="24">
        <f t="shared" si="112"/>
        <v>30.143999999999998</v>
      </c>
      <c r="AF786" s="21" t="s">
        <v>247</v>
      </c>
      <c r="AJ786" s="21">
        <v>15.1</v>
      </c>
      <c r="AK786" s="21">
        <v>40</v>
      </c>
      <c r="AL786" s="22" t="s">
        <v>161</v>
      </c>
      <c r="AM786" s="22">
        <v>0.16</v>
      </c>
      <c r="AP786" s="22" t="s">
        <v>626</v>
      </c>
      <c r="AQ786" s="22" t="str">
        <f t="shared" si="113"/>
        <v>Microphytoplankton</v>
      </c>
      <c r="AR786" s="22">
        <v>0</v>
      </c>
      <c r="AS786" s="22">
        <v>0</v>
      </c>
      <c r="AT786" s="22">
        <v>0</v>
      </c>
      <c r="AU786" s="22">
        <v>0</v>
      </c>
      <c r="AV786" s="22">
        <v>0</v>
      </c>
      <c r="AW786" s="22">
        <v>0</v>
      </c>
      <c r="AX786" s="22">
        <v>0</v>
      </c>
      <c r="AY786" s="22">
        <v>1</v>
      </c>
    </row>
    <row r="787" spans="1:57">
      <c r="A787" s="21" t="s">
        <v>2385</v>
      </c>
      <c r="B787" s="22" t="s">
        <v>663</v>
      </c>
      <c r="C787" s="22" t="s">
        <v>2223</v>
      </c>
      <c r="D787" s="22" t="s">
        <v>2224</v>
      </c>
      <c r="E787" s="23" t="s">
        <v>63</v>
      </c>
      <c r="F787" s="23" t="s">
        <v>2225</v>
      </c>
      <c r="I787" s="22" t="s">
        <v>2225</v>
      </c>
      <c r="J787" s="22" t="s">
        <v>2386</v>
      </c>
      <c r="M787" s="22" t="s">
        <v>104</v>
      </c>
      <c r="O787" s="22" t="s">
        <v>2225</v>
      </c>
      <c r="P787" s="21">
        <v>80003</v>
      </c>
      <c r="Q787" s="22">
        <v>8</v>
      </c>
      <c r="R787" s="22">
        <v>8</v>
      </c>
      <c r="S787" s="22">
        <v>8</v>
      </c>
      <c r="T787" s="22" t="s">
        <v>281</v>
      </c>
      <c r="U787" s="21">
        <v>1</v>
      </c>
      <c r="V787" s="22">
        <v>1</v>
      </c>
      <c r="W787" s="24">
        <f t="shared" si="114"/>
        <v>637.80128491389792</v>
      </c>
      <c r="X787" s="24">
        <f t="shared" si="115"/>
        <v>267.94666666666666</v>
      </c>
      <c r="Y787" s="22">
        <v>1</v>
      </c>
      <c r="Z787" s="24">
        <f t="shared" si="111"/>
        <v>637.80128491389792</v>
      </c>
      <c r="AA787" s="24">
        <f t="shared" si="112"/>
        <v>267.94666666666666</v>
      </c>
      <c r="AF787" s="21" t="s">
        <v>247</v>
      </c>
      <c r="AJ787" s="21">
        <v>262</v>
      </c>
      <c r="AK787" s="21">
        <v>8</v>
      </c>
      <c r="AL787" s="22" t="s">
        <v>161</v>
      </c>
      <c r="AM787" s="22">
        <v>0.16</v>
      </c>
      <c r="AP787" s="22" t="s">
        <v>626</v>
      </c>
      <c r="AQ787" s="22" t="str">
        <f t="shared" si="113"/>
        <v>Nanophytoplankton</v>
      </c>
      <c r="AR787" s="22">
        <v>0</v>
      </c>
      <c r="AS787" s="22">
        <v>0</v>
      </c>
      <c r="AT787" s="22">
        <v>0</v>
      </c>
      <c r="AU787" s="22">
        <v>0</v>
      </c>
      <c r="AV787" s="22">
        <v>0</v>
      </c>
      <c r="AW787" s="22">
        <v>0</v>
      </c>
      <c r="AX787" s="22">
        <v>0</v>
      </c>
      <c r="AY787" s="22">
        <v>1</v>
      </c>
    </row>
    <row r="788" spans="1:57">
      <c r="A788" s="21" t="s">
        <v>2387</v>
      </c>
      <c r="B788" s="22" t="s">
        <v>663</v>
      </c>
      <c r="C788" s="22" t="s">
        <v>2223</v>
      </c>
      <c r="D788" s="22" t="s">
        <v>2224</v>
      </c>
      <c r="E788" s="23" t="s">
        <v>63</v>
      </c>
      <c r="F788" s="23" t="s">
        <v>2225</v>
      </c>
      <c r="I788" s="22" t="s">
        <v>2225</v>
      </c>
      <c r="J788" s="22" t="s">
        <v>211</v>
      </c>
      <c r="M788" s="22" t="s">
        <v>104</v>
      </c>
      <c r="O788" s="22" t="s">
        <v>2225</v>
      </c>
      <c r="P788" s="21">
        <v>80002</v>
      </c>
      <c r="Q788" s="21">
        <v>28</v>
      </c>
      <c r="R788" s="21">
        <v>5.5</v>
      </c>
      <c r="S788" s="21">
        <v>5.5</v>
      </c>
      <c r="T788" s="21" t="s">
        <v>281</v>
      </c>
      <c r="U788" s="21">
        <v>1</v>
      </c>
      <c r="V788" s="22">
        <v>1</v>
      </c>
      <c r="W788" s="24">
        <f t="shared" si="114"/>
        <v>1505.7851078260703</v>
      </c>
      <c r="X788" s="24">
        <f t="shared" si="115"/>
        <v>443.26333333333332</v>
      </c>
      <c r="Y788" s="21">
        <v>1</v>
      </c>
      <c r="Z788" s="24">
        <f t="shared" si="111"/>
        <v>1505.7851078260703</v>
      </c>
      <c r="AA788" s="24">
        <f t="shared" si="112"/>
        <v>443.26333333333332</v>
      </c>
      <c r="AB788" s="21"/>
      <c r="AC788" s="21"/>
      <c r="AD788" s="21"/>
      <c r="AE788" s="21"/>
      <c r="AF788" s="21" t="s">
        <v>247</v>
      </c>
      <c r="AG788" s="21"/>
      <c r="AH788" s="24"/>
      <c r="AI788" s="24"/>
      <c r="AJ788" s="21">
        <v>221.6</v>
      </c>
      <c r="AK788" s="21">
        <v>28</v>
      </c>
      <c r="AL788" s="22" t="s">
        <v>161</v>
      </c>
      <c r="AM788" s="22">
        <v>0.16</v>
      </c>
      <c r="AP788" s="22" t="s">
        <v>626</v>
      </c>
      <c r="AQ788" s="22" t="str">
        <f t="shared" si="113"/>
        <v>Microphytoplankton</v>
      </c>
      <c r="AR788" s="22">
        <v>0</v>
      </c>
      <c r="AS788" s="22">
        <v>0</v>
      </c>
      <c r="AT788" s="22">
        <v>0</v>
      </c>
      <c r="AU788" s="22">
        <v>0</v>
      </c>
      <c r="AV788" s="22">
        <v>0</v>
      </c>
      <c r="AW788" s="22">
        <v>0</v>
      </c>
      <c r="AX788" s="22">
        <v>0</v>
      </c>
      <c r="AY788" s="22">
        <v>1</v>
      </c>
    </row>
    <row r="789" spans="1:57">
      <c r="A789" s="21" t="s">
        <v>2388</v>
      </c>
      <c r="B789" s="22" t="s">
        <v>663</v>
      </c>
      <c r="C789" s="22" t="s">
        <v>2223</v>
      </c>
      <c r="D789" s="22" t="s">
        <v>2224</v>
      </c>
      <c r="E789" s="23" t="s">
        <v>63</v>
      </c>
      <c r="F789" s="23" t="s">
        <v>2225</v>
      </c>
      <c r="G789" s="29"/>
      <c r="H789" s="29"/>
      <c r="I789" s="22" t="s">
        <v>2225</v>
      </c>
      <c r="J789" s="22" t="s">
        <v>2389</v>
      </c>
      <c r="K789" s="29"/>
      <c r="L789" s="29"/>
      <c r="M789" s="22" t="s">
        <v>104</v>
      </c>
      <c r="O789" s="22" t="s">
        <v>2225</v>
      </c>
      <c r="P789" s="21">
        <v>80006</v>
      </c>
      <c r="Q789" s="22">
        <v>13</v>
      </c>
      <c r="R789" s="22">
        <v>13</v>
      </c>
      <c r="S789" s="22">
        <v>13</v>
      </c>
      <c r="T789" s="22" t="s">
        <v>281</v>
      </c>
      <c r="U789" s="21">
        <v>1</v>
      </c>
      <c r="V789" s="22">
        <v>1</v>
      </c>
      <c r="W789" s="24">
        <f t="shared" si="114"/>
        <v>1664.4222732199528</v>
      </c>
      <c r="X789" s="24">
        <f t="shared" si="115"/>
        <v>1149.7633333333333</v>
      </c>
      <c r="Y789" s="22">
        <v>8.8000000000000007</v>
      </c>
      <c r="Z789" s="24">
        <f t="shared" si="111"/>
        <v>14646.916004335586</v>
      </c>
      <c r="AA789" s="24">
        <f t="shared" si="112"/>
        <v>10117.917333333335</v>
      </c>
      <c r="AB789" s="22">
        <v>114</v>
      </c>
      <c r="AC789" s="22">
        <v>13</v>
      </c>
      <c r="AD789" s="22">
        <v>13</v>
      </c>
      <c r="AE789" s="21" t="s">
        <v>160</v>
      </c>
      <c r="AF789" s="21">
        <v>1</v>
      </c>
      <c r="AG789" s="22">
        <v>1</v>
      </c>
      <c r="AH789" s="24">
        <f>3.14*AC789*AB789+2*3.14*(AD789/2)^2/AG789</f>
        <v>4918.8100000000004</v>
      </c>
      <c r="AI789" s="25">
        <f>(3.14/4*AC789^2*AB789)*AF789</f>
        <v>15123.81</v>
      </c>
      <c r="AJ789" s="21">
        <v>10082.539999999999</v>
      </c>
      <c r="AK789" s="21">
        <v>114</v>
      </c>
      <c r="AL789" s="22" t="s">
        <v>161</v>
      </c>
      <c r="AM789" s="22">
        <v>0.16</v>
      </c>
      <c r="AN789" s="29"/>
      <c r="AQ789" s="22" t="str">
        <f t="shared" si="113"/>
        <v>Microphytoplankton</v>
      </c>
      <c r="AR789" s="29">
        <v>0</v>
      </c>
      <c r="AS789" s="22">
        <v>0</v>
      </c>
      <c r="AT789" s="22">
        <v>0</v>
      </c>
      <c r="AU789" s="22">
        <v>1</v>
      </c>
      <c r="AV789" s="22">
        <v>1</v>
      </c>
      <c r="AW789" s="22">
        <v>0</v>
      </c>
      <c r="AX789" s="22">
        <v>0</v>
      </c>
      <c r="AY789" s="22">
        <v>1</v>
      </c>
    </row>
    <row r="790" spans="1:57">
      <c r="A790" s="22" t="s">
        <v>2390</v>
      </c>
      <c r="B790" s="22" t="s">
        <v>663</v>
      </c>
      <c r="C790" s="22" t="s">
        <v>2223</v>
      </c>
      <c r="D790" s="22" t="s">
        <v>2224</v>
      </c>
      <c r="E790" s="23" t="s">
        <v>63</v>
      </c>
      <c r="F790" s="23" t="s">
        <v>2225</v>
      </c>
      <c r="I790" s="22" t="s">
        <v>2225</v>
      </c>
      <c r="J790" s="22" t="s">
        <v>1556</v>
      </c>
      <c r="M790" s="22" t="s">
        <v>104</v>
      </c>
      <c r="O790" s="22" t="s">
        <v>2225</v>
      </c>
      <c r="P790" s="21">
        <v>80007</v>
      </c>
      <c r="Q790" s="22">
        <v>10</v>
      </c>
      <c r="R790" s="22">
        <v>5</v>
      </c>
      <c r="S790" s="22">
        <v>5</v>
      </c>
      <c r="T790" s="22" t="s">
        <v>281</v>
      </c>
      <c r="U790" s="21">
        <v>1</v>
      </c>
      <c r="V790" s="22">
        <v>1</v>
      </c>
      <c r="W790" s="24">
        <f t="shared" si="114"/>
        <v>495.03567506413054</v>
      </c>
      <c r="X790" s="24">
        <f t="shared" si="115"/>
        <v>130.83333333333334</v>
      </c>
      <c r="Y790" s="22">
        <v>1</v>
      </c>
      <c r="Z790" s="24">
        <f t="shared" si="111"/>
        <v>495.03567506413054</v>
      </c>
      <c r="AA790" s="24">
        <f t="shared" si="112"/>
        <v>130.83333333333334</v>
      </c>
      <c r="AF790" s="21" t="s">
        <v>247</v>
      </c>
      <c r="AJ790" s="21">
        <v>130.83333333333331</v>
      </c>
      <c r="AK790" s="21">
        <v>10</v>
      </c>
      <c r="AL790" s="22" t="s">
        <v>161</v>
      </c>
      <c r="AM790" s="22">
        <v>0.16</v>
      </c>
      <c r="AQ790" s="22" t="str">
        <f t="shared" si="113"/>
        <v>Nanophytoplankton</v>
      </c>
      <c r="AR790" s="22">
        <v>0</v>
      </c>
      <c r="AS790" s="22">
        <v>0</v>
      </c>
      <c r="AT790" s="22">
        <v>0</v>
      </c>
      <c r="AU790" s="22">
        <v>0</v>
      </c>
      <c r="AV790" s="22">
        <v>0</v>
      </c>
      <c r="AW790" s="22">
        <v>0</v>
      </c>
      <c r="AX790" s="22">
        <v>0</v>
      </c>
      <c r="AY790" s="22">
        <v>1</v>
      </c>
    </row>
    <row r="791" spans="1:57">
      <c r="A791" s="21" t="s">
        <v>2391</v>
      </c>
      <c r="B791" s="22" t="s">
        <v>663</v>
      </c>
      <c r="C791" s="22" t="s">
        <v>2223</v>
      </c>
      <c r="D791" s="22" t="s">
        <v>2224</v>
      </c>
      <c r="E791" s="23" t="s">
        <v>63</v>
      </c>
      <c r="F791" s="23" t="s">
        <v>2225</v>
      </c>
      <c r="G791" s="23" t="s">
        <v>2226</v>
      </c>
      <c r="H791" s="22" t="s">
        <v>2253</v>
      </c>
      <c r="I791" s="22" t="s">
        <v>2392</v>
      </c>
      <c r="J791" s="22" t="s">
        <v>996</v>
      </c>
      <c r="N791" s="22" t="s">
        <v>2393</v>
      </c>
      <c r="O791" s="22" t="s">
        <v>2229</v>
      </c>
      <c r="P791" s="21">
        <v>86310</v>
      </c>
      <c r="Q791" s="22">
        <v>7.5</v>
      </c>
      <c r="R791" s="22">
        <v>3</v>
      </c>
      <c r="S791" s="22">
        <v>3</v>
      </c>
      <c r="T791" s="22" t="s">
        <v>281</v>
      </c>
      <c r="U791" s="21">
        <v>1</v>
      </c>
      <c r="V791" s="22">
        <v>1</v>
      </c>
      <c r="W791" s="24">
        <f t="shared" si="114"/>
        <v>224.75491930577508</v>
      </c>
      <c r="X791" s="24">
        <f t="shared" si="115"/>
        <v>35.324999999999996</v>
      </c>
      <c r="Y791" s="22">
        <v>1</v>
      </c>
      <c r="Z791" s="24">
        <f t="shared" si="111"/>
        <v>224.75491930577508</v>
      </c>
      <c r="AA791" s="24">
        <f t="shared" si="112"/>
        <v>35.324999999999996</v>
      </c>
      <c r="AF791" s="21" t="s">
        <v>247</v>
      </c>
      <c r="AJ791" s="21">
        <v>53</v>
      </c>
      <c r="AK791" s="21">
        <v>7.5</v>
      </c>
      <c r="AL791" s="22" t="s">
        <v>161</v>
      </c>
      <c r="AM791" s="22">
        <v>0.16</v>
      </c>
      <c r="AN791" s="22" t="s">
        <v>2257</v>
      </c>
      <c r="AO791" s="22" t="s">
        <v>2257</v>
      </c>
      <c r="AP791" s="22" t="s">
        <v>626</v>
      </c>
      <c r="AQ791" s="22" t="str">
        <f t="shared" si="113"/>
        <v>Nanophytoplankton</v>
      </c>
      <c r="AR791" s="22">
        <v>0</v>
      </c>
      <c r="AS791" s="22">
        <v>0</v>
      </c>
      <c r="AT791" s="22">
        <v>0</v>
      </c>
      <c r="AU791" s="22">
        <v>0</v>
      </c>
      <c r="AV791" s="22">
        <v>0</v>
      </c>
      <c r="AW791" s="22">
        <v>0</v>
      </c>
      <c r="AX791" s="22">
        <v>0</v>
      </c>
      <c r="AY791" s="22">
        <v>1</v>
      </c>
    </row>
    <row r="792" spans="1:57">
      <c r="A792" s="21" t="s">
        <v>2394</v>
      </c>
      <c r="B792" s="22" t="s">
        <v>663</v>
      </c>
      <c r="C792" s="22" t="s">
        <v>2223</v>
      </c>
      <c r="D792" s="22" t="s">
        <v>2224</v>
      </c>
      <c r="E792" s="23" t="s">
        <v>63</v>
      </c>
      <c r="F792" s="23" t="s">
        <v>2225</v>
      </c>
      <c r="G792" s="23" t="s">
        <v>2226</v>
      </c>
      <c r="H792" s="22" t="s">
        <v>2253</v>
      </c>
      <c r="I792" s="21" t="s">
        <v>2394</v>
      </c>
      <c r="M792" s="22" t="s">
        <v>0</v>
      </c>
      <c r="N792" s="22" t="s">
        <v>2395</v>
      </c>
      <c r="O792" s="22" t="s">
        <v>2229</v>
      </c>
      <c r="P792" s="21">
        <v>86315</v>
      </c>
      <c r="Q792" s="22">
        <v>3</v>
      </c>
      <c r="R792" s="22">
        <v>2</v>
      </c>
      <c r="S792" s="22">
        <v>2</v>
      </c>
      <c r="T792" s="22" t="s">
        <v>281</v>
      </c>
      <c r="U792" s="21">
        <v>1</v>
      </c>
      <c r="V792" s="22">
        <v>1</v>
      </c>
      <c r="W792" s="24">
        <f t="shared" si="114"/>
        <v>64.604467497283551</v>
      </c>
      <c r="X792" s="24">
        <f t="shared" si="115"/>
        <v>6.2799999999999994</v>
      </c>
      <c r="Y792" s="22">
        <v>1</v>
      </c>
      <c r="Z792" s="24">
        <f t="shared" si="111"/>
        <v>64.604467497283551</v>
      </c>
      <c r="AA792" s="24">
        <f t="shared" si="112"/>
        <v>6.2799999999999994</v>
      </c>
      <c r="AF792" s="21" t="s">
        <v>247</v>
      </c>
      <c r="AJ792" s="21">
        <v>9.4</v>
      </c>
      <c r="AK792" s="21">
        <v>3</v>
      </c>
      <c r="AL792" s="22" t="s">
        <v>161</v>
      </c>
      <c r="AM792" s="22">
        <v>0.16</v>
      </c>
      <c r="AO792" s="22" t="s">
        <v>2257</v>
      </c>
      <c r="AP792" s="22" t="s">
        <v>626</v>
      </c>
      <c r="AQ792" s="22" t="str">
        <f t="shared" si="113"/>
        <v>Nanophytoplankton</v>
      </c>
      <c r="AR792" s="22">
        <v>0</v>
      </c>
      <c r="AS792" s="22">
        <v>0</v>
      </c>
      <c r="AT792" s="22">
        <v>0</v>
      </c>
      <c r="AU792" s="22">
        <v>0</v>
      </c>
      <c r="AV792" s="22">
        <v>0</v>
      </c>
      <c r="AW792" s="22">
        <v>0</v>
      </c>
      <c r="AX792" s="22">
        <v>0</v>
      </c>
      <c r="AY792" s="22">
        <v>1</v>
      </c>
    </row>
    <row r="793" spans="1:57">
      <c r="A793" s="21" t="s">
        <v>2396</v>
      </c>
      <c r="B793" s="22" t="s">
        <v>663</v>
      </c>
      <c r="C793" s="22" t="s">
        <v>2223</v>
      </c>
      <c r="D793" s="22" t="s">
        <v>2224</v>
      </c>
      <c r="E793" s="23" t="s">
        <v>63</v>
      </c>
      <c r="F793" s="23" t="s">
        <v>2225</v>
      </c>
      <c r="G793" s="23" t="s">
        <v>2226</v>
      </c>
      <c r="H793" s="22" t="s">
        <v>2253</v>
      </c>
      <c r="I793" s="22" t="s">
        <v>2392</v>
      </c>
      <c r="J793" s="22" t="s">
        <v>1294</v>
      </c>
      <c r="N793" s="22" t="s">
        <v>2397</v>
      </c>
      <c r="O793" s="22" t="s">
        <v>2229</v>
      </c>
      <c r="P793" s="21">
        <v>86300</v>
      </c>
      <c r="Q793" s="21">
        <v>3</v>
      </c>
      <c r="R793" s="21">
        <v>2</v>
      </c>
      <c r="S793" s="21">
        <v>2</v>
      </c>
      <c r="T793" s="21" t="s">
        <v>281</v>
      </c>
      <c r="U793" s="21">
        <v>1</v>
      </c>
      <c r="V793" s="22">
        <v>1</v>
      </c>
      <c r="W793" s="24">
        <f t="shared" si="114"/>
        <v>64.604467497283551</v>
      </c>
      <c r="X793" s="24">
        <f t="shared" si="115"/>
        <v>6.2799999999999994</v>
      </c>
      <c r="Y793" s="21">
        <v>1</v>
      </c>
      <c r="Z793" s="24">
        <f t="shared" si="111"/>
        <v>64.604467497283551</v>
      </c>
      <c r="AA793" s="24">
        <f t="shared" si="112"/>
        <v>6.2799999999999994</v>
      </c>
      <c r="AB793" s="21"/>
      <c r="AC793" s="21"/>
      <c r="AD793" s="21"/>
      <c r="AE793" s="21"/>
      <c r="AF793" s="21" t="s">
        <v>247</v>
      </c>
      <c r="AG793" s="21"/>
      <c r="AH793" s="24"/>
      <c r="AI793" s="24"/>
      <c r="AJ793" s="21">
        <v>9.4</v>
      </c>
      <c r="AK793" s="21">
        <v>3</v>
      </c>
      <c r="AL793" s="22" t="s">
        <v>161</v>
      </c>
      <c r="AM793" s="22">
        <v>0.16</v>
      </c>
      <c r="AN793" s="22" t="s">
        <v>2257</v>
      </c>
      <c r="AO793" s="22" t="s">
        <v>2257</v>
      </c>
      <c r="AP793" s="22" t="s">
        <v>626</v>
      </c>
      <c r="AQ793" s="22" t="str">
        <f t="shared" si="113"/>
        <v>Nanophytoplankton</v>
      </c>
      <c r="AR793" s="22">
        <v>0</v>
      </c>
      <c r="AS793" s="22">
        <v>0</v>
      </c>
      <c r="AT793" s="22">
        <v>0</v>
      </c>
      <c r="AU793" s="22">
        <v>0</v>
      </c>
      <c r="AV793" s="22">
        <v>0</v>
      </c>
      <c r="AW793" s="22">
        <v>0</v>
      </c>
      <c r="AX793" s="22">
        <v>0</v>
      </c>
      <c r="AY793" s="22">
        <v>1</v>
      </c>
    </row>
    <row r="794" spans="1:57">
      <c r="A794" s="21" t="s">
        <v>2398</v>
      </c>
      <c r="B794" s="22" t="s">
        <v>663</v>
      </c>
      <c r="C794" s="22" t="s">
        <v>2223</v>
      </c>
      <c r="D794" s="22" t="s">
        <v>2224</v>
      </c>
      <c r="E794" s="23" t="s">
        <v>63</v>
      </c>
      <c r="F794" s="23" t="s">
        <v>2225</v>
      </c>
      <c r="G794" s="23" t="s">
        <v>2226</v>
      </c>
      <c r="H794" s="22" t="s">
        <v>2253</v>
      </c>
      <c r="I794" s="22" t="s">
        <v>2392</v>
      </c>
      <c r="J794" s="22" t="s">
        <v>1294</v>
      </c>
      <c r="N794" s="22" t="s">
        <v>2399</v>
      </c>
      <c r="O794" s="22" t="s">
        <v>2229</v>
      </c>
      <c r="P794" s="21">
        <v>86300</v>
      </c>
      <c r="Q794" s="21">
        <v>3</v>
      </c>
      <c r="R794" s="21">
        <v>2</v>
      </c>
      <c r="S794" s="21">
        <v>2</v>
      </c>
      <c r="T794" s="21" t="s">
        <v>281</v>
      </c>
      <c r="U794" s="21">
        <v>1</v>
      </c>
      <c r="V794" s="22">
        <v>1</v>
      </c>
      <c r="W794" s="24">
        <f t="shared" si="114"/>
        <v>64.604467497283551</v>
      </c>
      <c r="X794" s="24">
        <f t="shared" si="115"/>
        <v>6.2799999999999994</v>
      </c>
      <c r="Y794" s="21">
        <v>1</v>
      </c>
      <c r="Z794" s="24">
        <f t="shared" si="111"/>
        <v>64.604467497283551</v>
      </c>
      <c r="AA794" s="24">
        <f t="shared" si="112"/>
        <v>6.2799999999999994</v>
      </c>
      <c r="AB794" s="21"/>
      <c r="AC794" s="21"/>
      <c r="AD794" s="21"/>
      <c r="AE794" s="21"/>
      <c r="AF794" s="21" t="s">
        <v>247</v>
      </c>
      <c r="AG794" s="21"/>
      <c r="AH794" s="24"/>
      <c r="AI794" s="24"/>
      <c r="AJ794" s="21">
        <v>9.4</v>
      </c>
      <c r="AK794" s="21">
        <v>3</v>
      </c>
      <c r="AL794" s="22" t="s">
        <v>161</v>
      </c>
      <c r="AM794" s="22">
        <v>0.16</v>
      </c>
      <c r="AN794" s="22" t="s">
        <v>2257</v>
      </c>
      <c r="AO794" s="22" t="s">
        <v>2257</v>
      </c>
      <c r="AP794" s="22" t="s">
        <v>626</v>
      </c>
      <c r="AQ794" s="22" t="str">
        <f t="shared" si="113"/>
        <v>Nanophytoplankton</v>
      </c>
      <c r="AR794" s="22">
        <v>0</v>
      </c>
      <c r="AS794" s="22">
        <v>0</v>
      </c>
      <c r="AT794" s="22">
        <v>0</v>
      </c>
      <c r="AU794" s="22">
        <v>0</v>
      </c>
      <c r="AV794" s="22">
        <v>0</v>
      </c>
      <c r="AW794" s="22">
        <v>0</v>
      </c>
      <c r="AX794" s="22">
        <v>0</v>
      </c>
      <c r="AY794" s="22">
        <v>1</v>
      </c>
    </row>
    <row r="795" spans="1:57">
      <c r="A795" s="22" t="s">
        <v>2400</v>
      </c>
      <c r="B795" s="22" t="s">
        <v>663</v>
      </c>
      <c r="C795" s="22" t="s">
        <v>2223</v>
      </c>
      <c r="D795" s="22" t="s">
        <v>2224</v>
      </c>
      <c r="E795" s="23" t="s">
        <v>63</v>
      </c>
      <c r="F795" s="23" t="s">
        <v>2225</v>
      </c>
      <c r="G795" s="23" t="s">
        <v>2401</v>
      </c>
      <c r="H795" s="23" t="s">
        <v>2402</v>
      </c>
      <c r="I795" s="23" t="s">
        <v>2403</v>
      </c>
      <c r="J795" s="22" t="s">
        <v>2404</v>
      </c>
      <c r="N795" s="22" t="s">
        <v>2405</v>
      </c>
      <c r="O795" s="22" t="s">
        <v>2229</v>
      </c>
      <c r="P795" s="21">
        <v>86301</v>
      </c>
      <c r="Q795" s="22">
        <v>215</v>
      </c>
      <c r="R795" s="22">
        <v>5</v>
      </c>
      <c r="S795" s="22">
        <v>3</v>
      </c>
      <c r="T795" s="22" t="s">
        <v>874</v>
      </c>
      <c r="U795" s="22">
        <v>1</v>
      </c>
      <c r="V795" s="22">
        <v>1</v>
      </c>
      <c r="W795" s="24">
        <f t="shared" si="114"/>
        <v>8541.3810576761844</v>
      </c>
      <c r="X795" s="24">
        <f>3.14/12*R795*S795*Q795*U795</f>
        <v>843.875</v>
      </c>
      <c r="Y795" s="22">
        <v>1</v>
      </c>
      <c r="Z795" s="24">
        <f t="shared" si="111"/>
        <v>8541.3810576761844</v>
      </c>
      <c r="AA795" s="24">
        <f t="shared" si="112"/>
        <v>843.875</v>
      </c>
      <c r="AJ795" s="21">
        <v>1406.4583333333333</v>
      </c>
      <c r="AK795" s="21">
        <v>215</v>
      </c>
      <c r="AL795" s="22" t="s">
        <v>161</v>
      </c>
      <c r="AM795" s="22">
        <v>0.16</v>
      </c>
      <c r="AO795" s="22" t="s">
        <v>1517</v>
      </c>
      <c r="AP795" s="22" t="s">
        <v>162</v>
      </c>
      <c r="AQ795" s="22" t="str">
        <f t="shared" si="113"/>
        <v>Microphytoplankton</v>
      </c>
      <c r="AR795" s="22">
        <v>0</v>
      </c>
      <c r="AS795" s="22">
        <v>0</v>
      </c>
      <c r="AT795" s="22">
        <v>0</v>
      </c>
      <c r="AU795" s="22">
        <v>0</v>
      </c>
      <c r="AV795" s="22">
        <v>0</v>
      </c>
      <c r="AW795" s="22">
        <v>0</v>
      </c>
      <c r="AX795" s="22">
        <v>0</v>
      </c>
      <c r="AY795" s="22">
        <v>1</v>
      </c>
    </row>
    <row r="796" spans="1:57">
      <c r="A796" s="22" t="s">
        <v>2406</v>
      </c>
      <c r="B796" s="22" t="s">
        <v>663</v>
      </c>
      <c r="C796" s="22" t="s">
        <v>2223</v>
      </c>
      <c r="D796" s="22" t="s">
        <v>2224</v>
      </c>
      <c r="E796" s="23" t="s">
        <v>63</v>
      </c>
      <c r="F796" s="23" t="s">
        <v>2225</v>
      </c>
      <c r="G796" s="23" t="s">
        <v>2226</v>
      </c>
      <c r="H796" s="23" t="s">
        <v>2407</v>
      </c>
      <c r="I796" s="23" t="s">
        <v>2408</v>
      </c>
      <c r="J796" s="22" t="s">
        <v>2409</v>
      </c>
      <c r="N796" s="22" t="s">
        <v>2410</v>
      </c>
      <c r="O796" s="22" t="s">
        <v>2229</v>
      </c>
      <c r="P796" s="21">
        <v>86302</v>
      </c>
      <c r="Q796" s="22">
        <v>18</v>
      </c>
      <c r="R796" s="22">
        <v>15</v>
      </c>
      <c r="S796" s="22">
        <v>7</v>
      </c>
      <c r="T796" s="22" t="s">
        <v>281</v>
      </c>
      <c r="U796" s="22">
        <v>1</v>
      </c>
      <c r="V796" s="22">
        <v>1</v>
      </c>
      <c r="W796" s="24">
        <f t="shared" si="114"/>
        <v>2018.6185405277201</v>
      </c>
      <c r="X796" s="24">
        <f t="shared" ref="X796:X803" si="116">3.14/6*Q796*R796*S796*U796</f>
        <v>989.10000000000014</v>
      </c>
      <c r="Y796" s="22">
        <v>1</v>
      </c>
      <c r="Z796" s="24">
        <f t="shared" si="111"/>
        <v>2018.6185405277201</v>
      </c>
      <c r="AA796" s="24">
        <f t="shared" si="112"/>
        <v>989.10000000000014</v>
      </c>
      <c r="AJ796" s="21">
        <v>2119.5</v>
      </c>
      <c r="AK796" s="21">
        <v>18</v>
      </c>
      <c r="AL796" s="22" t="s">
        <v>161</v>
      </c>
      <c r="AM796" s="22">
        <v>0.16</v>
      </c>
      <c r="AO796" s="22" t="s">
        <v>830</v>
      </c>
      <c r="AP796" s="22" t="s">
        <v>230</v>
      </c>
      <c r="AQ796" s="22" t="str">
        <f t="shared" si="113"/>
        <v>Nanophytoplankton</v>
      </c>
      <c r="AR796" s="22">
        <v>1</v>
      </c>
      <c r="AS796" s="22">
        <v>1</v>
      </c>
      <c r="AT796" s="22">
        <v>0</v>
      </c>
      <c r="AU796" s="22">
        <v>0</v>
      </c>
      <c r="AV796" s="22">
        <v>0</v>
      </c>
      <c r="AW796" s="22">
        <v>0</v>
      </c>
      <c r="AX796" s="22">
        <v>0</v>
      </c>
      <c r="AY796" s="22">
        <v>1</v>
      </c>
    </row>
    <row r="797" spans="1:57">
      <c r="A797" s="21" t="s">
        <v>2411</v>
      </c>
      <c r="B797" s="22" t="s">
        <v>663</v>
      </c>
      <c r="C797" s="22" t="s">
        <v>2223</v>
      </c>
      <c r="D797" s="22" t="s">
        <v>2224</v>
      </c>
      <c r="E797" s="23" t="s">
        <v>63</v>
      </c>
      <c r="F797" s="23" t="s">
        <v>2225</v>
      </c>
      <c r="G797" s="23" t="s">
        <v>2226</v>
      </c>
      <c r="H797" s="38" t="s">
        <v>2231</v>
      </c>
      <c r="I797" s="22" t="s">
        <v>49</v>
      </c>
      <c r="J797" s="21" t="s">
        <v>2412</v>
      </c>
      <c r="K797" s="21"/>
      <c r="L797" s="21"/>
      <c r="N797" s="22" t="s">
        <v>2413</v>
      </c>
      <c r="O797" s="22" t="s">
        <v>2229</v>
      </c>
      <c r="P797" s="22">
        <v>82270</v>
      </c>
      <c r="Q797" s="21">
        <v>8</v>
      </c>
      <c r="R797" s="21">
        <v>8</v>
      </c>
      <c r="S797" s="21">
        <v>8</v>
      </c>
      <c r="T797" s="21" t="s">
        <v>281</v>
      </c>
      <c r="U797" s="21">
        <v>1</v>
      </c>
      <c r="V797" s="21">
        <v>1</v>
      </c>
      <c r="W797" s="24">
        <f t="shared" si="114"/>
        <v>637.80128491389792</v>
      </c>
      <c r="X797" s="24">
        <f t="shared" si="116"/>
        <v>267.94666666666666</v>
      </c>
      <c r="Y797" s="21">
        <v>16</v>
      </c>
      <c r="Z797" s="24">
        <f t="shared" si="111"/>
        <v>10204.820558622367</v>
      </c>
      <c r="AA797" s="24">
        <f t="shared" si="112"/>
        <v>4287.1466666666665</v>
      </c>
      <c r="AB797" s="21">
        <v>24</v>
      </c>
      <c r="AC797" s="21">
        <v>24</v>
      </c>
      <c r="AD797" s="21">
        <v>24</v>
      </c>
      <c r="AE797" s="21" t="s">
        <v>246</v>
      </c>
      <c r="AF797" s="21">
        <v>0.8</v>
      </c>
      <c r="AG797" s="21">
        <v>1.5</v>
      </c>
      <c r="AH797" s="25">
        <f t="shared" ref="AH797:AH804" si="117">4*3.14*(AC797/2)*(AB797/2)/AG797</f>
        <v>1205.76</v>
      </c>
      <c r="AI797" s="25">
        <f t="shared" ref="AI797:AI804" si="118">(3.14/6*(AD797*AB797*AC797))*AF797</f>
        <v>5787.6480000000001</v>
      </c>
      <c r="AJ797" s="21">
        <v>4289.3</v>
      </c>
      <c r="AK797" s="21">
        <v>45</v>
      </c>
      <c r="AL797" s="22" t="s">
        <v>161</v>
      </c>
      <c r="AM797" s="22">
        <v>0.16</v>
      </c>
      <c r="AN797" s="38" t="s">
        <v>1364</v>
      </c>
      <c r="AO797" s="38" t="s">
        <v>1364</v>
      </c>
      <c r="AP797" s="22" t="s">
        <v>162</v>
      </c>
      <c r="AQ797" s="22" t="str">
        <f t="shared" si="113"/>
        <v>Microphytoplankton</v>
      </c>
      <c r="AR797" s="22">
        <v>0</v>
      </c>
      <c r="AS797" s="22">
        <v>0</v>
      </c>
      <c r="AT797" s="22">
        <v>0</v>
      </c>
      <c r="AU797" s="22">
        <v>1</v>
      </c>
      <c r="AV797" s="22">
        <v>0</v>
      </c>
      <c r="AW797" s="22">
        <v>0</v>
      </c>
      <c r="AX797" s="22">
        <v>0</v>
      </c>
      <c r="AY797" s="22">
        <v>1</v>
      </c>
      <c r="AZ797" s="22">
        <v>0</v>
      </c>
      <c r="BA797" s="22">
        <v>0</v>
      </c>
      <c r="BB797" s="22">
        <v>1</v>
      </c>
      <c r="BC797" s="22">
        <v>3</v>
      </c>
      <c r="BD797" s="22">
        <v>3</v>
      </c>
      <c r="BE797" s="22">
        <v>3</v>
      </c>
    </row>
    <row r="798" spans="1:57">
      <c r="A798" s="21" t="s">
        <v>2414</v>
      </c>
      <c r="B798" s="22" t="s">
        <v>663</v>
      </c>
      <c r="C798" s="22" t="s">
        <v>2223</v>
      </c>
      <c r="D798" s="22" t="s">
        <v>2224</v>
      </c>
      <c r="E798" s="23" t="s">
        <v>63</v>
      </c>
      <c r="F798" s="23" t="s">
        <v>2225</v>
      </c>
      <c r="G798" s="23" t="s">
        <v>2226</v>
      </c>
      <c r="H798" s="38" t="s">
        <v>2231</v>
      </c>
      <c r="I798" s="22" t="s">
        <v>49</v>
      </c>
      <c r="J798" s="21" t="s">
        <v>2415</v>
      </c>
      <c r="K798" s="21"/>
      <c r="L798" s="21"/>
      <c r="N798" s="22" t="s">
        <v>2416</v>
      </c>
      <c r="O798" s="22" t="s">
        <v>2229</v>
      </c>
      <c r="P798" s="21">
        <v>82240</v>
      </c>
      <c r="Q798" s="21">
        <v>13</v>
      </c>
      <c r="R798" s="21">
        <v>13</v>
      </c>
      <c r="S798" s="21">
        <v>13</v>
      </c>
      <c r="T798" s="21" t="s">
        <v>281</v>
      </c>
      <c r="U798" s="21">
        <v>1</v>
      </c>
      <c r="V798" s="21">
        <v>1</v>
      </c>
      <c r="W798" s="24">
        <f t="shared" si="114"/>
        <v>1664.4222732199528</v>
      </c>
      <c r="X798" s="24">
        <f t="shared" si="116"/>
        <v>1149.7633333333333</v>
      </c>
      <c r="Y798" s="21">
        <v>16</v>
      </c>
      <c r="Z798" s="24">
        <f t="shared" si="111"/>
        <v>26630.756371519245</v>
      </c>
      <c r="AA798" s="24">
        <f t="shared" si="112"/>
        <v>18396.213333333333</v>
      </c>
      <c r="AB798" s="21">
        <v>39</v>
      </c>
      <c r="AC798" s="21">
        <v>39</v>
      </c>
      <c r="AD798" s="21">
        <v>39</v>
      </c>
      <c r="AE798" s="21" t="s">
        <v>246</v>
      </c>
      <c r="AF798" s="21">
        <v>0.8</v>
      </c>
      <c r="AG798" s="21">
        <v>1.5</v>
      </c>
      <c r="AH798" s="25">
        <f t="shared" si="117"/>
        <v>3183.9600000000005</v>
      </c>
      <c r="AI798" s="25">
        <f t="shared" si="118"/>
        <v>24834.888000000003</v>
      </c>
      <c r="AJ798" s="21">
        <v>18405.2</v>
      </c>
      <c r="AK798" s="21">
        <v>40</v>
      </c>
      <c r="AL798" s="22" t="s">
        <v>161</v>
      </c>
      <c r="AM798" s="22">
        <v>0.16</v>
      </c>
      <c r="AN798" s="38" t="s">
        <v>1364</v>
      </c>
      <c r="AO798" s="38" t="s">
        <v>1364</v>
      </c>
      <c r="AP798" s="22" t="s">
        <v>162</v>
      </c>
      <c r="AQ798" s="22" t="str">
        <f t="shared" si="113"/>
        <v>Microphytoplankton</v>
      </c>
      <c r="AR798" s="22">
        <v>0</v>
      </c>
      <c r="AS798" s="22">
        <v>0</v>
      </c>
      <c r="AT798" s="22">
        <v>0</v>
      </c>
      <c r="AU798" s="22">
        <v>1</v>
      </c>
      <c r="AV798" s="22">
        <v>0</v>
      </c>
      <c r="AW798" s="22">
        <v>0</v>
      </c>
      <c r="AX798" s="22">
        <v>0</v>
      </c>
      <c r="AY798" s="22">
        <v>1</v>
      </c>
    </row>
    <row r="799" spans="1:57">
      <c r="A799" s="21" t="s">
        <v>2417</v>
      </c>
      <c r="B799" s="22" t="s">
        <v>663</v>
      </c>
      <c r="C799" s="22" t="s">
        <v>2223</v>
      </c>
      <c r="D799" s="22" t="s">
        <v>2224</v>
      </c>
      <c r="E799" s="23" t="s">
        <v>63</v>
      </c>
      <c r="F799" s="23" t="s">
        <v>2225</v>
      </c>
      <c r="G799" s="23" t="s">
        <v>2226</v>
      </c>
      <c r="H799" s="38" t="s">
        <v>2231</v>
      </c>
      <c r="I799" s="22" t="s">
        <v>49</v>
      </c>
      <c r="J799" s="21" t="s">
        <v>2418</v>
      </c>
      <c r="K799" s="21"/>
      <c r="L799" s="21"/>
      <c r="N799" s="22" t="s">
        <v>2419</v>
      </c>
      <c r="O799" s="22" t="s">
        <v>2229</v>
      </c>
      <c r="P799" s="22">
        <v>82280</v>
      </c>
      <c r="Q799" s="21">
        <v>10</v>
      </c>
      <c r="R799" s="21">
        <v>10</v>
      </c>
      <c r="S799" s="21">
        <v>10</v>
      </c>
      <c r="T799" s="21" t="s">
        <v>281</v>
      </c>
      <c r="U799" s="21">
        <v>1</v>
      </c>
      <c r="V799" s="21">
        <v>1</v>
      </c>
      <c r="W799" s="24">
        <f t="shared" si="114"/>
        <v>990.0713501282612</v>
      </c>
      <c r="X799" s="24">
        <f t="shared" si="116"/>
        <v>523.33333333333337</v>
      </c>
      <c r="Y799" s="21">
        <v>16</v>
      </c>
      <c r="Z799" s="24">
        <f t="shared" si="111"/>
        <v>15841.141602052179</v>
      </c>
      <c r="AA799" s="24">
        <f t="shared" si="112"/>
        <v>8373.3333333333339</v>
      </c>
      <c r="AB799" s="21">
        <v>30</v>
      </c>
      <c r="AC799" s="21">
        <v>30</v>
      </c>
      <c r="AD799" s="21">
        <v>30</v>
      </c>
      <c r="AE799" s="21" t="s">
        <v>246</v>
      </c>
      <c r="AF799" s="21">
        <v>0.8</v>
      </c>
      <c r="AG799" s="21">
        <v>1.5</v>
      </c>
      <c r="AH799" s="25">
        <f t="shared" si="117"/>
        <v>1884</v>
      </c>
      <c r="AI799" s="25">
        <f t="shared" si="118"/>
        <v>11304</v>
      </c>
      <c r="AJ799" s="21">
        <v>14137.2</v>
      </c>
      <c r="AK799" s="21">
        <v>30</v>
      </c>
      <c r="AL799" s="22" t="s">
        <v>161</v>
      </c>
      <c r="AM799" s="22">
        <v>0.16</v>
      </c>
      <c r="AN799" s="38" t="s">
        <v>1364</v>
      </c>
      <c r="AO799" s="38" t="s">
        <v>1364</v>
      </c>
      <c r="AP799" s="22" t="s">
        <v>162</v>
      </c>
      <c r="AQ799" s="22" t="str">
        <f t="shared" si="113"/>
        <v>Microphytoplankton</v>
      </c>
      <c r="AR799" s="22">
        <v>0</v>
      </c>
      <c r="AS799" s="22">
        <v>0</v>
      </c>
      <c r="AT799" s="22">
        <v>0</v>
      </c>
      <c r="AU799" s="22">
        <v>1</v>
      </c>
      <c r="AV799" s="22">
        <v>0</v>
      </c>
      <c r="AW799" s="22">
        <v>0</v>
      </c>
      <c r="AX799" s="22">
        <v>0</v>
      </c>
      <c r="AY799" s="22">
        <v>1</v>
      </c>
      <c r="AZ799" s="22">
        <v>0</v>
      </c>
      <c r="BA799" s="22">
        <v>0</v>
      </c>
      <c r="BB799" s="22">
        <v>1</v>
      </c>
      <c r="BC799" s="22">
        <v>3</v>
      </c>
      <c r="BD799" s="22">
        <v>3</v>
      </c>
      <c r="BE799" s="22">
        <v>3</v>
      </c>
    </row>
    <row r="800" spans="1:57">
      <c r="A800" s="21" t="s">
        <v>2420</v>
      </c>
      <c r="B800" s="22" t="s">
        <v>663</v>
      </c>
      <c r="C800" s="22" t="s">
        <v>2223</v>
      </c>
      <c r="D800" s="22" t="s">
        <v>2224</v>
      </c>
      <c r="E800" s="23" t="s">
        <v>63</v>
      </c>
      <c r="F800" s="23" t="s">
        <v>2225</v>
      </c>
      <c r="G800" s="23" t="s">
        <v>2226</v>
      </c>
      <c r="H800" s="38" t="s">
        <v>2231</v>
      </c>
      <c r="I800" s="22" t="s">
        <v>49</v>
      </c>
      <c r="J800" s="21" t="s">
        <v>2421</v>
      </c>
      <c r="K800" s="21"/>
      <c r="L800" s="21"/>
      <c r="N800" s="22" t="s">
        <v>2422</v>
      </c>
      <c r="O800" s="22" t="s">
        <v>2229</v>
      </c>
      <c r="P800" s="21">
        <v>82210</v>
      </c>
      <c r="Q800" s="21">
        <v>13</v>
      </c>
      <c r="R800" s="21">
        <v>13</v>
      </c>
      <c r="S800" s="21">
        <v>13</v>
      </c>
      <c r="T800" s="21" t="s">
        <v>281</v>
      </c>
      <c r="U800" s="21">
        <v>1</v>
      </c>
      <c r="V800" s="21">
        <v>1</v>
      </c>
      <c r="W800" s="24">
        <f t="shared" si="114"/>
        <v>1664.4222732199528</v>
      </c>
      <c r="X800" s="24">
        <f t="shared" si="116"/>
        <v>1149.7633333333333</v>
      </c>
      <c r="Y800" s="21">
        <v>16</v>
      </c>
      <c r="Z800" s="24">
        <f t="shared" si="111"/>
        <v>26630.756371519245</v>
      </c>
      <c r="AA800" s="24">
        <f t="shared" si="112"/>
        <v>18396.213333333333</v>
      </c>
      <c r="AB800" s="21">
        <v>39</v>
      </c>
      <c r="AC800" s="21">
        <v>39</v>
      </c>
      <c r="AD800" s="21">
        <v>39</v>
      </c>
      <c r="AE800" s="21" t="s">
        <v>246</v>
      </c>
      <c r="AF800" s="21">
        <v>0.8</v>
      </c>
      <c r="AG800" s="21">
        <v>1.5</v>
      </c>
      <c r="AH800" s="25">
        <f t="shared" si="117"/>
        <v>3183.9600000000005</v>
      </c>
      <c r="AI800" s="25">
        <f t="shared" si="118"/>
        <v>24834.888000000003</v>
      </c>
      <c r="AJ800" s="21">
        <v>18405.2</v>
      </c>
      <c r="AK800" s="21">
        <v>50</v>
      </c>
      <c r="AL800" s="22" t="s">
        <v>161</v>
      </c>
      <c r="AM800" s="22">
        <v>0.16</v>
      </c>
      <c r="AN800" s="38" t="s">
        <v>1364</v>
      </c>
      <c r="AO800" s="38" t="s">
        <v>1364</v>
      </c>
      <c r="AP800" s="22" t="s">
        <v>162</v>
      </c>
      <c r="AQ800" s="22" t="str">
        <f t="shared" si="113"/>
        <v>Microphytoplankton</v>
      </c>
      <c r="AR800" s="22">
        <v>0</v>
      </c>
      <c r="AS800" s="22">
        <v>0</v>
      </c>
      <c r="AT800" s="22">
        <v>0</v>
      </c>
      <c r="AU800" s="22">
        <v>1</v>
      </c>
      <c r="AV800" s="22">
        <v>0</v>
      </c>
      <c r="AW800" s="22">
        <v>0</v>
      </c>
      <c r="AX800" s="22">
        <v>0</v>
      </c>
      <c r="AY800" s="22">
        <v>1</v>
      </c>
      <c r="AZ800" s="22">
        <v>0</v>
      </c>
      <c r="BA800" s="22">
        <v>0</v>
      </c>
      <c r="BB800" s="22">
        <v>1</v>
      </c>
      <c r="BC800" s="22">
        <v>2</v>
      </c>
      <c r="BD800" s="22">
        <v>2</v>
      </c>
      <c r="BE800" s="22">
        <v>5</v>
      </c>
    </row>
    <row r="801" spans="1:57">
      <c r="A801" s="21" t="s">
        <v>2423</v>
      </c>
      <c r="B801" s="22" t="s">
        <v>663</v>
      </c>
      <c r="C801" s="22" t="s">
        <v>2223</v>
      </c>
      <c r="D801" s="22" t="s">
        <v>2224</v>
      </c>
      <c r="E801" s="23" t="s">
        <v>63</v>
      </c>
      <c r="F801" s="23" t="s">
        <v>2225</v>
      </c>
      <c r="G801" s="23" t="s">
        <v>2226</v>
      </c>
      <c r="H801" s="38" t="s">
        <v>2231</v>
      </c>
      <c r="I801" s="22" t="s">
        <v>49</v>
      </c>
      <c r="J801" s="21" t="s">
        <v>2424</v>
      </c>
      <c r="K801" s="21"/>
      <c r="L801" s="21"/>
      <c r="N801" s="22" t="s">
        <v>254</v>
      </c>
      <c r="O801" s="22" t="s">
        <v>2229</v>
      </c>
      <c r="P801" s="21">
        <v>82230</v>
      </c>
      <c r="Q801" s="21">
        <v>12</v>
      </c>
      <c r="R801" s="21">
        <v>12</v>
      </c>
      <c r="S801" s="21">
        <v>12</v>
      </c>
      <c r="T801" s="21" t="s">
        <v>281</v>
      </c>
      <c r="U801" s="21">
        <v>1</v>
      </c>
      <c r="V801" s="21">
        <v>1</v>
      </c>
      <c r="W801" s="24">
        <f t="shared" si="114"/>
        <v>1420.171885313606</v>
      </c>
      <c r="X801" s="24">
        <f t="shared" si="116"/>
        <v>904.31999999999982</v>
      </c>
      <c r="Y801" s="21">
        <v>16</v>
      </c>
      <c r="Z801" s="24">
        <f t="shared" si="111"/>
        <v>22722.750165017696</v>
      </c>
      <c r="AA801" s="24">
        <f t="shared" si="112"/>
        <v>14469.119999999997</v>
      </c>
      <c r="AB801" s="21">
        <v>36</v>
      </c>
      <c r="AC801" s="21">
        <v>36</v>
      </c>
      <c r="AD801" s="21">
        <v>36</v>
      </c>
      <c r="AE801" s="21" t="s">
        <v>246</v>
      </c>
      <c r="AF801" s="21">
        <v>0.8</v>
      </c>
      <c r="AG801" s="21">
        <v>1.5</v>
      </c>
      <c r="AH801" s="25">
        <f t="shared" si="117"/>
        <v>2712.96</v>
      </c>
      <c r="AI801" s="25">
        <f t="shared" si="118"/>
        <v>19533.312000000002</v>
      </c>
      <c r="AJ801" s="21">
        <v>13824</v>
      </c>
      <c r="AK801" s="21">
        <v>24</v>
      </c>
      <c r="AL801" s="22" t="s">
        <v>161</v>
      </c>
      <c r="AM801" s="22">
        <v>0.16</v>
      </c>
      <c r="AN801" s="38" t="s">
        <v>1364</v>
      </c>
      <c r="AO801" s="38" t="s">
        <v>1364</v>
      </c>
      <c r="AP801" s="22" t="s">
        <v>162</v>
      </c>
      <c r="AQ801" s="22" t="str">
        <f t="shared" si="113"/>
        <v>Microphytoplankton</v>
      </c>
      <c r="AR801" s="22">
        <v>0</v>
      </c>
      <c r="AS801" s="22">
        <v>0</v>
      </c>
      <c r="AT801" s="22">
        <v>0</v>
      </c>
      <c r="AU801" s="22">
        <v>1</v>
      </c>
      <c r="AV801" s="22">
        <v>0</v>
      </c>
      <c r="AW801" s="22">
        <v>0</v>
      </c>
      <c r="AX801" s="22">
        <v>0</v>
      </c>
      <c r="AY801" s="22">
        <v>1</v>
      </c>
    </row>
    <row r="802" spans="1:57">
      <c r="A802" s="21" t="s">
        <v>2425</v>
      </c>
      <c r="B802" s="22" t="s">
        <v>663</v>
      </c>
      <c r="C802" s="22" t="s">
        <v>2223</v>
      </c>
      <c r="D802" s="22" t="s">
        <v>2224</v>
      </c>
      <c r="E802" s="23" t="s">
        <v>63</v>
      </c>
      <c r="F802" s="23" t="s">
        <v>2225</v>
      </c>
      <c r="G802" s="23" t="s">
        <v>2226</v>
      </c>
      <c r="H802" s="38" t="s">
        <v>2231</v>
      </c>
      <c r="I802" s="22" t="s">
        <v>49</v>
      </c>
      <c r="J802" s="21" t="s">
        <v>2426</v>
      </c>
      <c r="K802" s="21"/>
      <c r="L802" s="21"/>
      <c r="N802" s="22" t="s">
        <v>2352</v>
      </c>
      <c r="O802" s="22" t="s">
        <v>2229</v>
      </c>
      <c r="P802" s="21">
        <v>82250</v>
      </c>
      <c r="Q802" s="21">
        <v>10</v>
      </c>
      <c r="R802" s="21">
        <v>10</v>
      </c>
      <c r="S802" s="21">
        <v>10</v>
      </c>
      <c r="T802" s="21" t="s">
        <v>281</v>
      </c>
      <c r="U802" s="21">
        <v>1</v>
      </c>
      <c r="V802" s="21">
        <v>1</v>
      </c>
      <c r="W802" s="24">
        <f t="shared" si="114"/>
        <v>990.0713501282612</v>
      </c>
      <c r="X802" s="24">
        <f t="shared" si="116"/>
        <v>523.33333333333337</v>
      </c>
      <c r="Y802" s="21">
        <v>16</v>
      </c>
      <c r="Z802" s="24">
        <f t="shared" si="111"/>
        <v>15841.141602052179</v>
      </c>
      <c r="AA802" s="24">
        <f t="shared" si="112"/>
        <v>8373.3333333333339</v>
      </c>
      <c r="AB802" s="21">
        <v>30</v>
      </c>
      <c r="AC802" s="21">
        <v>30</v>
      </c>
      <c r="AD802" s="21">
        <v>30</v>
      </c>
      <c r="AE802" s="21" t="s">
        <v>246</v>
      </c>
      <c r="AF802" s="21">
        <v>0.8</v>
      </c>
      <c r="AG802" s="21">
        <v>1.5</v>
      </c>
      <c r="AH802" s="25">
        <f t="shared" si="117"/>
        <v>1884</v>
      </c>
      <c r="AI802" s="25">
        <f t="shared" si="118"/>
        <v>11304</v>
      </c>
      <c r="AJ802" s="21">
        <v>8377.6</v>
      </c>
      <c r="AK802" s="21">
        <v>40</v>
      </c>
      <c r="AL802" s="22" t="s">
        <v>161</v>
      </c>
      <c r="AM802" s="22">
        <v>0.16</v>
      </c>
      <c r="AN802" s="38" t="s">
        <v>1364</v>
      </c>
      <c r="AO802" s="38" t="s">
        <v>1364</v>
      </c>
      <c r="AP802" s="22" t="s">
        <v>162</v>
      </c>
      <c r="AQ802" s="22" t="str">
        <f t="shared" si="113"/>
        <v>Microphytoplankton</v>
      </c>
      <c r="AR802" s="22">
        <v>0</v>
      </c>
      <c r="AS802" s="22">
        <v>0</v>
      </c>
      <c r="AT802" s="22">
        <v>0</v>
      </c>
      <c r="AU802" s="22">
        <v>1</v>
      </c>
      <c r="AV802" s="22">
        <v>0</v>
      </c>
      <c r="AW802" s="22">
        <v>0</v>
      </c>
      <c r="AX802" s="22">
        <v>0</v>
      </c>
      <c r="AY802" s="22">
        <v>1</v>
      </c>
      <c r="AZ802" s="22">
        <v>0</v>
      </c>
      <c r="BA802" s="22">
        <v>0</v>
      </c>
      <c r="BB802" s="22">
        <v>1</v>
      </c>
      <c r="BC802" s="22">
        <v>3</v>
      </c>
      <c r="BD802" s="22">
        <v>3</v>
      </c>
      <c r="BE802" s="22">
        <v>3</v>
      </c>
    </row>
    <row r="803" spans="1:57">
      <c r="A803" s="21" t="s">
        <v>2427</v>
      </c>
      <c r="B803" s="22" t="s">
        <v>663</v>
      </c>
      <c r="C803" s="22" t="s">
        <v>2223</v>
      </c>
      <c r="D803" s="22" t="s">
        <v>2224</v>
      </c>
      <c r="E803" s="23" t="s">
        <v>63</v>
      </c>
      <c r="F803" s="23" t="s">
        <v>2225</v>
      </c>
      <c r="G803" s="23" t="s">
        <v>2226</v>
      </c>
      <c r="H803" s="38" t="s">
        <v>2231</v>
      </c>
      <c r="I803" s="22" t="s">
        <v>49</v>
      </c>
      <c r="J803" s="21" t="s">
        <v>2428</v>
      </c>
      <c r="K803" s="21"/>
      <c r="L803" s="21"/>
      <c r="N803" s="22" t="s">
        <v>2429</v>
      </c>
      <c r="O803" s="22" t="s">
        <v>2229</v>
      </c>
      <c r="P803" s="21">
        <v>82220</v>
      </c>
      <c r="Q803" s="21">
        <v>7</v>
      </c>
      <c r="R803" s="21">
        <v>7</v>
      </c>
      <c r="S803" s="21">
        <v>7</v>
      </c>
      <c r="T803" s="21" t="s">
        <v>281</v>
      </c>
      <c r="U803" s="21">
        <v>1</v>
      </c>
      <c r="V803" s="21">
        <v>1</v>
      </c>
      <c r="W803" s="24">
        <f t="shared" si="114"/>
        <v>490.83181458055361</v>
      </c>
      <c r="X803" s="24">
        <f t="shared" si="116"/>
        <v>179.50333333333333</v>
      </c>
      <c r="Y803" s="21">
        <v>16</v>
      </c>
      <c r="Z803" s="24">
        <f t="shared" si="111"/>
        <v>7853.3090332888578</v>
      </c>
      <c r="AA803" s="24">
        <f t="shared" si="112"/>
        <v>2872.0533333333333</v>
      </c>
      <c r="AB803" s="21">
        <v>21</v>
      </c>
      <c r="AC803" s="21">
        <v>21</v>
      </c>
      <c r="AD803" s="21">
        <v>21</v>
      </c>
      <c r="AE803" s="21" t="s">
        <v>246</v>
      </c>
      <c r="AF803" s="21">
        <v>0.8</v>
      </c>
      <c r="AG803" s="21">
        <v>1.5</v>
      </c>
      <c r="AH803" s="25">
        <f t="shared" si="117"/>
        <v>923.16</v>
      </c>
      <c r="AI803" s="25">
        <f t="shared" si="118"/>
        <v>3877.2720000000004</v>
      </c>
      <c r="AJ803" s="21">
        <v>2973.5</v>
      </c>
      <c r="AK803" s="21">
        <v>40</v>
      </c>
      <c r="AL803" s="22" t="s">
        <v>161</v>
      </c>
      <c r="AM803" s="22">
        <v>0.16</v>
      </c>
      <c r="AN803" s="38" t="s">
        <v>1364</v>
      </c>
      <c r="AO803" s="38" t="s">
        <v>1364</v>
      </c>
      <c r="AP803" s="22" t="s">
        <v>162</v>
      </c>
      <c r="AQ803" s="22" t="str">
        <f t="shared" si="113"/>
        <v>Microphytoplankton</v>
      </c>
      <c r="AR803" s="22">
        <v>0</v>
      </c>
      <c r="AS803" s="22">
        <v>0</v>
      </c>
      <c r="AT803" s="22">
        <v>0</v>
      </c>
      <c r="AU803" s="22">
        <v>1</v>
      </c>
      <c r="AV803" s="22">
        <v>0</v>
      </c>
      <c r="AW803" s="22">
        <v>0</v>
      </c>
      <c r="AX803" s="22">
        <v>0</v>
      </c>
      <c r="AY803" s="22">
        <v>1</v>
      </c>
      <c r="AZ803" s="22">
        <v>0</v>
      </c>
      <c r="BA803" s="22">
        <v>0</v>
      </c>
      <c r="BB803" s="22">
        <v>4</v>
      </c>
      <c r="BC803" s="22">
        <v>2</v>
      </c>
      <c r="BD803" s="22">
        <v>2</v>
      </c>
      <c r="BE803" s="22">
        <v>2</v>
      </c>
    </row>
    <row r="804" spans="1:57">
      <c r="A804" s="22" t="s">
        <v>2430</v>
      </c>
      <c r="B804" s="22" t="s">
        <v>663</v>
      </c>
      <c r="C804" s="22" t="s">
        <v>2223</v>
      </c>
      <c r="D804" s="22" t="s">
        <v>2224</v>
      </c>
      <c r="E804" s="23" t="s">
        <v>63</v>
      </c>
      <c r="F804" s="23" t="s">
        <v>2225</v>
      </c>
      <c r="G804" s="23" t="s">
        <v>2226</v>
      </c>
      <c r="H804" s="38" t="s">
        <v>2231</v>
      </c>
      <c r="I804" s="22" t="s">
        <v>49</v>
      </c>
      <c r="J804" s="22" t="s">
        <v>2428</v>
      </c>
      <c r="K804" s="22" t="s">
        <v>184</v>
      </c>
      <c r="L804" s="22" t="s">
        <v>2431</v>
      </c>
      <c r="N804" s="22" t="s">
        <v>2432</v>
      </c>
      <c r="O804" s="22" t="s">
        <v>2229</v>
      </c>
      <c r="P804" s="21">
        <v>82221</v>
      </c>
      <c r="Q804" s="22">
        <v>3</v>
      </c>
      <c r="R804" s="22">
        <v>3</v>
      </c>
      <c r="S804" s="22">
        <v>3</v>
      </c>
      <c r="T804" s="22" t="s">
        <v>246</v>
      </c>
      <c r="U804" s="21">
        <v>1</v>
      </c>
      <c r="V804" s="21">
        <v>1</v>
      </c>
      <c r="W804" s="25">
        <f>4*3.14*(R804/2)*(Q804/2)/V804</f>
        <v>28.259999999999998</v>
      </c>
      <c r="X804" s="25">
        <f>(3.14/6*(Q804*S804*R804))*U804</f>
        <v>14.129999999999999</v>
      </c>
      <c r="Y804" s="21">
        <v>3</v>
      </c>
      <c r="Z804" s="24">
        <f t="shared" si="111"/>
        <v>84.78</v>
      </c>
      <c r="AA804" s="24">
        <f t="shared" si="112"/>
        <v>42.39</v>
      </c>
      <c r="AB804" s="22">
        <v>6</v>
      </c>
      <c r="AC804" s="22">
        <v>6</v>
      </c>
      <c r="AD804" s="22">
        <v>6</v>
      </c>
      <c r="AE804" s="21" t="s">
        <v>246</v>
      </c>
      <c r="AF804" s="21">
        <v>0.8</v>
      </c>
      <c r="AG804" s="21">
        <v>2</v>
      </c>
      <c r="AH804" s="25">
        <f t="shared" si="117"/>
        <v>56.519999999999996</v>
      </c>
      <c r="AI804" s="25">
        <f t="shared" si="118"/>
        <v>90.432000000000002</v>
      </c>
      <c r="AJ804" s="21">
        <v>42.39</v>
      </c>
      <c r="AK804" s="21">
        <v>6</v>
      </c>
      <c r="AL804" s="22" t="s">
        <v>2433</v>
      </c>
      <c r="AM804" s="22">
        <v>0.16</v>
      </c>
      <c r="AN804" s="22" t="s">
        <v>1364</v>
      </c>
      <c r="AO804" s="22" t="s">
        <v>1364</v>
      </c>
      <c r="AP804" s="22" t="s">
        <v>162</v>
      </c>
      <c r="AQ804" s="22" t="str">
        <f t="shared" si="113"/>
        <v>Nanophytoplankton</v>
      </c>
      <c r="AR804" s="22">
        <v>0</v>
      </c>
      <c r="AS804" s="22">
        <v>0</v>
      </c>
      <c r="AT804" s="22">
        <v>0</v>
      </c>
      <c r="AU804" s="22">
        <v>1</v>
      </c>
      <c r="AV804" s="22">
        <v>0</v>
      </c>
      <c r="AW804" s="22">
        <v>0</v>
      </c>
      <c r="AX804" s="22">
        <v>0</v>
      </c>
      <c r="AY804" s="22">
        <v>1</v>
      </c>
    </row>
    <row r="805" spans="1:57">
      <c r="A805" s="22" t="s">
        <v>2434</v>
      </c>
      <c r="B805" s="22" t="s">
        <v>663</v>
      </c>
      <c r="C805" s="22" t="s">
        <v>2223</v>
      </c>
      <c r="D805" s="22" t="s">
        <v>2224</v>
      </c>
      <c r="E805" s="23" t="s">
        <v>63</v>
      </c>
      <c r="F805" s="23" t="s">
        <v>2225</v>
      </c>
      <c r="G805" s="23" t="s">
        <v>2226</v>
      </c>
      <c r="H805" s="38" t="s">
        <v>2231</v>
      </c>
      <c r="I805" s="22" t="s">
        <v>49</v>
      </c>
      <c r="J805" s="22" t="s">
        <v>211</v>
      </c>
      <c r="K805" s="22" t="s">
        <v>184</v>
      </c>
      <c r="L805" s="22" t="s">
        <v>245</v>
      </c>
      <c r="M805" s="22" t="s">
        <v>1</v>
      </c>
      <c r="N805" s="22" t="s">
        <v>228</v>
      </c>
      <c r="O805" s="22" t="s">
        <v>2229</v>
      </c>
      <c r="P805" s="21">
        <v>82222</v>
      </c>
      <c r="Q805" s="22">
        <v>12</v>
      </c>
      <c r="R805" s="22">
        <v>12</v>
      </c>
      <c r="S805" s="22">
        <v>4</v>
      </c>
      <c r="T805" s="22" t="s">
        <v>246</v>
      </c>
      <c r="U805" s="21">
        <v>1</v>
      </c>
      <c r="V805" s="21">
        <v>1</v>
      </c>
      <c r="W805" s="25">
        <f>4*3.14*(R805/2)*(Q805/2)/V805</f>
        <v>452.15999999999997</v>
      </c>
      <c r="X805" s="25">
        <f>(3.14/6*(Q805*S805*R805))*U805</f>
        <v>301.44</v>
      </c>
      <c r="Y805" s="21">
        <v>1</v>
      </c>
      <c r="Z805" s="24">
        <f t="shared" si="111"/>
        <v>452.15999999999997</v>
      </c>
      <c r="AA805" s="24">
        <f t="shared" si="112"/>
        <v>301.44</v>
      </c>
      <c r="AE805" s="21"/>
      <c r="AF805" s="21"/>
      <c r="AG805" s="21"/>
      <c r="AJ805" s="21">
        <v>904.31999999999994</v>
      </c>
      <c r="AK805" s="21">
        <v>12</v>
      </c>
      <c r="AL805" s="22" t="s">
        <v>161</v>
      </c>
      <c r="AM805" s="22">
        <v>0.16</v>
      </c>
      <c r="AN805" s="22" t="s">
        <v>1364</v>
      </c>
      <c r="AO805" s="22" t="s">
        <v>1364</v>
      </c>
      <c r="AP805" s="22" t="s">
        <v>162</v>
      </c>
      <c r="AQ805" s="22" t="str">
        <f t="shared" si="113"/>
        <v>Nanophytoplankton</v>
      </c>
      <c r="AR805" s="22">
        <v>0</v>
      </c>
      <c r="AS805" s="22">
        <v>0</v>
      </c>
      <c r="AT805" s="22">
        <v>0</v>
      </c>
      <c r="AU805" s="22">
        <v>1</v>
      </c>
      <c r="AV805" s="22">
        <v>0</v>
      </c>
      <c r="AW805" s="22">
        <v>0</v>
      </c>
      <c r="AX805" s="22">
        <v>0</v>
      </c>
      <c r="AY805" s="22">
        <v>1</v>
      </c>
    </row>
    <row r="806" spans="1:57">
      <c r="A806" s="21" t="s">
        <v>2435</v>
      </c>
      <c r="B806" s="22" t="s">
        <v>663</v>
      </c>
      <c r="C806" s="22" t="s">
        <v>2223</v>
      </c>
      <c r="D806" s="22" t="s">
        <v>2224</v>
      </c>
      <c r="E806" s="23" t="s">
        <v>63</v>
      </c>
      <c r="F806" s="23" t="s">
        <v>2225</v>
      </c>
      <c r="G806" s="23" t="s">
        <v>2226</v>
      </c>
      <c r="H806" s="38" t="s">
        <v>2231</v>
      </c>
      <c r="I806" s="22" t="s">
        <v>49</v>
      </c>
      <c r="J806" s="21" t="s">
        <v>2436</v>
      </c>
      <c r="K806" s="21"/>
      <c r="L806" s="21"/>
      <c r="N806" s="22" t="s">
        <v>228</v>
      </c>
      <c r="O806" s="22" t="s">
        <v>2229</v>
      </c>
      <c r="P806" s="21">
        <v>82260</v>
      </c>
      <c r="Q806" s="21">
        <v>13</v>
      </c>
      <c r="R806" s="21">
        <v>13</v>
      </c>
      <c r="S806" s="21">
        <v>13</v>
      </c>
      <c r="T806" s="21" t="s">
        <v>281</v>
      </c>
      <c r="U806" s="21">
        <v>1</v>
      </c>
      <c r="V806" s="21">
        <v>1</v>
      </c>
      <c r="W806" s="24">
        <f t="shared" ref="W806:W838" si="119">(4*3.14*(((Q806^1.6*R806^1.6+Q806^1.6*S806^1.6+R806^1.6+S806^1.6)/3)^(1/1.6)))*(1/V806)</f>
        <v>1664.4222732199528</v>
      </c>
      <c r="X806" s="24">
        <f t="shared" ref="X806:X824" si="120">3.14/6*Q806*R806*S806*U806</f>
        <v>1149.7633333333333</v>
      </c>
      <c r="Y806" s="21">
        <v>16</v>
      </c>
      <c r="Z806" s="24">
        <f t="shared" si="111"/>
        <v>26630.756371519245</v>
      </c>
      <c r="AA806" s="24">
        <f t="shared" si="112"/>
        <v>18396.213333333333</v>
      </c>
      <c r="AB806" s="21">
        <v>39</v>
      </c>
      <c r="AC806" s="21">
        <v>39</v>
      </c>
      <c r="AD806" s="21">
        <v>39</v>
      </c>
      <c r="AE806" s="21" t="s">
        <v>246</v>
      </c>
      <c r="AF806" s="21">
        <v>0.8</v>
      </c>
      <c r="AG806" s="21">
        <v>1.5</v>
      </c>
      <c r="AH806" s="25">
        <f t="shared" ref="AH806:AH814" si="121">4*3.14*(AC806/2)*(AB806/2)/AG806</f>
        <v>3183.9600000000005</v>
      </c>
      <c r="AI806" s="25">
        <f t="shared" ref="AI806:AI814" si="122">(3.14/6*(AD806*AB806*AC806))*AF806</f>
        <v>24834.888000000003</v>
      </c>
      <c r="AJ806" s="21">
        <v>18405.2</v>
      </c>
      <c r="AK806" s="21">
        <v>40</v>
      </c>
      <c r="AL806" s="22" t="s">
        <v>161</v>
      </c>
      <c r="AM806" s="22">
        <v>0.16</v>
      </c>
      <c r="AN806" s="38" t="s">
        <v>1364</v>
      </c>
      <c r="AO806" s="38" t="s">
        <v>1364</v>
      </c>
      <c r="AP806" s="22" t="s">
        <v>162</v>
      </c>
      <c r="AQ806" s="22" t="str">
        <f t="shared" si="113"/>
        <v>Microphytoplankton</v>
      </c>
      <c r="AR806" s="22">
        <v>0</v>
      </c>
      <c r="AS806" s="22">
        <v>0</v>
      </c>
      <c r="AT806" s="22">
        <v>0</v>
      </c>
      <c r="AU806" s="22">
        <v>1</v>
      </c>
      <c r="AV806" s="22">
        <v>0</v>
      </c>
      <c r="AW806" s="22">
        <v>0</v>
      </c>
      <c r="AX806" s="22">
        <v>0</v>
      </c>
      <c r="AY806" s="22">
        <v>1</v>
      </c>
      <c r="AZ806" s="22">
        <v>0</v>
      </c>
      <c r="BA806" s="22">
        <v>0</v>
      </c>
      <c r="BB806" s="22">
        <v>1</v>
      </c>
      <c r="BC806" s="22">
        <v>3</v>
      </c>
      <c r="BD806" s="22">
        <v>3</v>
      </c>
      <c r="BE806" s="22">
        <v>3</v>
      </c>
    </row>
    <row r="807" spans="1:57">
      <c r="A807" s="21" t="s">
        <v>2437</v>
      </c>
      <c r="B807" s="22" t="s">
        <v>663</v>
      </c>
      <c r="C807" s="22" t="s">
        <v>2223</v>
      </c>
      <c r="D807" s="22" t="s">
        <v>2224</v>
      </c>
      <c r="E807" s="23" t="s">
        <v>63</v>
      </c>
      <c r="F807" s="23" t="s">
        <v>2225</v>
      </c>
      <c r="G807" s="23" t="s">
        <v>2226</v>
      </c>
      <c r="H807" s="38" t="s">
        <v>2303</v>
      </c>
      <c r="I807" s="22" t="s">
        <v>2438</v>
      </c>
      <c r="J807" s="21" t="s">
        <v>2439</v>
      </c>
      <c r="K807" s="21"/>
      <c r="L807" s="21"/>
      <c r="N807" s="22" t="s">
        <v>520</v>
      </c>
      <c r="O807" s="22" t="s">
        <v>2229</v>
      </c>
      <c r="P807" s="21">
        <v>84815</v>
      </c>
      <c r="Q807" s="21">
        <v>6</v>
      </c>
      <c r="R807" s="21">
        <v>6</v>
      </c>
      <c r="S807" s="21">
        <v>6</v>
      </c>
      <c r="T807" s="21" t="s">
        <v>281</v>
      </c>
      <c r="U807" s="21">
        <v>1</v>
      </c>
      <c r="V807" s="21">
        <v>1</v>
      </c>
      <c r="W807" s="24">
        <f t="shared" si="119"/>
        <v>363.28803924381305</v>
      </c>
      <c r="X807" s="24">
        <f t="shared" si="120"/>
        <v>113.03999999999998</v>
      </c>
      <c r="Y807" s="21">
        <v>16</v>
      </c>
      <c r="Z807" s="24">
        <f t="shared" si="111"/>
        <v>5812.6086279010087</v>
      </c>
      <c r="AA807" s="24">
        <f t="shared" si="112"/>
        <v>1808.6399999999996</v>
      </c>
      <c r="AB807" s="21">
        <v>40</v>
      </c>
      <c r="AC807" s="21">
        <v>40</v>
      </c>
      <c r="AD807" s="21">
        <v>40</v>
      </c>
      <c r="AE807" s="21" t="s">
        <v>246</v>
      </c>
      <c r="AF807" s="21">
        <v>0.25</v>
      </c>
      <c r="AG807" s="21">
        <v>1</v>
      </c>
      <c r="AH807" s="25">
        <f t="shared" si="121"/>
        <v>5024</v>
      </c>
      <c r="AI807" s="25">
        <f t="shared" si="122"/>
        <v>8373.3333333333339</v>
      </c>
      <c r="AJ807" s="21">
        <v>1822.2</v>
      </c>
      <c r="AK807" s="21">
        <v>35</v>
      </c>
      <c r="AL807" s="38" t="s">
        <v>2440</v>
      </c>
      <c r="AM807" s="22">
        <v>0.16</v>
      </c>
      <c r="AN807" s="38" t="s">
        <v>2282</v>
      </c>
      <c r="AO807" s="22" t="s">
        <v>2282</v>
      </c>
      <c r="AP807" s="22" t="s">
        <v>230</v>
      </c>
      <c r="AQ807" s="22" t="str">
        <f t="shared" si="113"/>
        <v>Microphytoplankton</v>
      </c>
      <c r="AR807" s="22">
        <v>0</v>
      </c>
      <c r="AS807" s="22">
        <v>0</v>
      </c>
      <c r="AT807" s="22">
        <v>0</v>
      </c>
      <c r="AU807" s="22">
        <v>1</v>
      </c>
      <c r="AV807" s="22">
        <v>0</v>
      </c>
      <c r="AW807" s="22">
        <v>0</v>
      </c>
      <c r="AX807" s="22">
        <v>0</v>
      </c>
      <c r="AY807" s="22">
        <v>1</v>
      </c>
    </row>
    <row r="808" spans="1:57">
      <c r="A808" s="21" t="s">
        <v>2441</v>
      </c>
      <c r="B808" s="22" t="s">
        <v>663</v>
      </c>
      <c r="C808" s="22" t="s">
        <v>2223</v>
      </c>
      <c r="D808" s="22" t="s">
        <v>2224</v>
      </c>
      <c r="E808" s="23" t="s">
        <v>63</v>
      </c>
      <c r="F808" s="23" t="s">
        <v>2225</v>
      </c>
      <c r="G808" s="23" t="s">
        <v>2226</v>
      </c>
      <c r="H808" s="38" t="s">
        <v>2303</v>
      </c>
      <c r="I808" s="22" t="s">
        <v>2438</v>
      </c>
      <c r="J808" s="21" t="s">
        <v>1492</v>
      </c>
      <c r="K808" s="21"/>
      <c r="L808" s="21"/>
      <c r="N808" s="22" t="s">
        <v>2352</v>
      </c>
      <c r="O808" s="22" t="s">
        <v>2229</v>
      </c>
      <c r="P808" s="21">
        <v>84816</v>
      </c>
      <c r="Q808" s="21">
        <v>9</v>
      </c>
      <c r="R808" s="21">
        <v>6</v>
      </c>
      <c r="S808" s="21">
        <v>5</v>
      </c>
      <c r="T808" s="21" t="s">
        <v>159</v>
      </c>
      <c r="U808" s="21">
        <v>1</v>
      </c>
      <c r="V808" s="21">
        <v>1</v>
      </c>
      <c r="W808" s="24">
        <f t="shared" si="119"/>
        <v>492.68037204736112</v>
      </c>
      <c r="X808" s="24">
        <f t="shared" si="120"/>
        <v>141.29999999999998</v>
      </c>
      <c r="Y808" s="21">
        <v>16</v>
      </c>
      <c r="Z808" s="24">
        <f t="shared" si="111"/>
        <v>7882.8859527577779</v>
      </c>
      <c r="AA808" s="24">
        <f t="shared" si="112"/>
        <v>2260.7999999999997</v>
      </c>
      <c r="AB808" s="21">
        <v>40</v>
      </c>
      <c r="AC808" s="21">
        <v>40</v>
      </c>
      <c r="AD808" s="21">
        <v>40</v>
      </c>
      <c r="AE808" s="21" t="s">
        <v>246</v>
      </c>
      <c r="AF808" s="21">
        <v>0.25</v>
      </c>
      <c r="AG808" s="21">
        <v>1</v>
      </c>
      <c r="AH808" s="25">
        <f t="shared" si="121"/>
        <v>5024</v>
      </c>
      <c r="AI808" s="25">
        <f t="shared" si="122"/>
        <v>8373.3333333333339</v>
      </c>
      <c r="AJ808" s="21">
        <v>2260.7999999999997</v>
      </c>
      <c r="AK808" s="21">
        <v>35</v>
      </c>
      <c r="AL808" s="22" t="s">
        <v>161</v>
      </c>
      <c r="AM808" s="22">
        <v>0.16</v>
      </c>
      <c r="AN808" s="38" t="s">
        <v>2282</v>
      </c>
      <c r="AO808" s="22" t="s">
        <v>2282</v>
      </c>
      <c r="AP808" s="22" t="s">
        <v>230</v>
      </c>
      <c r="AQ808" s="22" t="str">
        <f t="shared" si="113"/>
        <v>Microphytoplankton</v>
      </c>
      <c r="AR808" s="22">
        <v>0</v>
      </c>
      <c r="AS808" s="22">
        <v>0</v>
      </c>
      <c r="AT808" s="22">
        <v>0</v>
      </c>
      <c r="AU808" s="22">
        <v>1</v>
      </c>
      <c r="AV808" s="22">
        <v>0</v>
      </c>
      <c r="AW808" s="22">
        <v>0</v>
      </c>
      <c r="AX808" s="22">
        <v>0</v>
      </c>
      <c r="AY808" s="22">
        <v>1</v>
      </c>
    </row>
    <row r="809" spans="1:57">
      <c r="A809" s="21" t="s">
        <v>2442</v>
      </c>
      <c r="B809" s="22" t="s">
        <v>663</v>
      </c>
      <c r="C809" s="22" t="s">
        <v>2223</v>
      </c>
      <c r="D809" s="22" t="s">
        <v>2224</v>
      </c>
      <c r="E809" s="23" t="s">
        <v>63</v>
      </c>
      <c r="F809" s="23" t="s">
        <v>2225</v>
      </c>
      <c r="G809" s="23" t="s">
        <v>2226</v>
      </c>
      <c r="H809" s="38" t="s">
        <v>2303</v>
      </c>
      <c r="I809" s="22" t="s">
        <v>2438</v>
      </c>
      <c r="J809" s="21" t="s">
        <v>2443</v>
      </c>
      <c r="K809" s="21" t="s">
        <v>175</v>
      </c>
      <c r="L809" s="21" t="s">
        <v>2444</v>
      </c>
      <c r="N809" s="22" t="s">
        <v>2352</v>
      </c>
      <c r="O809" s="22" t="s">
        <v>2229</v>
      </c>
      <c r="P809" s="21">
        <v>84310</v>
      </c>
      <c r="Q809" s="21">
        <v>5</v>
      </c>
      <c r="R809" s="21">
        <v>5</v>
      </c>
      <c r="S809" s="21">
        <v>5</v>
      </c>
      <c r="T809" s="21" t="s">
        <v>281</v>
      </c>
      <c r="U809" s="21">
        <v>1</v>
      </c>
      <c r="V809" s="21">
        <v>1</v>
      </c>
      <c r="W809" s="24">
        <f t="shared" si="119"/>
        <v>255.14798814971115</v>
      </c>
      <c r="X809" s="24">
        <f t="shared" si="120"/>
        <v>65.416666666666671</v>
      </c>
      <c r="Y809" s="21">
        <v>16</v>
      </c>
      <c r="Z809" s="24">
        <f t="shared" si="111"/>
        <v>4082.3678103953785</v>
      </c>
      <c r="AA809" s="24">
        <f t="shared" si="112"/>
        <v>1046.6666666666667</v>
      </c>
      <c r="AB809" s="21">
        <v>30</v>
      </c>
      <c r="AC809" s="21">
        <v>30</v>
      </c>
      <c r="AD809" s="21">
        <v>30</v>
      </c>
      <c r="AE809" s="21" t="s">
        <v>246</v>
      </c>
      <c r="AF809" s="21">
        <v>0.25</v>
      </c>
      <c r="AG809" s="21">
        <v>1</v>
      </c>
      <c r="AH809" s="25">
        <f t="shared" si="121"/>
        <v>2826</v>
      </c>
      <c r="AI809" s="25">
        <f t="shared" si="122"/>
        <v>3532.5</v>
      </c>
      <c r="AJ809" s="21">
        <v>1047.3</v>
      </c>
      <c r="AK809" s="21">
        <v>40</v>
      </c>
      <c r="AL809" s="22" t="s">
        <v>161</v>
      </c>
      <c r="AM809" s="22">
        <v>0.16</v>
      </c>
      <c r="AN809" s="38" t="s">
        <v>2282</v>
      </c>
      <c r="AO809" s="22" t="s">
        <v>2282</v>
      </c>
      <c r="AP809" s="22" t="s">
        <v>230</v>
      </c>
      <c r="AQ809" s="22" t="str">
        <f t="shared" si="113"/>
        <v>Microphytoplankton</v>
      </c>
      <c r="AR809" s="22">
        <v>0</v>
      </c>
      <c r="AS809" s="22">
        <v>0</v>
      </c>
      <c r="AT809" s="22">
        <v>0</v>
      </c>
      <c r="AU809" s="22">
        <v>1</v>
      </c>
      <c r="AV809" s="22">
        <v>0</v>
      </c>
      <c r="AW809" s="22">
        <v>0</v>
      </c>
      <c r="AX809" s="22">
        <v>0</v>
      </c>
      <c r="AY809" s="22">
        <v>1</v>
      </c>
    </row>
    <row r="810" spans="1:57">
      <c r="A810" s="21" t="s">
        <v>2445</v>
      </c>
      <c r="B810" s="22" t="s">
        <v>663</v>
      </c>
      <c r="C810" s="22" t="s">
        <v>2223</v>
      </c>
      <c r="D810" s="22" t="s">
        <v>2224</v>
      </c>
      <c r="E810" s="23" t="s">
        <v>63</v>
      </c>
      <c r="F810" s="23" t="s">
        <v>2225</v>
      </c>
      <c r="G810" s="23" t="s">
        <v>2226</v>
      </c>
      <c r="H810" s="38" t="s">
        <v>2303</v>
      </c>
      <c r="I810" s="22" t="s">
        <v>2438</v>
      </c>
      <c r="J810" s="21" t="s">
        <v>2446</v>
      </c>
      <c r="K810" s="21"/>
      <c r="L810" s="21"/>
      <c r="N810" s="22" t="s">
        <v>2447</v>
      </c>
      <c r="O810" s="22" t="s">
        <v>2229</v>
      </c>
      <c r="P810" s="21">
        <v>84810</v>
      </c>
      <c r="Q810" s="21">
        <v>5</v>
      </c>
      <c r="R810" s="21">
        <v>5</v>
      </c>
      <c r="S810" s="21">
        <v>5</v>
      </c>
      <c r="T810" s="21" t="s">
        <v>281</v>
      </c>
      <c r="U810" s="21">
        <v>1</v>
      </c>
      <c r="V810" s="21">
        <v>1</v>
      </c>
      <c r="W810" s="24">
        <f t="shared" si="119"/>
        <v>255.14798814971115</v>
      </c>
      <c r="X810" s="24">
        <f t="shared" si="120"/>
        <v>65.416666666666671</v>
      </c>
      <c r="Y810" s="21">
        <v>16</v>
      </c>
      <c r="Z810" s="24">
        <f t="shared" si="111"/>
        <v>4082.3678103953785</v>
      </c>
      <c r="AA810" s="24">
        <f t="shared" si="112"/>
        <v>1046.6666666666667</v>
      </c>
      <c r="AB810" s="21">
        <v>30</v>
      </c>
      <c r="AC810" s="21">
        <v>30</v>
      </c>
      <c r="AD810" s="21">
        <v>30</v>
      </c>
      <c r="AE810" s="21" t="s">
        <v>246</v>
      </c>
      <c r="AF810" s="21">
        <v>0.25</v>
      </c>
      <c r="AG810" s="21">
        <v>1</v>
      </c>
      <c r="AH810" s="25">
        <f t="shared" si="121"/>
        <v>2826</v>
      </c>
      <c r="AI810" s="25">
        <f t="shared" si="122"/>
        <v>3532.5</v>
      </c>
      <c r="AJ810" s="21">
        <v>1047.3</v>
      </c>
      <c r="AK810" s="21">
        <v>42</v>
      </c>
      <c r="AL810" s="22" t="s">
        <v>161</v>
      </c>
      <c r="AM810" s="22">
        <v>0.16</v>
      </c>
      <c r="AN810" s="38" t="s">
        <v>2282</v>
      </c>
      <c r="AO810" s="22" t="s">
        <v>2282</v>
      </c>
      <c r="AP810" s="22" t="s">
        <v>230</v>
      </c>
      <c r="AQ810" s="22" t="str">
        <f t="shared" si="113"/>
        <v>Microphytoplankton</v>
      </c>
      <c r="AR810" s="22">
        <v>0</v>
      </c>
      <c r="AS810" s="22">
        <v>0</v>
      </c>
      <c r="AT810" s="22">
        <v>0</v>
      </c>
      <c r="AU810" s="22">
        <v>1</v>
      </c>
      <c r="AV810" s="22">
        <v>0</v>
      </c>
      <c r="AW810" s="22">
        <v>0</v>
      </c>
      <c r="AX810" s="22">
        <v>0</v>
      </c>
      <c r="AY810" s="22">
        <v>1</v>
      </c>
    </row>
    <row r="811" spans="1:57">
      <c r="A811" s="21" t="s">
        <v>2448</v>
      </c>
      <c r="B811" s="22" t="s">
        <v>663</v>
      </c>
      <c r="C811" s="22" t="s">
        <v>2223</v>
      </c>
      <c r="D811" s="22" t="s">
        <v>2224</v>
      </c>
      <c r="E811" s="23" t="s">
        <v>63</v>
      </c>
      <c r="F811" s="23" t="s">
        <v>2225</v>
      </c>
      <c r="G811" s="23" t="s">
        <v>2226</v>
      </c>
      <c r="H811" s="38" t="s">
        <v>2303</v>
      </c>
      <c r="I811" s="22" t="s">
        <v>2438</v>
      </c>
      <c r="J811" s="21" t="s">
        <v>211</v>
      </c>
      <c r="K811" s="21"/>
      <c r="L811" s="21"/>
      <c r="M811" s="22" t="s">
        <v>1</v>
      </c>
      <c r="N811" s="22" t="s">
        <v>2352</v>
      </c>
      <c r="O811" s="22" t="s">
        <v>2229</v>
      </c>
      <c r="P811" s="21">
        <v>84811</v>
      </c>
      <c r="Q811" s="21">
        <v>5.5</v>
      </c>
      <c r="R811" s="21">
        <v>5.5</v>
      </c>
      <c r="S811" s="21">
        <v>5.5</v>
      </c>
      <c r="T811" s="21" t="s">
        <v>281</v>
      </c>
      <c r="U811" s="21">
        <v>1</v>
      </c>
      <c r="V811" s="21">
        <v>1</v>
      </c>
      <c r="W811" s="24">
        <f t="shared" si="119"/>
        <v>306.79434592737334</v>
      </c>
      <c r="X811" s="24">
        <f t="shared" si="120"/>
        <v>87.069583333333341</v>
      </c>
      <c r="Y811" s="21">
        <v>16</v>
      </c>
      <c r="Z811" s="24">
        <f t="shared" si="111"/>
        <v>4908.7095348379735</v>
      </c>
      <c r="AA811" s="24">
        <f t="shared" si="112"/>
        <v>1393.1133333333335</v>
      </c>
      <c r="AB811" s="21">
        <v>33</v>
      </c>
      <c r="AC811" s="21">
        <v>33</v>
      </c>
      <c r="AD811" s="21">
        <v>33</v>
      </c>
      <c r="AE811" s="21" t="s">
        <v>246</v>
      </c>
      <c r="AF811" s="21">
        <v>0.25</v>
      </c>
      <c r="AG811" s="21">
        <v>1</v>
      </c>
      <c r="AH811" s="25">
        <f t="shared" si="121"/>
        <v>3419.46</v>
      </c>
      <c r="AI811" s="25">
        <f t="shared" si="122"/>
        <v>4701.7574999999997</v>
      </c>
      <c r="AJ811" s="21">
        <v>1822.3</v>
      </c>
      <c r="AK811" s="21">
        <v>40</v>
      </c>
      <c r="AL811" s="22" t="s">
        <v>161</v>
      </c>
      <c r="AM811" s="22">
        <v>0.16</v>
      </c>
      <c r="AN811" s="38" t="s">
        <v>2282</v>
      </c>
      <c r="AO811" s="22" t="s">
        <v>2282</v>
      </c>
      <c r="AP811" s="22" t="s">
        <v>230</v>
      </c>
      <c r="AQ811" s="22" t="str">
        <f t="shared" si="113"/>
        <v>Microphytoplankton</v>
      </c>
      <c r="AR811" s="22">
        <v>0</v>
      </c>
      <c r="AS811" s="22">
        <v>0</v>
      </c>
      <c r="AT811" s="22">
        <v>0</v>
      </c>
      <c r="AU811" s="22">
        <v>1</v>
      </c>
      <c r="AV811" s="22">
        <v>0</v>
      </c>
      <c r="AW811" s="22">
        <v>0</v>
      </c>
      <c r="AX811" s="22">
        <v>0</v>
      </c>
      <c r="AY811" s="22">
        <v>1</v>
      </c>
    </row>
    <row r="812" spans="1:57">
      <c r="A812" s="21" t="s">
        <v>2449</v>
      </c>
      <c r="B812" s="22" t="s">
        <v>663</v>
      </c>
      <c r="C812" s="22" t="s">
        <v>2223</v>
      </c>
      <c r="D812" s="22" t="s">
        <v>2224</v>
      </c>
      <c r="E812" s="23" t="s">
        <v>63</v>
      </c>
      <c r="F812" s="23" t="s">
        <v>2225</v>
      </c>
      <c r="G812" s="23" t="s">
        <v>2226</v>
      </c>
      <c r="H812" s="38" t="s">
        <v>2303</v>
      </c>
      <c r="I812" s="22" t="s">
        <v>2450</v>
      </c>
      <c r="J812" s="21" t="s">
        <v>209</v>
      </c>
      <c r="K812" s="21" t="s">
        <v>175</v>
      </c>
      <c r="L812" s="21" t="s">
        <v>2451</v>
      </c>
      <c r="N812" s="22" t="s">
        <v>2452</v>
      </c>
      <c r="O812" s="22" t="s">
        <v>2229</v>
      </c>
      <c r="P812" s="21">
        <v>84020</v>
      </c>
      <c r="Q812" s="21">
        <v>20</v>
      </c>
      <c r="R812" s="21">
        <v>16</v>
      </c>
      <c r="S812" s="21">
        <v>16</v>
      </c>
      <c r="T812" s="21" t="s">
        <v>281</v>
      </c>
      <c r="U812" s="21">
        <v>1</v>
      </c>
      <c r="V812" s="21">
        <v>1</v>
      </c>
      <c r="W812" s="24">
        <f t="shared" si="119"/>
        <v>3135.6129747875398</v>
      </c>
      <c r="X812" s="24">
        <f t="shared" si="120"/>
        <v>2679.4666666666667</v>
      </c>
      <c r="Y812" s="21">
        <v>4</v>
      </c>
      <c r="Z812" s="24">
        <f t="shared" si="111"/>
        <v>12542.451899150159</v>
      </c>
      <c r="AA812" s="24">
        <f t="shared" si="112"/>
        <v>10717.866666666667</v>
      </c>
      <c r="AB812" s="21">
        <v>43</v>
      </c>
      <c r="AC812" s="21">
        <v>43</v>
      </c>
      <c r="AD812" s="21">
        <v>43</v>
      </c>
      <c r="AE812" s="21" t="s">
        <v>246</v>
      </c>
      <c r="AF812" s="21">
        <v>0.1</v>
      </c>
      <c r="AG812" s="21">
        <v>1</v>
      </c>
      <c r="AH812" s="25">
        <f t="shared" si="121"/>
        <v>5805.8600000000006</v>
      </c>
      <c r="AI812" s="25">
        <f t="shared" si="122"/>
        <v>4160.8663333333334</v>
      </c>
      <c r="AJ812" s="21">
        <v>33303.800000000003</v>
      </c>
      <c r="AK812" s="21">
        <v>43</v>
      </c>
      <c r="AL812" s="22" t="s">
        <v>161</v>
      </c>
      <c r="AM812" s="22">
        <v>0.16</v>
      </c>
      <c r="AN812" s="22" t="s">
        <v>2282</v>
      </c>
      <c r="AO812" s="22" t="s">
        <v>2282</v>
      </c>
      <c r="AP812" s="22" t="s">
        <v>230</v>
      </c>
      <c r="AQ812" s="22" t="str">
        <f t="shared" si="113"/>
        <v>Microphytoplankton</v>
      </c>
      <c r="AR812" s="22">
        <v>0</v>
      </c>
      <c r="AS812" s="22">
        <v>0</v>
      </c>
      <c r="AT812" s="22">
        <v>0</v>
      </c>
      <c r="AU812" s="22">
        <v>1</v>
      </c>
      <c r="AV812" s="22">
        <v>0</v>
      </c>
      <c r="AW812" s="22">
        <v>0</v>
      </c>
      <c r="AX812" s="22">
        <v>0</v>
      </c>
      <c r="AY812" s="22">
        <v>1</v>
      </c>
    </row>
    <row r="813" spans="1:57">
      <c r="A813" s="22" t="s">
        <v>2453</v>
      </c>
      <c r="B813" s="22" t="s">
        <v>663</v>
      </c>
      <c r="C813" s="22" t="s">
        <v>2223</v>
      </c>
      <c r="D813" s="22" t="s">
        <v>2224</v>
      </c>
      <c r="E813" s="23" t="s">
        <v>63</v>
      </c>
      <c r="F813" s="23" t="s">
        <v>2225</v>
      </c>
      <c r="G813" s="23" t="s">
        <v>2226</v>
      </c>
      <c r="H813" s="38" t="s">
        <v>2303</v>
      </c>
      <c r="I813" s="22" t="s">
        <v>2450</v>
      </c>
      <c r="J813" s="22" t="s">
        <v>211</v>
      </c>
      <c r="M813" s="22" t="s">
        <v>1</v>
      </c>
      <c r="N813" s="22" t="s">
        <v>2352</v>
      </c>
      <c r="O813" s="22" t="s">
        <v>2229</v>
      </c>
      <c r="P813" s="21">
        <v>84021</v>
      </c>
      <c r="Q813" s="22">
        <v>7</v>
      </c>
      <c r="R813" s="22">
        <v>5</v>
      </c>
      <c r="S813" s="22">
        <v>5</v>
      </c>
      <c r="T813" s="22" t="s">
        <v>281</v>
      </c>
      <c r="U813" s="22">
        <v>1</v>
      </c>
      <c r="V813" s="22">
        <v>1</v>
      </c>
      <c r="W813" s="24">
        <f t="shared" si="119"/>
        <v>350.59415327182398</v>
      </c>
      <c r="X813" s="24">
        <f t="shared" si="120"/>
        <v>91.583333333333329</v>
      </c>
      <c r="Y813" s="22">
        <v>4</v>
      </c>
      <c r="Z813" s="24">
        <f t="shared" si="111"/>
        <v>1402.3766130872959</v>
      </c>
      <c r="AA813" s="24">
        <f t="shared" si="112"/>
        <v>366.33333333333331</v>
      </c>
      <c r="AB813" s="22">
        <v>20</v>
      </c>
      <c r="AC813" s="22">
        <v>20</v>
      </c>
      <c r="AD813" s="22">
        <v>30</v>
      </c>
      <c r="AE813" s="21" t="s">
        <v>246</v>
      </c>
      <c r="AF813" s="21">
        <v>0.1</v>
      </c>
      <c r="AG813" s="22">
        <v>1</v>
      </c>
      <c r="AH813" s="25">
        <f t="shared" si="121"/>
        <v>1256</v>
      </c>
      <c r="AI813" s="25">
        <f t="shared" si="122"/>
        <v>628</v>
      </c>
      <c r="AJ813" s="21">
        <v>366.33333333333331</v>
      </c>
      <c r="AK813" s="21">
        <v>20</v>
      </c>
      <c r="AL813" s="22" t="s">
        <v>161</v>
      </c>
      <c r="AM813" s="22">
        <v>0.16</v>
      </c>
      <c r="AO813" s="22" t="s">
        <v>2282</v>
      </c>
      <c r="AP813" s="22" t="s">
        <v>230</v>
      </c>
      <c r="AQ813" s="22" t="str">
        <f t="shared" si="113"/>
        <v>Microphytoplankton</v>
      </c>
      <c r="AR813" s="22">
        <v>0</v>
      </c>
      <c r="AS813" s="22">
        <v>0</v>
      </c>
      <c r="AT813" s="22">
        <v>0</v>
      </c>
      <c r="AU813" s="22">
        <v>1</v>
      </c>
      <c r="AV813" s="22">
        <v>0</v>
      </c>
      <c r="AW813" s="22">
        <v>0</v>
      </c>
      <c r="AX813" s="22">
        <v>0</v>
      </c>
      <c r="AY813" s="22">
        <v>1</v>
      </c>
    </row>
    <row r="814" spans="1:57">
      <c r="A814" s="21" t="s">
        <v>2454</v>
      </c>
      <c r="B814" s="22" t="s">
        <v>663</v>
      </c>
      <c r="C814" s="22" t="s">
        <v>2223</v>
      </c>
      <c r="D814" s="22" t="s">
        <v>2224</v>
      </c>
      <c r="E814" s="23" t="s">
        <v>63</v>
      </c>
      <c r="F814" s="23" t="s">
        <v>2225</v>
      </c>
      <c r="G814" s="23" t="s">
        <v>2226</v>
      </c>
      <c r="H814" s="38" t="s">
        <v>2303</v>
      </c>
      <c r="I814" s="22" t="s">
        <v>2450</v>
      </c>
      <c r="J814" s="21" t="s">
        <v>2455</v>
      </c>
      <c r="K814" s="21"/>
      <c r="L814" s="21"/>
      <c r="N814" s="22" t="s">
        <v>2352</v>
      </c>
      <c r="O814" s="22" t="s">
        <v>2229</v>
      </c>
      <c r="P814" s="21">
        <v>84010</v>
      </c>
      <c r="Q814" s="21">
        <v>9</v>
      </c>
      <c r="R814" s="21">
        <v>6</v>
      </c>
      <c r="S814" s="21">
        <v>6</v>
      </c>
      <c r="T814" s="21" t="s">
        <v>281</v>
      </c>
      <c r="U814" s="21">
        <v>1</v>
      </c>
      <c r="V814" s="21">
        <v>1</v>
      </c>
      <c r="W814" s="24">
        <f t="shared" si="119"/>
        <v>536.14069618677627</v>
      </c>
      <c r="X814" s="24">
        <f t="shared" si="120"/>
        <v>169.56</v>
      </c>
      <c r="Y814" s="21">
        <v>8</v>
      </c>
      <c r="Z814" s="24">
        <f t="shared" si="111"/>
        <v>4289.1255694942101</v>
      </c>
      <c r="AA814" s="24">
        <f t="shared" si="112"/>
        <v>1356.48</v>
      </c>
      <c r="AB814" s="21">
        <v>36</v>
      </c>
      <c r="AC814" s="21">
        <v>36</v>
      </c>
      <c r="AD814" s="21">
        <v>36</v>
      </c>
      <c r="AE814" s="21" t="s">
        <v>246</v>
      </c>
      <c r="AF814" s="21">
        <v>0.1</v>
      </c>
      <c r="AG814" s="22">
        <v>1</v>
      </c>
      <c r="AH814" s="25">
        <f t="shared" si="121"/>
        <v>4069.44</v>
      </c>
      <c r="AI814" s="25">
        <f t="shared" si="122"/>
        <v>2441.6640000000002</v>
      </c>
      <c r="AJ814" s="21">
        <v>1357.5</v>
      </c>
      <c r="AK814" s="21">
        <v>36</v>
      </c>
      <c r="AL814" s="22" t="s">
        <v>161</v>
      </c>
      <c r="AM814" s="22">
        <v>0.16</v>
      </c>
      <c r="AN814" s="22" t="s">
        <v>2282</v>
      </c>
      <c r="AO814" s="22" t="s">
        <v>2282</v>
      </c>
      <c r="AP814" s="22" t="s">
        <v>230</v>
      </c>
      <c r="AQ814" s="22" t="str">
        <f t="shared" si="113"/>
        <v>Microphytoplankton</v>
      </c>
      <c r="AR814" s="22">
        <v>0</v>
      </c>
      <c r="AS814" s="22">
        <v>0</v>
      </c>
      <c r="AT814" s="22">
        <v>0</v>
      </c>
      <c r="AU814" s="22">
        <v>1</v>
      </c>
      <c r="AV814" s="22">
        <v>0</v>
      </c>
      <c r="AW814" s="22">
        <v>0</v>
      </c>
      <c r="AX814" s="22">
        <v>0</v>
      </c>
      <c r="AY814" s="22">
        <v>1</v>
      </c>
    </row>
    <row r="815" spans="1:57">
      <c r="A815" s="22" t="s">
        <v>2456</v>
      </c>
      <c r="B815" s="22" t="s">
        <v>663</v>
      </c>
      <c r="C815" s="22" t="s">
        <v>2223</v>
      </c>
      <c r="D815" s="22" t="s">
        <v>2224</v>
      </c>
      <c r="E815" s="23" t="s">
        <v>63</v>
      </c>
      <c r="F815" s="23" t="s">
        <v>2225</v>
      </c>
      <c r="G815" s="23" t="s">
        <v>2226</v>
      </c>
      <c r="H815" s="22" t="s">
        <v>2457</v>
      </c>
      <c r="I815" s="22" t="s">
        <v>2458</v>
      </c>
      <c r="J815" s="22" t="s">
        <v>2204</v>
      </c>
      <c r="N815" s="22" t="s">
        <v>2459</v>
      </c>
      <c r="O815" s="22" t="s">
        <v>2229</v>
      </c>
      <c r="P815" s="21">
        <v>82411</v>
      </c>
      <c r="Q815" s="22">
        <v>4</v>
      </c>
      <c r="R815" s="22">
        <v>8.5</v>
      </c>
      <c r="S815" s="22">
        <v>3</v>
      </c>
      <c r="T815" s="22" t="s">
        <v>159</v>
      </c>
      <c r="U815" s="21">
        <v>1</v>
      </c>
      <c r="V815" s="21">
        <v>1</v>
      </c>
      <c r="W815" s="24">
        <f t="shared" si="119"/>
        <v>255.43510521407816</v>
      </c>
      <c r="X815" s="24">
        <f t="shared" si="120"/>
        <v>53.379999999999995</v>
      </c>
      <c r="Y815" s="22">
        <v>4</v>
      </c>
      <c r="Z815" s="24">
        <f t="shared" si="111"/>
        <v>1021.7404208563127</v>
      </c>
      <c r="AA815" s="24">
        <f t="shared" si="112"/>
        <v>213.51999999999998</v>
      </c>
      <c r="AB815" s="22">
        <v>8</v>
      </c>
      <c r="AC815" s="22">
        <v>19</v>
      </c>
      <c r="AD815" s="22">
        <v>3</v>
      </c>
      <c r="AE815" s="22" t="s">
        <v>330</v>
      </c>
      <c r="AF815" s="22">
        <v>0.9</v>
      </c>
      <c r="AG815" s="22">
        <v>1.1000000000000001</v>
      </c>
      <c r="AH815" s="25">
        <f t="shared" ref="AH815:AH824" si="123">(AB815*AC815*2+AB815*AD815*2+AC815*AD815*2)/AG815</f>
        <v>423.63636363636363</v>
      </c>
      <c r="AI815" s="25">
        <f t="shared" ref="AI815:AI824" si="124">AB815*AC815*AD815*AF815</f>
        <v>410.40000000000003</v>
      </c>
      <c r="AJ815" s="21">
        <v>213.51999999999998</v>
      </c>
      <c r="AK815" s="21">
        <v>9</v>
      </c>
      <c r="AL815" s="22" t="s">
        <v>161</v>
      </c>
      <c r="AM815" s="22">
        <v>0.16</v>
      </c>
      <c r="AO815" s="22" t="s">
        <v>1364</v>
      </c>
      <c r="AP815" s="22" t="s">
        <v>162</v>
      </c>
      <c r="AQ815" s="22" t="str">
        <f t="shared" si="113"/>
        <v>Nanophytoplankton</v>
      </c>
      <c r="AR815" s="22">
        <v>0</v>
      </c>
      <c r="AS815" s="22">
        <v>0</v>
      </c>
      <c r="AT815" s="22">
        <v>0</v>
      </c>
      <c r="AU815" s="22">
        <v>1</v>
      </c>
      <c r="AV815" s="22">
        <v>0</v>
      </c>
      <c r="AW815" s="22">
        <v>0</v>
      </c>
      <c r="AX815" s="22">
        <v>0</v>
      </c>
      <c r="AY815" s="22">
        <v>1</v>
      </c>
    </row>
    <row r="816" spans="1:57">
      <c r="A816" s="21" t="s">
        <v>2460</v>
      </c>
      <c r="B816" s="22" t="s">
        <v>663</v>
      </c>
      <c r="C816" s="22" t="s">
        <v>2223</v>
      </c>
      <c r="D816" s="22" t="s">
        <v>2224</v>
      </c>
      <c r="E816" s="23" t="s">
        <v>63</v>
      </c>
      <c r="F816" s="23" t="s">
        <v>2225</v>
      </c>
      <c r="G816" s="23" t="s">
        <v>2226</v>
      </c>
      <c r="H816" s="22" t="s">
        <v>2457</v>
      </c>
      <c r="I816" s="22" t="s">
        <v>2458</v>
      </c>
      <c r="J816" s="21" t="s">
        <v>2461</v>
      </c>
      <c r="K816" s="21"/>
      <c r="L816" s="21"/>
      <c r="N816" s="22" t="s">
        <v>2459</v>
      </c>
      <c r="O816" s="22" t="s">
        <v>2229</v>
      </c>
      <c r="P816" s="21">
        <v>82410</v>
      </c>
      <c r="Q816" s="21">
        <v>9</v>
      </c>
      <c r="R816" s="21">
        <v>6</v>
      </c>
      <c r="S816" s="21">
        <v>6</v>
      </c>
      <c r="T816" s="21" t="s">
        <v>281</v>
      </c>
      <c r="U816" s="21">
        <v>1</v>
      </c>
      <c r="V816" s="21">
        <v>1</v>
      </c>
      <c r="W816" s="24">
        <f t="shared" si="119"/>
        <v>536.14069618677627</v>
      </c>
      <c r="X816" s="24">
        <f t="shared" si="120"/>
        <v>169.56</v>
      </c>
      <c r="Y816" s="21">
        <v>16</v>
      </c>
      <c r="Z816" s="24">
        <f t="shared" si="111"/>
        <v>8578.2511389884203</v>
      </c>
      <c r="AA816" s="24">
        <f t="shared" si="112"/>
        <v>2712.96</v>
      </c>
      <c r="AB816" s="22">
        <v>36</v>
      </c>
      <c r="AC816" s="21">
        <v>18</v>
      </c>
      <c r="AD816" s="21">
        <v>6</v>
      </c>
      <c r="AE816" s="22" t="s">
        <v>330</v>
      </c>
      <c r="AF816" s="22">
        <v>0.9</v>
      </c>
      <c r="AG816" s="22">
        <v>1.1000000000000001</v>
      </c>
      <c r="AH816" s="25">
        <f t="shared" si="123"/>
        <v>1767.272727272727</v>
      </c>
      <c r="AI816" s="25">
        <f t="shared" si="124"/>
        <v>3499.2000000000003</v>
      </c>
      <c r="AJ816" s="21">
        <v>2714.3</v>
      </c>
      <c r="AK816" s="21">
        <v>60</v>
      </c>
      <c r="AL816" s="22" t="s">
        <v>161</v>
      </c>
      <c r="AM816" s="22">
        <v>0.16</v>
      </c>
      <c r="AN816" s="38"/>
      <c r="AO816" s="22" t="s">
        <v>1364</v>
      </c>
      <c r="AP816" s="22" t="s">
        <v>162</v>
      </c>
      <c r="AQ816" s="22" t="str">
        <f t="shared" si="113"/>
        <v>Microphytoplankton</v>
      </c>
      <c r="AR816" s="22">
        <v>0</v>
      </c>
      <c r="AS816" s="22">
        <v>0</v>
      </c>
      <c r="AT816" s="22">
        <v>0</v>
      </c>
      <c r="AU816" s="22">
        <v>1</v>
      </c>
      <c r="AV816" s="22">
        <v>0</v>
      </c>
      <c r="AW816" s="22">
        <v>0</v>
      </c>
      <c r="AX816" s="22">
        <v>0</v>
      </c>
      <c r="AY816" s="22">
        <v>1</v>
      </c>
    </row>
    <row r="817" spans="1:57">
      <c r="A817" s="22" t="s">
        <v>2462</v>
      </c>
      <c r="B817" s="22" t="s">
        <v>663</v>
      </c>
      <c r="C817" s="22" t="s">
        <v>2223</v>
      </c>
      <c r="D817" s="22" t="s">
        <v>2224</v>
      </c>
      <c r="E817" s="23" t="s">
        <v>63</v>
      </c>
      <c r="F817" s="23" t="s">
        <v>2225</v>
      </c>
      <c r="G817" s="23" t="s">
        <v>2226</v>
      </c>
      <c r="H817" s="22" t="s">
        <v>2457</v>
      </c>
      <c r="I817" s="22" t="s">
        <v>2458</v>
      </c>
      <c r="J817" s="22" t="s">
        <v>2463</v>
      </c>
      <c r="N817" s="22" t="s">
        <v>2464</v>
      </c>
      <c r="O817" s="22" t="s">
        <v>2229</v>
      </c>
      <c r="P817" s="21">
        <v>82412</v>
      </c>
      <c r="Q817" s="22">
        <v>5</v>
      </c>
      <c r="R817" s="22">
        <v>7.5</v>
      </c>
      <c r="S817" s="22">
        <v>4</v>
      </c>
      <c r="T817" s="22" t="s">
        <v>281</v>
      </c>
      <c r="U817" s="21">
        <v>1</v>
      </c>
      <c r="V817" s="21">
        <v>1</v>
      </c>
      <c r="W817" s="24">
        <f t="shared" si="119"/>
        <v>301.54278883223435</v>
      </c>
      <c r="X817" s="24">
        <f t="shared" si="120"/>
        <v>78.5</v>
      </c>
      <c r="Y817" s="22">
        <v>4</v>
      </c>
      <c r="Z817" s="24">
        <f t="shared" si="111"/>
        <v>1206.1711553289374</v>
      </c>
      <c r="AA817" s="24">
        <f t="shared" si="112"/>
        <v>314</v>
      </c>
      <c r="AB817" s="22">
        <v>10</v>
      </c>
      <c r="AC817" s="22">
        <v>15</v>
      </c>
      <c r="AD817" s="22">
        <v>4</v>
      </c>
      <c r="AE817" s="22" t="s">
        <v>330</v>
      </c>
      <c r="AF817" s="22">
        <v>0.9</v>
      </c>
      <c r="AG817" s="22">
        <v>1.1000000000000001</v>
      </c>
      <c r="AH817" s="25">
        <f t="shared" si="123"/>
        <v>454.5454545454545</v>
      </c>
      <c r="AI817" s="25">
        <f t="shared" si="124"/>
        <v>540</v>
      </c>
      <c r="AJ817" s="21">
        <v>588.75</v>
      </c>
      <c r="AK817" s="21">
        <v>9</v>
      </c>
      <c r="AL817" s="22" t="s">
        <v>161</v>
      </c>
      <c r="AM817" s="22">
        <v>0.16</v>
      </c>
      <c r="AO817" s="22" t="s">
        <v>1364</v>
      </c>
      <c r="AP817" s="22" t="s">
        <v>162</v>
      </c>
      <c r="AQ817" s="22" t="str">
        <f t="shared" si="113"/>
        <v>Nanophytoplankton</v>
      </c>
      <c r="AR817" s="22">
        <v>0</v>
      </c>
      <c r="AS817" s="22">
        <v>0</v>
      </c>
      <c r="AT817" s="22">
        <v>0</v>
      </c>
      <c r="AU817" s="22">
        <v>1</v>
      </c>
      <c r="AV817" s="22">
        <v>0</v>
      </c>
      <c r="AW817" s="22">
        <v>0</v>
      </c>
      <c r="AX817" s="22">
        <v>0</v>
      </c>
      <c r="AY817" s="22">
        <v>1</v>
      </c>
    </row>
    <row r="818" spans="1:57">
      <c r="A818" s="22" t="s">
        <v>2465</v>
      </c>
      <c r="B818" s="22" t="s">
        <v>663</v>
      </c>
      <c r="C818" s="22" t="s">
        <v>2223</v>
      </c>
      <c r="D818" s="22" t="s">
        <v>2224</v>
      </c>
      <c r="E818" s="23" t="s">
        <v>63</v>
      </c>
      <c r="F818" s="23" t="s">
        <v>2225</v>
      </c>
      <c r="G818" s="23" t="s">
        <v>2226</v>
      </c>
      <c r="H818" s="22" t="s">
        <v>2457</v>
      </c>
      <c r="I818" s="22" t="s">
        <v>2458</v>
      </c>
      <c r="J818" s="22" t="s">
        <v>2466</v>
      </c>
      <c r="N818" s="22" t="s">
        <v>2467</v>
      </c>
      <c r="O818" s="22" t="s">
        <v>2229</v>
      </c>
      <c r="P818" s="21">
        <v>82413</v>
      </c>
      <c r="Q818" s="22">
        <v>6</v>
      </c>
      <c r="R818" s="22">
        <v>10</v>
      </c>
      <c r="S818" s="22">
        <v>3</v>
      </c>
      <c r="T818" s="22" t="s">
        <v>159</v>
      </c>
      <c r="U818" s="21">
        <v>1</v>
      </c>
      <c r="V818" s="21">
        <v>1</v>
      </c>
      <c r="W818" s="24">
        <f t="shared" si="119"/>
        <v>427.43513026657496</v>
      </c>
      <c r="X818" s="24">
        <f t="shared" si="120"/>
        <v>94.199999999999989</v>
      </c>
      <c r="Y818" s="22">
        <v>4</v>
      </c>
      <c r="Z818" s="24">
        <f t="shared" si="111"/>
        <v>1709.7405210662998</v>
      </c>
      <c r="AA818" s="24">
        <f t="shared" si="112"/>
        <v>376.79999999999995</v>
      </c>
      <c r="AB818" s="22">
        <v>12</v>
      </c>
      <c r="AC818" s="22">
        <v>10</v>
      </c>
      <c r="AD818" s="22">
        <v>3</v>
      </c>
      <c r="AE818" s="22" t="s">
        <v>330</v>
      </c>
      <c r="AF818" s="22">
        <v>0.9</v>
      </c>
      <c r="AG818" s="22">
        <v>1.1000000000000001</v>
      </c>
      <c r="AH818" s="25">
        <f t="shared" si="123"/>
        <v>338.18181818181813</v>
      </c>
      <c r="AI818" s="25">
        <f t="shared" si="124"/>
        <v>324</v>
      </c>
      <c r="AJ818" s="21">
        <v>376.79999999999995</v>
      </c>
      <c r="AK818" s="21">
        <v>20</v>
      </c>
      <c r="AL818" s="22" t="s">
        <v>161</v>
      </c>
      <c r="AM818" s="22">
        <v>0.16</v>
      </c>
      <c r="AO818" s="22" t="s">
        <v>1364</v>
      </c>
      <c r="AP818" s="22" t="s">
        <v>162</v>
      </c>
      <c r="AQ818" s="22" t="str">
        <f t="shared" si="113"/>
        <v>Microphytoplankton</v>
      </c>
      <c r="AR818" s="22">
        <v>0</v>
      </c>
      <c r="AS818" s="22">
        <v>0</v>
      </c>
      <c r="AT818" s="22">
        <v>0</v>
      </c>
      <c r="AU818" s="22">
        <v>1</v>
      </c>
      <c r="AV818" s="22">
        <v>0</v>
      </c>
      <c r="AW818" s="22">
        <v>0</v>
      </c>
      <c r="AX818" s="22">
        <v>0</v>
      </c>
      <c r="AY818" s="22">
        <v>1</v>
      </c>
    </row>
    <row r="819" spans="1:57">
      <c r="A819" s="21" t="s">
        <v>2468</v>
      </c>
      <c r="B819" s="22" t="s">
        <v>663</v>
      </c>
      <c r="C819" s="22" t="s">
        <v>2223</v>
      </c>
      <c r="D819" s="22" t="s">
        <v>2224</v>
      </c>
      <c r="E819" s="23" t="s">
        <v>63</v>
      </c>
      <c r="F819" s="23" t="s">
        <v>2225</v>
      </c>
      <c r="G819" s="23" t="s">
        <v>2226</v>
      </c>
      <c r="H819" s="22" t="s">
        <v>2457</v>
      </c>
      <c r="I819" s="22" t="s">
        <v>2458</v>
      </c>
      <c r="J819" s="21" t="s">
        <v>2469</v>
      </c>
      <c r="K819" s="21"/>
      <c r="L819" s="21"/>
      <c r="N819" s="22" t="s">
        <v>2470</v>
      </c>
      <c r="O819" s="22" t="s">
        <v>2229</v>
      </c>
      <c r="P819" s="21">
        <v>82420</v>
      </c>
      <c r="Q819" s="21">
        <v>7</v>
      </c>
      <c r="R819" s="21">
        <v>7</v>
      </c>
      <c r="S819" s="21">
        <v>3</v>
      </c>
      <c r="T819" s="21" t="s">
        <v>281</v>
      </c>
      <c r="U819" s="21">
        <v>1</v>
      </c>
      <c r="V819" s="21">
        <v>1</v>
      </c>
      <c r="W819" s="24">
        <f t="shared" si="119"/>
        <v>367.31641653713143</v>
      </c>
      <c r="X819" s="24">
        <f t="shared" si="120"/>
        <v>76.929999999999993</v>
      </c>
      <c r="Y819" s="21">
        <v>4</v>
      </c>
      <c r="Z819" s="24">
        <f t="shared" si="111"/>
        <v>1469.2656661485257</v>
      </c>
      <c r="AA819" s="24">
        <f t="shared" si="112"/>
        <v>307.71999999999997</v>
      </c>
      <c r="AB819" s="21">
        <v>17</v>
      </c>
      <c r="AC819" s="21">
        <v>17</v>
      </c>
      <c r="AD819" s="21">
        <v>3</v>
      </c>
      <c r="AE819" s="22" t="s">
        <v>330</v>
      </c>
      <c r="AF819" s="21">
        <v>1</v>
      </c>
      <c r="AG819" s="21">
        <v>1</v>
      </c>
      <c r="AH819" s="25">
        <f t="shared" si="123"/>
        <v>782</v>
      </c>
      <c r="AI819" s="25">
        <f t="shared" si="124"/>
        <v>867</v>
      </c>
      <c r="AJ819" s="21">
        <v>408.6</v>
      </c>
      <c r="AK819" s="21">
        <v>17</v>
      </c>
      <c r="AL819" s="22" t="s">
        <v>161</v>
      </c>
      <c r="AM819" s="22">
        <v>0.16</v>
      </c>
      <c r="AO819" s="22" t="s">
        <v>1364</v>
      </c>
      <c r="AP819" s="22" t="s">
        <v>162</v>
      </c>
      <c r="AQ819" s="22" t="str">
        <f t="shared" si="113"/>
        <v>Nanophytoplankton</v>
      </c>
      <c r="AR819" s="22">
        <v>0</v>
      </c>
      <c r="AS819" s="22">
        <v>0</v>
      </c>
      <c r="AT819" s="22">
        <v>0</v>
      </c>
      <c r="AU819" s="22">
        <v>1</v>
      </c>
      <c r="AV819" s="22">
        <v>0</v>
      </c>
      <c r="AW819" s="22">
        <v>0</v>
      </c>
      <c r="AX819" s="22">
        <v>0</v>
      </c>
      <c r="AY819" s="22">
        <v>1</v>
      </c>
      <c r="AZ819" s="22">
        <v>0</v>
      </c>
      <c r="BA819" s="22">
        <v>0</v>
      </c>
      <c r="BB819" s="22">
        <v>2</v>
      </c>
      <c r="BC819" s="22">
        <v>2</v>
      </c>
      <c r="BD819" s="22">
        <v>6</v>
      </c>
      <c r="BE819" s="22">
        <v>0</v>
      </c>
    </row>
    <row r="820" spans="1:57">
      <c r="A820" s="22" t="s">
        <v>2471</v>
      </c>
      <c r="B820" s="22" t="s">
        <v>663</v>
      </c>
      <c r="C820" s="22" t="s">
        <v>2223</v>
      </c>
      <c r="D820" s="22" t="s">
        <v>2224</v>
      </c>
      <c r="E820" s="23" t="s">
        <v>63</v>
      </c>
      <c r="F820" s="23" t="s">
        <v>2225</v>
      </c>
      <c r="G820" s="23" t="s">
        <v>2226</v>
      </c>
      <c r="H820" s="22" t="s">
        <v>2457</v>
      </c>
      <c r="I820" s="22" t="s">
        <v>2472</v>
      </c>
      <c r="J820" s="22" t="s">
        <v>699</v>
      </c>
      <c r="N820" s="22" t="s">
        <v>2473</v>
      </c>
      <c r="O820" s="22" t="s">
        <v>2229</v>
      </c>
      <c r="P820" s="21">
        <v>83821</v>
      </c>
      <c r="Q820" s="22">
        <v>7</v>
      </c>
      <c r="R820" s="22">
        <v>4.5</v>
      </c>
      <c r="S820" s="22">
        <v>4.5</v>
      </c>
      <c r="T820" s="22" t="s">
        <v>159</v>
      </c>
      <c r="U820" s="21">
        <v>1</v>
      </c>
      <c r="V820" s="21">
        <v>1</v>
      </c>
      <c r="W820" s="24">
        <f t="shared" si="119"/>
        <v>315.53473794464173</v>
      </c>
      <c r="X820" s="24">
        <f t="shared" si="120"/>
        <v>74.182500000000005</v>
      </c>
      <c r="Y820" s="21">
        <v>4</v>
      </c>
      <c r="Z820" s="24">
        <f t="shared" si="111"/>
        <v>1262.1389517785669</v>
      </c>
      <c r="AA820" s="24">
        <f t="shared" si="112"/>
        <v>296.73</v>
      </c>
      <c r="AB820" s="22">
        <v>14</v>
      </c>
      <c r="AC820" s="22">
        <v>9</v>
      </c>
      <c r="AD820" s="22">
        <v>4.5</v>
      </c>
      <c r="AE820" s="22" t="s">
        <v>330</v>
      </c>
      <c r="AF820" s="22">
        <v>0.9</v>
      </c>
      <c r="AG820" s="22">
        <v>1.1000000000000001</v>
      </c>
      <c r="AH820" s="25">
        <f t="shared" si="123"/>
        <v>417.27272727272725</v>
      </c>
      <c r="AI820" s="25">
        <f t="shared" si="124"/>
        <v>510.3</v>
      </c>
      <c r="AJ820" s="21">
        <v>296.73</v>
      </c>
      <c r="AK820" s="21">
        <v>14</v>
      </c>
      <c r="AL820" s="22" t="s">
        <v>161</v>
      </c>
      <c r="AM820" s="22">
        <v>0.16</v>
      </c>
      <c r="AP820" s="22" t="s">
        <v>162</v>
      </c>
      <c r="AQ820" s="22" t="str">
        <f t="shared" si="113"/>
        <v>Nanophytoplankton</v>
      </c>
      <c r="AR820" s="22">
        <v>0</v>
      </c>
      <c r="AS820" s="22">
        <v>0</v>
      </c>
      <c r="AT820" s="22">
        <v>0</v>
      </c>
      <c r="AU820" s="22">
        <v>1</v>
      </c>
      <c r="AV820" s="22">
        <v>0</v>
      </c>
      <c r="AW820" s="22">
        <v>0</v>
      </c>
      <c r="AX820" s="22">
        <v>0</v>
      </c>
      <c r="AY820" s="22">
        <v>1</v>
      </c>
    </row>
    <row r="821" spans="1:57">
      <c r="A821" s="21" t="s">
        <v>2474</v>
      </c>
      <c r="B821" s="22" t="s">
        <v>663</v>
      </c>
      <c r="C821" s="22" t="s">
        <v>2223</v>
      </c>
      <c r="D821" s="22" t="s">
        <v>2224</v>
      </c>
      <c r="E821" s="23" t="s">
        <v>63</v>
      </c>
      <c r="F821" s="23" t="s">
        <v>2225</v>
      </c>
      <c r="G821" s="23" t="s">
        <v>2226</v>
      </c>
      <c r="H821" s="22" t="s">
        <v>2457</v>
      </c>
      <c r="I821" s="22" t="s">
        <v>2472</v>
      </c>
      <c r="J821" s="21" t="s">
        <v>2475</v>
      </c>
      <c r="K821" s="21"/>
      <c r="L821" s="21"/>
      <c r="N821" s="22" t="s">
        <v>2476</v>
      </c>
      <c r="O821" s="22" t="s">
        <v>2229</v>
      </c>
      <c r="P821" s="22">
        <v>83820</v>
      </c>
      <c r="Q821" s="21">
        <v>9</v>
      </c>
      <c r="R821" s="21">
        <v>4</v>
      </c>
      <c r="S821" s="21">
        <v>4</v>
      </c>
      <c r="T821" s="21" t="s">
        <v>281</v>
      </c>
      <c r="U821" s="21">
        <v>1</v>
      </c>
      <c r="V821" s="21">
        <v>1</v>
      </c>
      <c r="W821" s="24">
        <f t="shared" si="119"/>
        <v>357.42713079118408</v>
      </c>
      <c r="X821" s="24">
        <f t="shared" si="120"/>
        <v>75.36</v>
      </c>
      <c r="Y821" s="21">
        <v>4</v>
      </c>
      <c r="Z821" s="24">
        <f t="shared" si="111"/>
        <v>1429.7085231647363</v>
      </c>
      <c r="AA821" s="24">
        <f t="shared" si="112"/>
        <v>301.44</v>
      </c>
      <c r="AB821" s="21">
        <v>16</v>
      </c>
      <c r="AC821" s="21">
        <v>8</v>
      </c>
      <c r="AD821" s="21">
        <v>4</v>
      </c>
      <c r="AE821" s="22" t="s">
        <v>330</v>
      </c>
      <c r="AF821" s="22">
        <v>0.9</v>
      </c>
      <c r="AG821" s="22">
        <v>1.1000000000000001</v>
      </c>
      <c r="AH821" s="25">
        <f t="shared" si="123"/>
        <v>407.27272727272725</v>
      </c>
      <c r="AI821" s="25">
        <f t="shared" si="124"/>
        <v>460.8</v>
      </c>
      <c r="AJ821" s="21">
        <v>301.60000000000002</v>
      </c>
      <c r="AK821" s="21">
        <v>18</v>
      </c>
      <c r="AL821" s="22" t="s">
        <v>161</v>
      </c>
      <c r="AM821" s="22">
        <v>0.16</v>
      </c>
      <c r="AN821" s="38"/>
      <c r="AP821" s="22" t="s">
        <v>162</v>
      </c>
      <c r="AQ821" s="22" t="str">
        <f t="shared" si="113"/>
        <v>Nanophytoplankton</v>
      </c>
      <c r="AR821" s="22">
        <v>0</v>
      </c>
      <c r="AS821" s="22">
        <v>0</v>
      </c>
      <c r="AT821" s="22">
        <v>0</v>
      </c>
      <c r="AU821" s="22">
        <v>1</v>
      </c>
      <c r="AV821" s="22">
        <v>0</v>
      </c>
      <c r="AW821" s="22">
        <v>0</v>
      </c>
      <c r="AX821" s="22">
        <v>0</v>
      </c>
      <c r="AY821" s="22">
        <v>1</v>
      </c>
    </row>
    <row r="822" spans="1:57">
      <c r="A822" s="22" t="s">
        <v>2477</v>
      </c>
      <c r="B822" s="22" t="s">
        <v>663</v>
      </c>
      <c r="C822" s="22" t="s">
        <v>2223</v>
      </c>
      <c r="D822" s="22" t="s">
        <v>2224</v>
      </c>
      <c r="E822" s="23" t="s">
        <v>63</v>
      </c>
      <c r="F822" s="23" t="s">
        <v>2225</v>
      </c>
      <c r="G822" s="23" t="s">
        <v>2226</v>
      </c>
      <c r="H822" s="22" t="s">
        <v>2457</v>
      </c>
      <c r="I822" s="22" t="s">
        <v>2472</v>
      </c>
      <c r="J822" s="22" t="s">
        <v>2478</v>
      </c>
      <c r="N822" s="22" t="s">
        <v>167</v>
      </c>
      <c r="O822" s="22" t="s">
        <v>2229</v>
      </c>
      <c r="P822" s="21">
        <v>83822</v>
      </c>
      <c r="Q822" s="22">
        <v>14</v>
      </c>
      <c r="R822" s="22">
        <v>3.5</v>
      </c>
      <c r="S822" s="22">
        <v>3.5</v>
      </c>
      <c r="T822" s="22" t="s">
        <v>281</v>
      </c>
      <c r="U822" s="21">
        <v>1</v>
      </c>
      <c r="V822" s="21">
        <v>1</v>
      </c>
      <c r="W822" s="24">
        <f t="shared" si="119"/>
        <v>482.03610926862802</v>
      </c>
      <c r="X822" s="24">
        <f t="shared" si="120"/>
        <v>89.751666666666665</v>
      </c>
      <c r="Y822" s="21">
        <v>4</v>
      </c>
      <c r="Z822" s="24">
        <f t="shared" si="111"/>
        <v>1928.1444370745121</v>
      </c>
      <c r="AA822" s="24">
        <f t="shared" si="112"/>
        <v>359.00666666666666</v>
      </c>
      <c r="AB822" s="22">
        <v>28</v>
      </c>
      <c r="AC822" s="22">
        <v>7</v>
      </c>
      <c r="AD822" s="22">
        <v>3.5</v>
      </c>
      <c r="AE822" s="22" t="s">
        <v>330</v>
      </c>
      <c r="AF822" s="22">
        <v>0.9</v>
      </c>
      <c r="AG822" s="22">
        <v>1.1000000000000001</v>
      </c>
      <c r="AH822" s="25">
        <f t="shared" si="123"/>
        <v>579.09090909090901</v>
      </c>
      <c r="AI822" s="25">
        <f t="shared" si="124"/>
        <v>617.4</v>
      </c>
      <c r="AJ822" s="21">
        <v>359.00666666666666</v>
      </c>
      <c r="AK822" s="21">
        <v>28</v>
      </c>
      <c r="AL822" s="22" t="s">
        <v>161</v>
      </c>
      <c r="AM822" s="22">
        <v>0.16</v>
      </c>
      <c r="AP822" s="22" t="s">
        <v>162</v>
      </c>
      <c r="AQ822" s="22" t="str">
        <f t="shared" si="113"/>
        <v>Microphytoplankton</v>
      </c>
      <c r="AR822" s="22">
        <v>0</v>
      </c>
      <c r="AS822" s="22">
        <v>0</v>
      </c>
      <c r="AT822" s="22">
        <v>0</v>
      </c>
      <c r="AU822" s="22">
        <v>1</v>
      </c>
      <c r="AV822" s="22">
        <v>0</v>
      </c>
      <c r="AW822" s="22">
        <v>0</v>
      </c>
      <c r="AX822" s="22">
        <v>0</v>
      </c>
      <c r="AY822" s="22">
        <v>1</v>
      </c>
    </row>
    <row r="823" spans="1:57">
      <c r="A823" s="21" t="s">
        <v>2479</v>
      </c>
      <c r="B823" s="22" t="s">
        <v>663</v>
      </c>
      <c r="C823" s="22" t="s">
        <v>2223</v>
      </c>
      <c r="D823" s="22" t="s">
        <v>2224</v>
      </c>
      <c r="E823" s="23" t="s">
        <v>63</v>
      </c>
      <c r="F823" s="23" t="s">
        <v>2225</v>
      </c>
      <c r="G823" s="23" t="s">
        <v>2226</v>
      </c>
      <c r="H823" s="22" t="s">
        <v>2457</v>
      </c>
      <c r="I823" s="22" t="s">
        <v>2472</v>
      </c>
      <c r="J823" s="21" t="s">
        <v>1372</v>
      </c>
      <c r="K823" s="21"/>
      <c r="L823" s="21"/>
      <c r="N823" s="22" t="s">
        <v>2480</v>
      </c>
      <c r="O823" s="22" t="s">
        <v>2229</v>
      </c>
      <c r="P823" s="22">
        <v>83830</v>
      </c>
      <c r="Q823" s="21">
        <v>8</v>
      </c>
      <c r="R823" s="21">
        <v>5</v>
      </c>
      <c r="S823" s="21">
        <v>5</v>
      </c>
      <c r="T823" s="21" t="s">
        <v>281</v>
      </c>
      <c r="U823" s="21">
        <v>1</v>
      </c>
      <c r="V823" s="21">
        <v>1</v>
      </c>
      <c r="W823" s="24">
        <f t="shared" si="119"/>
        <v>398.62580307118628</v>
      </c>
      <c r="X823" s="24">
        <f t="shared" si="120"/>
        <v>104.66666666666667</v>
      </c>
      <c r="Y823" s="21">
        <v>4</v>
      </c>
      <c r="Z823" s="24">
        <f t="shared" si="111"/>
        <v>1594.5032122847451</v>
      </c>
      <c r="AA823" s="24">
        <f t="shared" si="112"/>
        <v>418.66666666666669</v>
      </c>
      <c r="AB823" s="21">
        <v>16</v>
      </c>
      <c r="AC823" s="21">
        <v>10</v>
      </c>
      <c r="AD823" s="21">
        <v>5</v>
      </c>
      <c r="AE823" s="22" t="s">
        <v>330</v>
      </c>
      <c r="AF823" s="22">
        <v>0.9</v>
      </c>
      <c r="AG823" s="22">
        <v>1.1000000000000001</v>
      </c>
      <c r="AH823" s="25">
        <f t="shared" si="123"/>
        <v>527.27272727272725</v>
      </c>
      <c r="AI823" s="25">
        <f t="shared" si="124"/>
        <v>720</v>
      </c>
      <c r="AJ823" s="21">
        <v>418.9</v>
      </c>
      <c r="AK823" s="21">
        <v>16</v>
      </c>
      <c r="AL823" s="22" t="s">
        <v>161</v>
      </c>
      <c r="AM823" s="22">
        <v>0.16</v>
      </c>
      <c r="AP823" s="22" t="s">
        <v>162</v>
      </c>
      <c r="AQ823" s="22" t="str">
        <f t="shared" si="113"/>
        <v>Nanophytoplankton</v>
      </c>
      <c r="AR823" s="22">
        <v>0</v>
      </c>
      <c r="AS823" s="22">
        <v>0</v>
      </c>
      <c r="AT823" s="22">
        <v>0</v>
      </c>
      <c r="AU823" s="22">
        <v>1</v>
      </c>
      <c r="AV823" s="22">
        <v>0</v>
      </c>
      <c r="AW823" s="22">
        <v>0</v>
      </c>
      <c r="AX823" s="22">
        <v>0</v>
      </c>
      <c r="AY823" s="22">
        <v>1</v>
      </c>
    </row>
    <row r="824" spans="1:57">
      <c r="A824" s="21" t="s">
        <v>2481</v>
      </c>
      <c r="B824" s="22" t="s">
        <v>663</v>
      </c>
      <c r="C824" s="22" t="s">
        <v>2223</v>
      </c>
      <c r="D824" s="22" t="s">
        <v>2224</v>
      </c>
      <c r="E824" s="23" t="s">
        <v>63</v>
      </c>
      <c r="F824" s="23" t="s">
        <v>2225</v>
      </c>
      <c r="G824" s="23" t="s">
        <v>2226</v>
      </c>
      <c r="H824" s="22" t="s">
        <v>2457</v>
      </c>
      <c r="I824" s="22" t="s">
        <v>2472</v>
      </c>
      <c r="J824" s="21" t="s">
        <v>2482</v>
      </c>
      <c r="K824" s="21"/>
      <c r="L824" s="21"/>
      <c r="N824" s="22" t="s">
        <v>2483</v>
      </c>
      <c r="O824" s="22" t="s">
        <v>2229</v>
      </c>
      <c r="P824" s="21">
        <v>83810</v>
      </c>
      <c r="Q824" s="21">
        <v>7</v>
      </c>
      <c r="R824" s="21">
        <v>4</v>
      </c>
      <c r="S824" s="21">
        <v>4</v>
      </c>
      <c r="T824" s="21" t="s">
        <v>281</v>
      </c>
      <c r="U824" s="21">
        <v>1</v>
      </c>
      <c r="V824" s="21">
        <v>1</v>
      </c>
      <c r="W824" s="24">
        <f t="shared" si="119"/>
        <v>280.4753226174592</v>
      </c>
      <c r="X824" s="24">
        <f t="shared" si="120"/>
        <v>58.61333333333333</v>
      </c>
      <c r="Y824" s="21">
        <v>16</v>
      </c>
      <c r="Z824" s="24">
        <f t="shared" si="111"/>
        <v>4487.6051618793472</v>
      </c>
      <c r="AA824" s="24">
        <f t="shared" si="112"/>
        <v>937.81333333333328</v>
      </c>
      <c r="AB824" s="21">
        <f>7*4</f>
        <v>28</v>
      </c>
      <c r="AC824" s="21">
        <f>4*4</f>
        <v>16</v>
      </c>
      <c r="AD824" s="21">
        <v>4</v>
      </c>
      <c r="AE824" s="22" t="s">
        <v>330</v>
      </c>
      <c r="AF824" s="22">
        <v>0.9</v>
      </c>
      <c r="AG824" s="22">
        <v>1.1000000000000001</v>
      </c>
      <c r="AH824" s="25">
        <f t="shared" si="123"/>
        <v>1134.5454545454545</v>
      </c>
      <c r="AI824" s="25">
        <f t="shared" si="124"/>
        <v>1612.8</v>
      </c>
      <c r="AJ824" s="21">
        <v>938.3</v>
      </c>
      <c r="AK824" s="21">
        <v>30</v>
      </c>
      <c r="AL824" s="22" t="s">
        <v>161</v>
      </c>
      <c r="AM824" s="22">
        <v>0.16</v>
      </c>
      <c r="AN824" s="38"/>
      <c r="AP824" s="22" t="s">
        <v>162</v>
      </c>
      <c r="AQ824" s="22" t="str">
        <f t="shared" si="113"/>
        <v>Microphytoplankton</v>
      </c>
      <c r="AR824" s="22">
        <v>0</v>
      </c>
      <c r="AS824" s="22">
        <v>0</v>
      </c>
      <c r="AT824" s="22">
        <v>0</v>
      </c>
      <c r="AU824" s="22">
        <v>1</v>
      </c>
      <c r="AV824" s="22">
        <v>0</v>
      </c>
      <c r="AW824" s="22">
        <v>0</v>
      </c>
      <c r="AX824" s="22">
        <v>0</v>
      </c>
      <c r="AY824" s="22">
        <v>1</v>
      </c>
    </row>
    <row r="825" spans="1:57">
      <c r="A825" s="22" t="s">
        <v>2484</v>
      </c>
      <c r="B825" s="22" t="s">
        <v>663</v>
      </c>
      <c r="C825" s="22" t="s">
        <v>2223</v>
      </c>
      <c r="D825" s="22" t="s">
        <v>2224</v>
      </c>
      <c r="E825" s="23" t="s">
        <v>63</v>
      </c>
      <c r="F825" s="23" t="s">
        <v>2225</v>
      </c>
      <c r="G825" s="23" t="s">
        <v>2226</v>
      </c>
      <c r="H825" s="23" t="s">
        <v>2485</v>
      </c>
      <c r="I825" s="22" t="s">
        <v>2486</v>
      </c>
      <c r="J825" s="22" t="s">
        <v>2487</v>
      </c>
      <c r="N825" s="22" t="s">
        <v>2488</v>
      </c>
      <c r="O825" s="22" t="s">
        <v>2229</v>
      </c>
      <c r="P825" s="22">
        <v>83800</v>
      </c>
      <c r="Q825" s="22">
        <v>30</v>
      </c>
      <c r="R825" s="22">
        <v>12</v>
      </c>
      <c r="S825" s="22">
        <v>8</v>
      </c>
      <c r="T825" s="22" t="s">
        <v>874</v>
      </c>
      <c r="U825" s="21">
        <v>1</v>
      </c>
      <c r="V825" s="21">
        <v>1</v>
      </c>
      <c r="W825" s="24">
        <f t="shared" si="119"/>
        <v>2967.5546969890074</v>
      </c>
      <c r="X825" s="24">
        <f>3.14/12*R825*S825*Q825*U825</f>
        <v>753.59999999999991</v>
      </c>
      <c r="Y825" s="22">
        <v>1</v>
      </c>
      <c r="Z825" s="24">
        <f t="shared" si="111"/>
        <v>2967.5546969890074</v>
      </c>
      <c r="AA825" s="24">
        <f t="shared" si="112"/>
        <v>753.59999999999991</v>
      </c>
      <c r="AJ825" s="21">
        <v>1130.4000000000001</v>
      </c>
      <c r="AK825" s="21">
        <v>30</v>
      </c>
      <c r="AL825" s="22" t="s">
        <v>161</v>
      </c>
      <c r="AM825" s="22">
        <v>0.16</v>
      </c>
      <c r="AP825" s="22" t="s">
        <v>162</v>
      </c>
      <c r="AQ825" s="22" t="str">
        <f t="shared" si="113"/>
        <v>Microphytoplankton</v>
      </c>
      <c r="AR825" s="22">
        <v>0</v>
      </c>
      <c r="AS825" s="22">
        <v>0</v>
      </c>
      <c r="AT825" s="22">
        <v>0</v>
      </c>
      <c r="AU825" s="22">
        <v>0</v>
      </c>
      <c r="AV825" s="22">
        <v>0</v>
      </c>
      <c r="AW825" s="22">
        <v>0</v>
      </c>
      <c r="AX825" s="22">
        <v>0</v>
      </c>
      <c r="AY825" s="22">
        <v>1</v>
      </c>
    </row>
    <row r="826" spans="1:57">
      <c r="A826" s="21" t="s">
        <v>2489</v>
      </c>
      <c r="B826" s="22" t="s">
        <v>663</v>
      </c>
      <c r="C826" s="22" t="s">
        <v>2223</v>
      </c>
      <c r="D826" s="22" t="s">
        <v>2224</v>
      </c>
      <c r="E826" s="23" t="s">
        <v>63</v>
      </c>
      <c r="F826" s="23" t="s">
        <v>2225</v>
      </c>
      <c r="G826" s="23" t="s">
        <v>2226</v>
      </c>
      <c r="H826" s="38" t="s">
        <v>2279</v>
      </c>
      <c r="I826" s="22" t="s">
        <v>2490</v>
      </c>
      <c r="J826" s="21" t="s">
        <v>2491</v>
      </c>
      <c r="K826" s="21"/>
      <c r="L826" s="21"/>
      <c r="N826" s="22" t="s">
        <v>2492</v>
      </c>
      <c r="O826" s="22" t="s">
        <v>2229</v>
      </c>
      <c r="P826" s="21">
        <v>82011</v>
      </c>
      <c r="Q826" s="21">
        <v>2.2000000000000002</v>
      </c>
      <c r="R826" s="21">
        <v>2.2000000000000002</v>
      </c>
      <c r="S826" s="21">
        <v>2.2000000000000002</v>
      </c>
      <c r="T826" s="21" t="s">
        <v>281</v>
      </c>
      <c r="U826" s="21">
        <v>1</v>
      </c>
      <c r="V826" s="21">
        <v>1</v>
      </c>
      <c r="W826" s="24">
        <f t="shared" si="119"/>
        <v>55.139920468369766</v>
      </c>
      <c r="X826" s="24">
        <f t="shared" ref="X826:X838" si="125">3.14/6*Q826*R826*S826*U826</f>
        <v>5.5724533333333346</v>
      </c>
      <c r="Y826" s="21">
        <v>8</v>
      </c>
      <c r="Z826" s="24">
        <f t="shared" si="111"/>
        <v>441.11936374695813</v>
      </c>
      <c r="AA826" s="24">
        <f t="shared" si="112"/>
        <v>44.579626666666677</v>
      </c>
      <c r="AB826" s="21">
        <v>13.200000000000001</v>
      </c>
      <c r="AC826" s="21">
        <v>13.200000000000001</v>
      </c>
      <c r="AD826" s="21">
        <v>13.200000000000001</v>
      </c>
      <c r="AE826" s="21" t="s">
        <v>246</v>
      </c>
      <c r="AF826" s="21">
        <v>0.1</v>
      </c>
      <c r="AG826" s="21">
        <v>1</v>
      </c>
      <c r="AH826" s="25">
        <f>4*3.14*(AC826/2)*(AB826/2)/AG826</f>
        <v>547.11360000000013</v>
      </c>
      <c r="AI826" s="25">
        <f>(3.14/6*(AD826*AB826*AC826))*AF826</f>
        <v>120.36499200000003</v>
      </c>
      <c r="AJ826" s="21">
        <v>45</v>
      </c>
      <c r="AK826" s="21">
        <v>20</v>
      </c>
      <c r="AL826" s="22" t="s">
        <v>161</v>
      </c>
      <c r="AM826" s="22">
        <v>0.16</v>
      </c>
      <c r="AN826" s="38" t="s">
        <v>2282</v>
      </c>
      <c r="AO826" s="22" t="s">
        <v>2282</v>
      </c>
      <c r="AP826" s="22" t="s">
        <v>626</v>
      </c>
      <c r="AQ826" s="22" t="str">
        <f t="shared" si="113"/>
        <v>Microphytoplankton</v>
      </c>
      <c r="AR826" s="22">
        <v>0</v>
      </c>
      <c r="AS826" s="22">
        <v>0</v>
      </c>
      <c r="AT826" s="22">
        <v>0</v>
      </c>
      <c r="AU826" s="22">
        <v>1</v>
      </c>
      <c r="AV826" s="22">
        <v>0</v>
      </c>
      <c r="AW826" s="22">
        <v>0</v>
      </c>
      <c r="AX826" s="22">
        <v>0</v>
      </c>
      <c r="AY826" s="22">
        <v>1</v>
      </c>
    </row>
    <row r="827" spans="1:57">
      <c r="A827" s="21" t="s">
        <v>2493</v>
      </c>
      <c r="B827" s="22" t="s">
        <v>663</v>
      </c>
      <c r="C827" s="22" t="s">
        <v>2223</v>
      </c>
      <c r="D827" s="22" t="s">
        <v>2224</v>
      </c>
      <c r="E827" s="23" t="s">
        <v>63</v>
      </c>
      <c r="F827" s="23" t="s">
        <v>2225</v>
      </c>
      <c r="G827" s="23" t="s">
        <v>2226</v>
      </c>
      <c r="H827" s="38" t="s">
        <v>2279</v>
      </c>
      <c r="I827" s="22" t="s">
        <v>2490</v>
      </c>
      <c r="J827" s="21" t="s">
        <v>2491</v>
      </c>
      <c r="K827" s="21"/>
      <c r="L827" s="21"/>
      <c r="N827" s="22" t="s">
        <v>2492</v>
      </c>
      <c r="O827" s="22" t="s">
        <v>2229</v>
      </c>
      <c r="P827" s="21">
        <v>82012</v>
      </c>
      <c r="Q827" s="21">
        <v>2.2000000000000002</v>
      </c>
      <c r="R827" s="21">
        <v>2.2000000000000002</v>
      </c>
      <c r="S827" s="21">
        <v>2.2000000000000002</v>
      </c>
      <c r="T827" s="21" t="s">
        <v>281</v>
      </c>
      <c r="U827" s="21">
        <v>1</v>
      </c>
      <c r="V827" s="21">
        <v>1</v>
      </c>
      <c r="W827" s="24">
        <f t="shared" si="119"/>
        <v>55.139920468369766</v>
      </c>
      <c r="X827" s="24">
        <f t="shared" si="125"/>
        <v>5.5724533333333346</v>
      </c>
      <c r="Y827" s="21">
        <v>8</v>
      </c>
      <c r="Z827" s="24">
        <f t="shared" si="111"/>
        <v>441.11936374695813</v>
      </c>
      <c r="AA827" s="24">
        <f t="shared" si="112"/>
        <v>44.579626666666677</v>
      </c>
      <c r="AB827" s="21">
        <v>13.200000000000001</v>
      </c>
      <c r="AC827" s="21">
        <v>13.200000000000001</v>
      </c>
      <c r="AD827" s="21">
        <v>13.200000000000001</v>
      </c>
      <c r="AE827" s="21" t="s">
        <v>246</v>
      </c>
      <c r="AF827" s="21">
        <v>0.1</v>
      </c>
      <c r="AG827" s="21">
        <v>1</v>
      </c>
      <c r="AH827" s="25">
        <f>4*3.14*(AC827/2)*(AB827/2)/AG827</f>
        <v>547.11360000000013</v>
      </c>
      <c r="AI827" s="25">
        <f>(3.14/6*(AD827*AB827*AC827))*AF827</f>
        <v>120.36499200000003</v>
      </c>
      <c r="AJ827" s="21">
        <v>45</v>
      </c>
      <c r="AK827" s="21">
        <v>20</v>
      </c>
      <c r="AL827" s="22" t="s">
        <v>161</v>
      </c>
      <c r="AM827" s="22">
        <v>0.16</v>
      </c>
      <c r="AN827" s="38" t="s">
        <v>2282</v>
      </c>
      <c r="AO827" s="22" t="s">
        <v>2282</v>
      </c>
      <c r="AP827" s="22" t="s">
        <v>626</v>
      </c>
      <c r="AQ827" s="22" t="str">
        <f t="shared" si="113"/>
        <v>Microphytoplankton</v>
      </c>
      <c r="AR827" s="22">
        <v>0</v>
      </c>
      <c r="AS827" s="22">
        <v>0</v>
      </c>
      <c r="AT827" s="22">
        <v>0</v>
      </c>
      <c r="AU827" s="22">
        <v>1</v>
      </c>
      <c r="AV827" s="22">
        <v>0</v>
      </c>
      <c r="AW827" s="22">
        <v>0</v>
      </c>
      <c r="AX827" s="22">
        <v>0</v>
      </c>
      <c r="AY827" s="22">
        <v>1</v>
      </c>
    </row>
    <row r="828" spans="1:57">
      <c r="A828" s="21" t="s">
        <v>2494</v>
      </c>
      <c r="B828" s="22" t="s">
        <v>663</v>
      </c>
      <c r="C828" s="22" t="s">
        <v>2223</v>
      </c>
      <c r="D828" s="22" t="s">
        <v>2224</v>
      </c>
      <c r="E828" s="23" t="s">
        <v>63</v>
      </c>
      <c r="F828" s="23" t="s">
        <v>2225</v>
      </c>
      <c r="G828" s="23" t="s">
        <v>2226</v>
      </c>
      <c r="H828" s="38" t="s">
        <v>2279</v>
      </c>
      <c r="I828" s="22" t="s">
        <v>2490</v>
      </c>
      <c r="J828" s="21" t="s">
        <v>2491</v>
      </c>
      <c r="K828" s="21" t="s">
        <v>184</v>
      </c>
      <c r="L828" s="22" t="s">
        <v>245</v>
      </c>
      <c r="N828" s="22" t="s">
        <v>2492</v>
      </c>
      <c r="O828" s="22" t="s">
        <v>2229</v>
      </c>
      <c r="P828" s="21">
        <v>82013</v>
      </c>
      <c r="Q828" s="21">
        <v>2.2000000000000002</v>
      </c>
      <c r="R828" s="21">
        <v>2.2000000000000002</v>
      </c>
      <c r="S828" s="21">
        <v>2.2000000000000002</v>
      </c>
      <c r="T828" s="21" t="s">
        <v>281</v>
      </c>
      <c r="U828" s="21">
        <v>1</v>
      </c>
      <c r="V828" s="21">
        <v>1</v>
      </c>
      <c r="W828" s="24">
        <f t="shared" si="119"/>
        <v>55.139920468369766</v>
      </c>
      <c r="X828" s="24">
        <f t="shared" si="125"/>
        <v>5.5724533333333346</v>
      </c>
      <c r="Y828" s="21">
        <v>1</v>
      </c>
      <c r="Z828" s="24">
        <f t="shared" si="111"/>
        <v>55.139920468369766</v>
      </c>
      <c r="AA828" s="24">
        <f t="shared" si="112"/>
        <v>5.5724533333333346</v>
      </c>
      <c r="AB828" s="21"/>
      <c r="AC828" s="21"/>
      <c r="AD828" s="21"/>
      <c r="AE828" s="21"/>
      <c r="AF828" s="21"/>
      <c r="AG828" s="21"/>
      <c r="AJ828" s="21">
        <v>55.139920468369766</v>
      </c>
      <c r="AK828" s="21">
        <v>2.2000000000000002</v>
      </c>
      <c r="AL828" s="22" t="s">
        <v>161</v>
      </c>
      <c r="AM828" s="22">
        <v>0.16</v>
      </c>
      <c r="AN828" s="38" t="s">
        <v>2282</v>
      </c>
      <c r="AO828" s="22" t="s">
        <v>2282</v>
      </c>
      <c r="AP828" s="22" t="s">
        <v>626</v>
      </c>
      <c r="AQ828" s="22" t="str">
        <f t="shared" si="113"/>
        <v>Nanophytoplankton</v>
      </c>
      <c r="AR828" s="22">
        <v>0</v>
      </c>
      <c r="AS828" s="22">
        <v>0</v>
      </c>
      <c r="AT828" s="22">
        <v>0</v>
      </c>
      <c r="AU828" s="22">
        <v>0</v>
      </c>
      <c r="AV828" s="22">
        <v>0</v>
      </c>
      <c r="AW828" s="22">
        <v>0</v>
      </c>
      <c r="AX828" s="22">
        <v>0</v>
      </c>
      <c r="AY828" s="22">
        <v>1</v>
      </c>
    </row>
    <row r="829" spans="1:57">
      <c r="A829" s="21" t="s">
        <v>2495</v>
      </c>
      <c r="B829" s="22" t="s">
        <v>663</v>
      </c>
      <c r="C829" s="22" t="s">
        <v>2223</v>
      </c>
      <c r="D829" s="22" t="s">
        <v>2224</v>
      </c>
      <c r="E829" s="23" t="s">
        <v>63</v>
      </c>
      <c r="F829" s="23" t="s">
        <v>2225</v>
      </c>
      <c r="G829" s="23" t="s">
        <v>2226</v>
      </c>
      <c r="H829" s="22" t="s">
        <v>2279</v>
      </c>
      <c r="I829" s="22" t="s">
        <v>2490</v>
      </c>
      <c r="J829" s="21" t="s">
        <v>2496</v>
      </c>
      <c r="K829" s="21"/>
      <c r="L829" s="21"/>
      <c r="N829" s="22" t="s">
        <v>2497</v>
      </c>
      <c r="O829" s="22" t="s">
        <v>2229</v>
      </c>
      <c r="P829" s="22">
        <v>82020</v>
      </c>
      <c r="Q829" s="21">
        <v>10</v>
      </c>
      <c r="R829" s="21">
        <v>5</v>
      </c>
      <c r="S829" s="21">
        <v>5</v>
      </c>
      <c r="T829" s="21" t="s">
        <v>281</v>
      </c>
      <c r="U829" s="21">
        <v>1</v>
      </c>
      <c r="V829" s="21">
        <v>1</v>
      </c>
      <c r="W829" s="24">
        <f t="shared" si="119"/>
        <v>495.03567506413054</v>
      </c>
      <c r="X829" s="24">
        <f t="shared" si="125"/>
        <v>130.83333333333334</v>
      </c>
      <c r="Y829" s="21">
        <v>32</v>
      </c>
      <c r="Z829" s="24">
        <f t="shared" si="111"/>
        <v>15841.141602052177</v>
      </c>
      <c r="AA829" s="24">
        <f t="shared" si="112"/>
        <v>4186.666666666667</v>
      </c>
      <c r="AB829" s="21">
        <v>60</v>
      </c>
      <c r="AC829" s="21">
        <v>60</v>
      </c>
      <c r="AD829" s="21">
        <v>60</v>
      </c>
      <c r="AE829" s="21" t="s">
        <v>246</v>
      </c>
      <c r="AF829" s="21">
        <v>0.1</v>
      </c>
      <c r="AG829" s="21">
        <v>1</v>
      </c>
      <c r="AH829" s="25">
        <f>4*3.14*(AC829/2)*(AB829/2)/AG829</f>
        <v>11304</v>
      </c>
      <c r="AI829" s="25">
        <f>(3.14/6*(AD829*AB829*AC829))*AF829</f>
        <v>11304</v>
      </c>
      <c r="AJ829" s="21">
        <v>4188.8</v>
      </c>
      <c r="AK829" s="21">
        <v>80</v>
      </c>
      <c r="AL829" s="22" t="s">
        <v>161</v>
      </c>
      <c r="AM829" s="22">
        <v>0.16</v>
      </c>
      <c r="AN829" s="38" t="s">
        <v>2282</v>
      </c>
      <c r="AO829" s="22" t="s">
        <v>2282</v>
      </c>
      <c r="AP829" s="22" t="s">
        <v>230</v>
      </c>
      <c r="AQ829" s="22" t="str">
        <f t="shared" si="113"/>
        <v>Microphytoplankton</v>
      </c>
      <c r="AR829" s="22">
        <v>0</v>
      </c>
      <c r="AS829" s="22">
        <v>0</v>
      </c>
      <c r="AT829" s="22">
        <v>0</v>
      </c>
      <c r="AU829" s="22">
        <v>1</v>
      </c>
      <c r="AV829" s="22">
        <v>0</v>
      </c>
      <c r="AW829" s="22">
        <v>0</v>
      </c>
      <c r="AX829" s="22">
        <v>0</v>
      </c>
      <c r="AY829" s="22">
        <v>1</v>
      </c>
    </row>
    <row r="830" spans="1:57">
      <c r="A830" s="22" t="s">
        <v>2498</v>
      </c>
      <c r="B830" s="22" t="s">
        <v>663</v>
      </c>
      <c r="C830" s="22" t="s">
        <v>2223</v>
      </c>
      <c r="D830" s="22" t="s">
        <v>2224</v>
      </c>
      <c r="E830" s="23" t="s">
        <v>63</v>
      </c>
      <c r="F830" s="23" t="s">
        <v>2225</v>
      </c>
      <c r="G830" s="23" t="s">
        <v>2226</v>
      </c>
      <c r="H830" s="22" t="s">
        <v>2279</v>
      </c>
      <c r="I830" s="22" t="s">
        <v>2490</v>
      </c>
      <c r="J830" s="22" t="s">
        <v>2499</v>
      </c>
      <c r="N830" s="22" t="s">
        <v>2500</v>
      </c>
      <c r="O830" s="22" t="s">
        <v>2229</v>
      </c>
      <c r="P830" s="21">
        <v>82021</v>
      </c>
      <c r="Q830" s="22">
        <v>5</v>
      </c>
      <c r="R830" s="22">
        <v>7</v>
      </c>
      <c r="S830" s="22">
        <v>7</v>
      </c>
      <c r="T830" s="22" t="s">
        <v>281</v>
      </c>
      <c r="U830" s="21">
        <v>1</v>
      </c>
      <c r="V830" s="21">
        <v>1</v>
      </c>
      <c r="W830" s="24">
        <f t="shared" si="119"/>
        <v>357.20718340959547</v>
      </c>
      <c r="X830" s="24">
        <f t="shared" si="125"/>
        <v>128.21666666666667</v>
      </c>
      <c r="Y830" s="22">
        <v>16</v>
      </c>
      <c r="Z830" s="24">
        <f t="shared" si="111"/>
        <v>5715.3149345535276</v>
      </c>
      <c r="AA830" s="24">
        <f t="shared" si="112"/>
        <v>2051.4666666666667</v>
      </c>
      <c r="AB830" s="21">
        <v>30</v>
      </c>
      <c r="AC830" s="22">
        <v>30</v>
      </c>
      <c r="AD830" s="22">
        <v>30</v>
      </c>
      <c r="AE830" s="21" t="s">
        <v>246</v>
      </c>
      <c r="AF830" s="21">
        <v>0.1</v>
      </c>
      <c r="AG830" s="21">
        <v>1</v>
      </c>
      <c r="AH830" s="25">
        <f>4*3.14*(AC830/2)*(AB830/2)/AG830</f>
        <v>2826</v>
      </c>
      <c r="AI830" s="25">
        <f>(3.14/6*(AD830*AB830*AC830))*AF830</f>
        <v>1413</v>
      </c>
      <c r="AJ830" s="21">
        <v>2051.4666666666662</v>
      </c>
      <c r="AK830" s="21">
        <v>60</v>
      </c>
      <c r="AL830" s="22" t="s">
        <v>161</v>
      </c>
      <c r="AM830" s="22">
        <v>0.16</v>
      </c>
      <c r="AN830" s="22" t="s">
        <v>2282</v>
      </c>
      <c r="AO830" s="22" t="s">
        <v>2282</v>
      </c>
      <c r="AP830" s="22" t="s">
        <v>230</v>
      </c>
      <c r="AQ830" s="22" t="str">
        <f t="shared" si="113"/>
        <v>Microphytoplankton</v>
      </c>
      <c r="AR830" s="22">
        <v>0</v>
      </c>
      <c r="AS830" s="22">
        <v>0</v>
      </c>
      <c r="AT830" s="22">
        <v>0</v>
      </c>
      <c r="AU830" s="22">
        <v>1</v>
      </c>
      <c r="AV830" s="22">
        <v>0</v>
      </c>
      <c r="AW830" s="22">
        <v>0</v>
      </c>
      <c r="AX830" s="22">
        <v>0</v>
      </c>
      <c r="AY830" s="22">
        <v>1</v>
      </c>
    </row>
    <row r="831" spans="1:57">
      <c r="A831" s="21" t="s">
        <v>2501</v>
      </c>
      <c r="B831" s="22" t="s">
        <v>663</v>
      </c>
      <c r="C831" s="22" t="s">
        <v>2223</v>
      </c>
      <c r="D831" s="22" t="s">
        <v>2224</v>
      </c>
      <c r="E831" s="23" t="s">
        <v>63</v>
      </c>
      <c r="F831" s="23" t="s">
        <v>2225</v>
      </c>
      <c r="G831" s="23" t="s">
        <v>2226</v>
      </c>
      <c r="H831" s="22" t="s">
        <v>2279</v>
      </c>
      <c r="I831" s="22" t="s">
        <v>2490</v>
      </c>
      <c r="J831" s="21" t="s">
        <v>1725</v>
      </c>
      <c r="K831" s="21"/>
      <c r="L831" s="21"/>
      <c r="N831" s="22" t="s">
        <v>2502</v>
      </c>
      <c r="O831" s="22" t="s">
        <v>2229</v>
      </c>
      <c r="P831" s="22">
        <v>82015</v>
      </c>
      <c r="Q831" s="21">
        <v>6</v>
      </c>
      <c r="R831" s="21">
        <v>6</v>
      </c>
      <c r="S831" s="21">
        <v>6</v>
      </c>
      <c r="T831" s="21" t="s">
        <v>281</v>
      </c>
      <c r="U831" s="21">
        <v>1</v>
      </c>
      <c r="V831" s="21">
        <v>1</v>
      </c>
      <c r="W831" s="24">
        <f t="shared" si="119"/>
        <v>363.28803924381305</v>
      </c>
      <c r="X831" s="24">
        <f t="shared" si="125"/>
        <v>113.03999999999998</v>
      </c>
      <c r="Y831" s="21">
        <v>32</v>
      </c>
      <c r="Z831" s="24">
        <f t="shared" si="111"/>
        <v>11625.217255802017</v>
      </c>
      <c r="AA831" s="24">
        <f t="shared" si="112"/>
        <v>3617.2799999999993</v>
      </c>
      <c r="AB831" s="21">
        <v>36</v>
      </c>
      <c r="AC831" s="21">
        <v>36</v>
      </c>
      <c r="AD831" s="21">
        <v>36</v>
      </c>
      <c r="AE831" s="21" t="s">
        <v>246</v>
      </c>
      <c r="AF831" s="21">
        <v>0.1</v>
      </c>
      <c r="AG831" s="21">
        <v>1</v>
      </c>
      <c r="AH831" s="25">
        <f>4*3.14*(AC831/2)*(AB831/2)/AG831</f>
        <v>4069.44</v>
      </c>
      <c r="AI831" s="25">
        <f>(3.14/6*(AD831*AB831*AC831))*AF831</f>
        <v>2441.6640000000002</v>
      </c>
      <c r="AJ831" s="21">
        <v>3248.2</v>
      </c>
      <c r="AK831" s="21">
        <v>60</v>
      </c>
      <c r="AL831" s="22" t="s">
        <v>161</v>
      </c>
      <c r="AM831" s="22">
        <v>0.16</v>
      </c>
      <c r="AN831" s="38" t="s">
        <v>2282</v>
      </c>
      <c r="AO831" s="22" t="s">
        <v>2282</v>
      </c>
      <c r="AP831" s="22" t="s">
        <v>230</v>
      </c>
      <c r="AQ831" s="22" t="str">
        <f t="shared" si="113"/>
        <v>Microphytoplankton</v>
      </c>
      <c r="AR831" s="22">
        <v>0</v>
      </c>
      <c r="AS831" s="22">
        <v>0</v>
      </c>
      <c r="AT831" s="22">
        <v>0</v>
      </c>
      <c r="AU831" s="22">
        <v>1</v>
      </c>
      <c r="AV831" s="22">
        <v>0</v>
      </c>
      <c r="AW831" s="22">
        <v>0</v>
      </c>
      <c r="AX831" s="22">
        <v>0</v>
      </c>
      <c r="AY831" s="22">
        <v>1</v>
      </c>
    </row>
    <row r="832" spans="1:57">
      <c r="A832" s="21" t="s">
        <v>2503</v>
      </c>
      <c r="B832" s="22" t="s">
        <v>663</v>
      </c>
      <c r="C832" s="22" t="s">
        <v>2223</v>
      </c>
      <c r="D832" s="22" t="s">
        <v>2224</v>
      </c>
      <c r="E832" s="23" t="s">
        <v>63</v>
      </c>
      <c r="F832" s="23" t="s">
        <v>2225</v>
      </c>
      <c r="G832" s="23" t="s">
        <v>2226</v>
      </c>
      <c r="H832" s="22" t="s">
        <v>2279</v>
      </c>
      <c r="I832" s="22" t="s">
        <v>2490</v>
      </c>
      <c r="J832" s="21" t="s">
        <v>2504</v>
      </c>
      <c r="K832" s="21"/>
      <c r="L832" s="21"/>
      <c r="N832" s="22" t="s">
        <v>2505</v>
      </c>
      <c r="O832" s="22" t="s">
        <v>2229</v>
      </c>
      <c r="P832" s="21">
        <v>82010</v>
      </c>
      <c r="Q832" s="21">
        <v>7</v>
      </c>
      <c r="R832" s="21">
        <v>7</v>
      </c>
      <c r="S832" s="21">
        <v>7</v>
      </c>
      <c r="T832" s="21" t="s">
        <v>281</v>
      </c>
      <c r="U832" s="21">
        <v>1</v>
      </c>
      <c r="V832" s="21">
        <v>1</v>
      </c>
      <c r="W832" s="24">
        <f t="shared" si="119"/>
        <v>490.83181458055361</v>
      </c>
      <c r="X832" s="24">
        <f t="shared" si="125"/>
        <v>179.50333333333333</v>
      </c>
      <c r="Y832" s="21">
        <v>32</v>
      </c>
      <c r="Z832" s="24">
        <f t="shared" si="111"/>
        <v>15706.618066577716</v>
      </c>
      <c r="AA832" s="24">
        <f t="shared" si="112"/>
        <v>5744.1066666666666</v>
      </c>
      <c r="AB832" s="21">
        <v>42</v>
      </c>
      <c r="AC832" s="21">
        <v>42</v>
      </c>
      <c r="AD832" s="21">
        <v>42</v>
      </c>
      <c r="AE832" s="21" t="s">
        <v>246</v>
      </c>
      <c r="AF832" s="21">
        <v>0.1</v>
      </c>
      <c r="AG832" s="21">
        <v>1</v>
      </c>
      <c r="AH832" s="25">
        <f>4*3.14*(AC832/2)*(AB832/2)/AG832</f>
        <v>5538.96</v>
      </c>
      <c r="AI832" s="25">
        <f>(3.14/6*(AD832*AB832*AC832))*AF832</f>
        <v>3877.2720000000004</v>
      </c>
      <c r="AJ832" s="21">
        <v>5747</v>
      </c>
      <c r="AK832" s="21">
        <v>80</v>
      </c>
      <c r="AL832" s="22" t="s">
        <v>161</v>
      </c>
      <c r="AM832" s="22">
        <v>0.16</v>
      </c>
      <c r="AN832" s="38" t="s">
        <v>2282</v>
      </c>
      <c r="AO832" s="22" t="s">
        <v>2282</v>
      </c>
      <c r="AP832" s="22" t="s">
        <v>230</v>
      </c>
      <c r="AQ832" s="22" t="str">
        <f t="shared" si="113"/>
        <v>Microphytoplankton</v>
      </c>
      <c r="AR832" s="22">
        <v>0</v>
      </c>
      <c r="AS832" s="22">
        <v>0</v>
      </c>
      <c r="AT832" s="22">
        <v>0</v>
      </c>
      <c r="AU832" s="22">
        <v>1</v>
      </c>
      <c r="AV832" s="22">
        <v>0</v>
      </c>
      <c r="AW832" s="22">
        <v>0</v>
      </c>
      <c r="AX832" s="22">
        <v>0</v>
      </c>
      <c r="AY832" s="22">
        <v>1</v>
      </c>
      <c r="AZ832" s="22">
        <v>0</v>
      </c>
      <c r="BA832" s="22">
        <v>0</v>
      </c>
      <c r="BB832" s="22">
        <v>2</v>
      </c>
      <c r="BC832" s="22">
        <v>4</v>
      </c>
      <c r="BD832" s="22">
        <v>4</v>
      </c>
      <c r="BE832" s="22">
        <v>0</v>
      </c>
    </row>
    <row r="833" spans="1:57">
      <c r="A833" s="21" t="s">
        <v>2506</v>
      </c>
      <c r="B833" s="22" t="s">
        <v>663</v>
      </c>
      <c r="C833" s="22" t="s">
        <v>2223</v>
      </c>
      <c r="D833" s="22" t="s">
        <v>2224</v>
      </c>
      <c r="E833" s="23" t="s">
        <v>63</v>
      </c>
      <c r="F833" s="23" t="s">
        <v>2225</v>
      </c>
      <c r="G833" s="23" t="s">
        <v>2226</v>
      </c>
      <c r="H833" s="22" t="s">
        <v>2457</v>
      </c>
      <c r="I833" s="22" t="s">
        <v>2507</v>
      </c>
      <c r="J833" s="21" t="s">
        <v>2508</v>
      </c>
      <c r="K833" s="21"/>
      <c r="L833" s="21"/>
      <c r="N833" s="22" t="s">
        <v>2509</v>
      </c>
      <c r="O833" s="22" t="s">
        <v>2229</v>
      </c>
      <c r="P833" s="21">
        <v>85710</v>
      </c>
      <c r="Q833" s="22">
        <v>13</v>
      </c>
      <c r="R833" s="22">
        <v>3</v>
      </c>
      <c r="S833" s="22">
        <v>3</v>
      </c>
      <c r="T833" s="22" t="s">
        <v>281</v>
      </c>
      <c r="U833" s="22">
        <v>1</v>
      </c>
      <c r="V833" s="22">
        <v>1</v>
      </c>
      <c r="W833" s="24">
        <f t="shared" si="119"/>
        <v>384.0974476661429</v>
      </c>
      <c r="X833" s="24">
        <f t="shared" si="125"/>
        <v>61.22999999999999</v>
      </c>
      <c r="Y833" s="22">
        <v>2</v>
      </c>
      <c r="Z833" s="24">
        <f t="shared" si="111"/>
        <v>768.1948953322858</v>
      </c>
      <c r="AA833" s="24">
        <f t="shared" si="112"/>
        <v>122.45999999999998</v>
      </c>
      <c r="AB833" s="22">
        <v>13</v>
      </c>
      <c r="AC833" s="22">
        <v>6</v>
      </c>
      <c r="AD833" s="22">
        <v>3</v>
      </c>
      <c r="AE833" s="22" t="s">
        <v>330</v>
      </c>
      <c r="AF833" s="21">
        <v>0.9</v>
      </c>
      <c r="AG833" s="21">
        <v>1</v>
      </c>
      <c r="AH833" s="25">
        <f>(AB833*AC833*2+AB833*AD833*2+AC833*AD833*2)/AG833</f>
        <v>270</v>
      </c>
      <c r="AI833" s="25">
        <f>AB833*AC833*AD833*AF833</f>
        <v>210.6</v>
      </c>
      <c r="AJ833" s="21">
        <v>218.9</v>
      </c>
      <c r="AK833" s="21">
        <v>13</v>
      </c>
      <c r="AL833" s="22" t="s">
        <v>161</v>
      </c>
      <c r="AM833" s="22">
        <v>0.16</v>
      </c>
      <c r="AO833" s="22" t="s">
        <v>2257</v>
      </c>
      <c r="AP833" s="22" t="s">
        <v>162</v>
      </c>
      <c r="AQ833" s="22" t="str">
        <f t="shared" si="113"/>
        <v>Nanophytoplankton</v>
      </c>
      <c r="AR833" s="22">
        <v>0</v>
      </c>
      <c r="AS833" s="22">
        <v>0</v>
      </c>
      <c r="AT833" s="22">
        <v>0</v>
      </c>
      <c r="AU833" s="22">
        <v>1</v>
      </c>
      <c r="AV833" s="22">
        <v>0</v>
      </c>
      <c r="AW833" s="22">
        <v>0</v>
      </c>
      <c r="AX833" s="22">
        <v>0</v>
      </c>
      <c r="AY833" s="22">
        <v>1</v>
      </c>
      <c r="AZ833" s="22">
        <v>0</v>
      </c>
      <c r="BA833" s="22">
        <v>0</v>
      </c>
      <c r="BB833" s="22">
        <v>0</v>
      </c>
      <c r="BC833" s="22">
        <v>2</v>
      </c>
      <c r="BD833" s="22">
        <v>8</v>
      </c>
      <c r="BE833" s="22">
        <v>0</v>
      </c>
    </row>
    <row r="834" spans="1:57">
      <c r="A834" s="21" t="s">
        <v>2510</v>
      </c>
      <c r="B834" s="22" t="s">
        <v>663</v>
      </c>
      <c r="C834" s="22" t="s">
        <v>2223</v>
      </c>
      <c r="D834" s="22" t="s">
        <v>2224</v>
      </c>
      <c r="E834" s="23" t="s">
        <v>63</v>
      </c>
      <c r="F834" s="23" t="s">
        <v>2225</v>
      </c>
      <c r="G834" s="23" t="s">
        <v>2226</v>
      </c>
      <c r="H834" s="22" t="s">
        <v>2457</v>
      </c>
      <c r="I834" s="22" t="s">
        <v>2507</v>
      </c>
      <c r="J834" s="21" t="s">
        <v>2511</v>
      </c>
      <c r="K834" s="21"/>
      <c r="L834" s="21"/>
      <c r="N834" s="22" t="s">
        <v>520</v>
      </c>
      <c r="O834" s="22" t="s">
        <v>2229</v>
      </c>
      <c r="P834" s="21">
        <v>85711</v>
      </c>
      <c r="Q834" s="22">
        <v>5.65</v>
      </c>
      <c r="R834" s="22">
        <v>2.2000000000000002</v>
      </c>
      <c r="S834" s="22">
        <v>2.2000000000000002</v>
      </c>
      <c r="T834" s="22" t="s">
        <v>281</v>
      </c>
      <c r="U834" s="22">
        <v>1</v>
      </c>
      <c r="V834" s="22">
        <v>1</v>
      </c>
      <c r="W834" s="24">
        <f t="shared" si="119"/>
        <v>125.86075109533157</v>
      </c>
      <c r="X834" s="24">
        <f t="shared" si="125"/>
        <v>14.311073333333336</v>
      </c>
      <c r="Y834" s="22">
        <v>2</v>
      </c>
      <c r="Z834" s="24">
        <f t="shared" ref="Z834:Z897" si="126">Y834*W834</f>
        <v>251.72150219066313</v>
      </c>
      <c r="AA834" s="24">
        <f t="shared" ref="AA834:AA897" si="127">Y834*X834</f>
        <v>28.622146666666673</v>
      </c>
      <c r="AB834" s="22">
        <v>5.65</v>
      </c>
      <c r="AC834" s="22">
        <v>4.4000000000000004</v>
      </c>
      <c r="AD834" s="22">
        <v>2.2000000000000002</v>
      </c>
      <c r="AE834" s="22" t="s">
        <v>330</v>
      </c>
      <c r="AF834" s="21">
        <v>0.9</v>
      </c>
      <c r="AG834" s="21">
        <v>1</v>
      </c>
      <c r="AH834" s="25">
        <f>(AB834*AC834*2+AB834*AD834*2+AC834*AD834*2)/AG834</f>
        <v>93.940000000000012</v>
      </c>
      <c r="AI834" s="25">
        <f>AB834*AC834*AD834*AF834</f>
        <v>49.222800000000014</v>
      </c>
      <c r="AJ834" s="21">
        <v>28.622146666666673</v>
      </c>
      <c r="AK834" s="21">
        <v>5.65</v>
      </c>
      <c r="AL834" s="22" t="s">
        <v>2512</v>
      </c>
      <c r="AM834" s="22">
        <v>0.16</v>
      </c>
      <c r="AO834" s="22" t="s">
        <v>2257</v>
      </c>
      <c r="AP834" s="22" t="s">
        <v>162</v>
      </c>
      <c r="AQ834" s="22" t="str">
        <f t="shared" ref="AQ834:AQ897" si="128">IF(AND($AK834&lt;20,AJ834&lt;10000),"Nanophytoplankton","Microphytoplankton")</f>
        <v>Nanophytoplankton</v>
      </c>
      <c r="AR834" s="22">
        <v>0</v>
      </c>
      <c r="AS834" s="22">
        <v>0</v>
      </c>
      <c r="AT834" s="22">
        <v>0</v>
      </c>
      <c r="AU834" s="22">
        <v>1</v>
      </c>
      <c r="AV834" s="22">
        <v>0</v>
      </c>
      <c r="AW834" s="22">
        <v>0</v>
      </c>
      <c r="AX834" s="22">
        <v>0</v>
      </c>
      <c r="AY834" s="22">
        <v>1</v>
      </c>
    </row>
    <row r="835" spans="1:57">
      <c r="A835" s="21" t="s">
        <v>2513</v>
      </c>
      <c r="B835" s="22" t="s">
        <v>663</v>
      </c>
      <c r="C835" s="22" t="s">
        <v>2223</v>
      </c>
      <c r="D835" s="22" t="s">
        <v>2224</v>
      </c>
      <c r="E835" s="23" t="s">
        <v>63</v>
      </c>
      <c r="F835" s="23" t="s">
        <v>2225</v>
      </c>
      <c r="G835" s="23" t="s">
        <v>2226</v>
      </c>
      <c r="H835" s="22" t="s">
        <v>2457</v>
      </c>
      <c r="I835" s="22" t="s">
        <v>2507</v>
      </c>
      <c r="J835" s="21" t="s">
        <v>209</v>
      </c>
      <c r="K835" s="21"/>
      <c r="L835" s="21"/>
      <c r="N835" s="22" t="s">
        <v>2352</v>
      </c>
      <c r="O835" s="22" t="s">
        <v>2229</v>
      </c>
      <c r="P835" s="21">
        <v>85720</v>
      </c>
      <c r="Q835" s="22">
        <v>11</v>
      </c>
      <c r="R835" s="22">
        <v>2.4</v>
      </c>
      <c r="S835" s="22">
        <v>2.4</v>
      </c>
      <c r="T835" s="22" t="s">
        <v>281</v>
      </c>
      <c r="U835" s="22">
        <v>1</v>
      </c>
      <c r="V835" s="22">
        <v>1</v>
      </c>
      <c r="W835" s="24">
        <f t="shared" si="119"/>
        <v>260.81230418054298</v>
      </c>
      <c r="X835" s="24">
        <f t="shared" si="125"/>
        <v>33.1584</v>
      </c>
      <c r="Y835" s="22">
        <v>2</v>
      </c>
      <c r="Z835" s="24">
        <f t="shared" si="126"/>
        <v>521.62460836108596</v>
      </c>
      <c r="AA835" s="24">
        <f t="shared" si="127"/>
        <v>66.316800000000001</v>
      </c>
      <c r="AB835" s="22">
        <v>11</v>
      </c>
      <c r="AC835" s="22">
        <v>4.8</v>
      </c>
      <c r="AD835" s="22">
        <v>2.4</v>
      </c>
      <c r="AE835" s="22" t="s">
        <v>330</v>
      </c>
      <c r="AF835" s="21">
        <v>0.9</v>
      </c>
      <c r="AG835" s="21">
        <v>1</v>
      </c>
      <c r="AH835" s="25">
        <f>(AB835*AC835*2+AB835*AD835*2+AC835*AD835*2)/AG835</f>
        <v>181.43999999999997</v>
      </c>
      <c r="AI835" s="25">
        <f>AB835*AC835*AD835*AF835</f>
        <v>114.04799999999999</v>
      </c>
      <c r="AJ835" s="21">
        <v>99.5</v>
      </c>
      <c r="AK835" s="21">
        <v>11</v>
      </c>
      <c r="AL835" s="22" t="s">
        <v>161</v>
      </c>
      <c r="AM835" s="22">
        <v>0.16</v>
      </c>
      <c r="AO835" s="22" t="s">
        <v>2257</v>
      </c>
      <c r="AP835" s="22" t="s">
        <v>162</v>
      </c>
      <c r="AQ835" s="22" t="str">
        <f t="shared" si="128"/>
        <v>Nanophytoplankton</v>
      </c>
      <c r="AR835" s="22">
        <v>0</v>
      </c>
      <c r="AS835" s="22">
        <v>0</v>
      </c>
      <c r="AT835" s="22">
        <v>0</v>
      </c>
      <c r="AU835" s="22">
        <v>1</v>
      </c>
      <c r="AV835" s="22">
        <v>0</v>
      </c>
      <c r="AW835" s="22">
        <v>0</v>
      </c>
      <c r="AX835" s="22">
        <v>0</v>
      </c>
      <c r="AY835" s="22">
        <v>1</v>
      </c>
    </row>
    <row r="836" spans="1:57">
      <c r="A836" s="21" t="s">
        <v>2514</v>
      </c>
      <c r="B836" s="22" t="s">
        <v>663</v>
      </c>
      <c r="C836" s="22" t="s">
        <v>2223</v>
      </c>
      <c r="D836" s="22" t="s">
        <v>2224</v>
      </c>
      <c r="E836" s="23" t="s">
        <v>63</v>
      </c>
      <c r="F836" s="23" t="s">
        <v>2225</v>
      </c>
      <c r="G836" s="23" t="s">
        <v>2226</v>
      </c>
      <c r="H836" s="22" t="s">
        <v>2457</v>
      </c>
      <c r="I836" s="22" t="s">
        <v>2507</v>
      </c>
      <c r="J836" s="21" t="s">
        <v>211</v>
      </c>
      <c r="K836" s="21"/>
      <c r="L836" s="21"/>
      <c r="M836" s="22" t="s">
        <v>1</v>
      </c>
      <c r="N836" s="22" t="s">
        <v>2352</v>
      </c>
      <c r="O836" s="22" t="s">
        <v>2229</v>
      </c>
      <c r="P836" s="21">
        <v>85730</v>
      </c>
      <c r="Q836" s="22">
        <v>12</v>
      </c>
      <c r="R836" s="22">
        <v>2.5</v>
      </c>
      <c r="S836" s="22">
        <v>2.5</v>
      </c>
      <c r="T836" s="22" t="s">
        <v>281</v>
      </c>
      <c r="U836" s="22">
        <v>1</v>
      </c>
      <c r="V836" s="22">
        <v>1</v>
      </c>
      <c r="W836" s="24">
        <f t="shared" si="119"/>
        <v>295.86914277366793</v>
      </c>
      <c r="X836" s="24">
        <f t="shared" si="125"/>
        <v>39.25</v>
      </c>
      <c r="Y836" s="22">
        <v>2</v>
      </c>
      <c r="Z836" s="24">
        <f t="shared" si="126"/>
        <v>591.73828554733586</v>
      </c>
      <c r="AA836" s="24">
        <f t="shared" si="127"/>
        <v>78.5</v>
      </c>
      <c r="AB836" s="22">
        <v>12</v>
      </c>
      <c r="AC836" s="22">
        <v>5</v>
      </c>
      <c r="AD836" s="22">
        <v>2.5</v>
      </c>
      <c r="AE836" s="22" t="s">
        <v>330</v>
      </c>
      <c r="AF836" s="21">
        <v>0.9</v>
      </c>
      <c r="AG836" s="21">
        <v>1</v>
      </c>
      <c r="AH836" s="25">
        <f>(AB836*AC836*2+AB836*AD836*2+AC836*AD836*2)/AG836</f>
        <v>205</v>
      </c>
      <c r="AI836" s="25">
        <f>AB836*AC836*AD836*AF836</f>
        <v>135</v>
      </c>
      <c r="AJ836" s="21">
        <v>148.9</v>
      </c>
      <c r="AK836" s="21">
        <v>12</v>
      </c>
      <c r="AL836" s="22" t="s">
        <v>161</v>
      </c>
      <c r="AM836" s="22">
        <v>0.16</v>
      </c>
      <c r="AO836" s="22" t="s">
        <v>2257</v>
      </c>
      <c r="AP836" s="22" t="s">
        <v>162</v>
      </c>
      <c r="AQ836" s="22" t="str">
        <f t="shared" si="128"/>
        <v>Nanophytoplankton</v>
      </c>
      <c r="AR836" s="22">
        <v>0</v>
      </c>
      <c r="AS836" s="22">
        <v>0</v>
      </c>
      <c r="AT836" s="22">
        <v>0</v>
      </c>
      <c r="AU836" s="22">
        <v>1</v>
      </c>
      <c r="AV836" s="22">
        <v>0</v>
      </c>
      <c r="AW836" s="22">
        <v>0</v>
      </c>
      <c r="AX836" s="22">
        <v>0</v>
      </c>
      <c r="AY836" s="22">
        <v>1</v>
      </c>
    </row>
    <row r="837" spans="1:57">
      <c r="A837" s="22" t="s">
        <v>2515</v>
      </c>
      <c r="B837" s="22" t="s">
        <v>663</v>
      </c>
      <c r="C837" s="22" t="s">
        <v>2223</v>
      </c>
      <c r="D837" s="22" t="s">
        <v>2224</v>
      </c>
      <c r="E837" s="23" t="s">
        <v>63</v>
      </c>
      <c r="F837" s="23" t="s">
        <v>2225</v>
      </c>
      <c r="G837" s="23" t="s">
        <v>2226</v>
      </c>
      <c r="H837" s="23" t="s">
        <v>2457</v>
      </c>
      <c r="I837" s="22" t="s">
        <v>2516</v>
      </c>
      <c r="J837" s="22" t="s">
        <v>2517</v>
      </c>
      <c r="N837" s="22" t="s">
        <v>2518</v>
      </c>
      <c r="O837" s="22" t="s">
        <v>2229</v>
      </c>
      <c r="P837" s="21">
        <v>85731</v>
      </c>
      <c r="Q837" s="22">
        <v>17</v>
      </c>
      <c r="R837" s="22">
        <v>9.5</v>
      </c>
      <c r="S837" s="22">
        <v>4</v>
      </c>
      <c r="T837" s="22" t="s">
        <v>281</v>
      </c>
      <c r="U837" s="22">
        <v>1</v>
      </c>
      <c r="V837" s="22">
        <v>1</v>
      </c>
      <c r="W837" s="24">
        <f t="shared" si="119"/>
        <v>1181.8341423925708</v>
      </c>
      <c r="X837" s="24">
        <f t="shared" si="125"/>
        <v>338.07333333333332</v>
      </c>
      <c r="Y837" s="22">
        <v>8</v>
      </c>
      <c r="Z837" s="24">
        <f t="shared" si="126"/>
        <v>9454.6731391405665</v>
      </c>
      <c r="AA837" s="24">
        <f t="shared" si="127"/>
        <v>2704.5866666666666</v>
      </c>
      <c r="AB837" s="22">
        <v>25</v>
      </c>
      <c r="AC837" s="22">
        <v>60</v>
      </c>
      <c r="AD837" s="22">
        <v>25</v>
      </c>
      <c r="AE837" s="22" t="s">
        <v>159</v>
      </c>
      <c r="AF837" s="22">
        <v>0.3</v>
      </c>
      <c r="AG837" s="22">
        <v>1</v>
      </c>
      <c r="AH837" s="24">
        <f>(4*3.14*(((AB837^1.6*AC837^1.6+AB837^1.6*AD837^1.6+AC837^1.6+AD837^1.6)/3)^(1/1.6)))*(1/AG837)</f>
        <v>10920.384787645435</v>
      </c>
      <c r="AI837" s="24">
        <f>3.14/6*AB837*AC837*AD837*AF837</f>
        <v>5887.4999999999991</v>
      </c>
      <c r="AJ837" s="21">
        <v>6423.3933333333325</v>
      </c>
      <c r="AK837" s="21">
        <v>70</v>
      </c>
      <c r="AL837" s="22" t="s">
        <v>161</v>
      </c>
      <c r="AM837" s="22">
        <v>0.16</v>
      </c>
      <c r="AP837" s="22" t="s">
        <v>230</v>
      </c>
      <c r="AQ837" s="22" t="str">
        <f t="shared" si="128"/>
        <v>Microphytoplankton</v>
      </c>
      <c r="AR837" s="22">
        <v>0</v>
      </c>
      <c r="AS837" s="22">
        <v>0</v>
      </c>
      <c r="AT837" s="22">
        <v>0</v>
      </c>
      <c r="AU837" s="22">
        <v>1</v>
      </c>
      <c r="AV837" s="22">
        <v>0</v>
      </c>
      <c r="AW837" s="22">
        <v>0</v>
      </c>
      <c r="AX837" s="22">
        <v>0</v>
      </c>
      <c r="AY837" s="22">
        <v>1</v>
      </c>
    </row>
    <row r="838" spans="1:57">
      <c r="A838" s="22" t="s">
        <v>2519</v>
      </c>
      <c r="B838" s="22" t="s">
        <v>663</v>
      </c>
      <c r="C838" s="22" t="s">
        <v>2223</v>
      </c>
      <c r="D838" s="22" t="s">
        <v>2224</v>
      </c>
      <c r="E838" s="23" t="s">
        <v>63</v>
      </c>
      <c r="F838" s="23" t="s">
        <v>2225</v>
      </c>
      <c r="G838" s="23" t="s">
        <v>2226</v>
      </c>
      <c r="H838" s="23" t="s">
        <v>2457</v>
      </c>
      <c r="I838" s="22" t="s">
        <v>2516</v>
      </c>
      <c r="J838" s="22" t="s">
        <v>2520</v>
      </c>
      <c r="N838" s="22" t="s">
        <v>2521</v>
      </c>
      <c r="O838" s="22" t="s">
        <v>2229</v>
      </c>
      <c r="P838" s="21">
        <v>85732</v>
      </c>
      <c r="Q838" s="22">
        <v>11</v>
      </c>
      <c r="R838" s="22">
        <v>6</v>
      </c>
      <c r="S838" s="22">
        <v>6</v>
      </c>
      <c r="T838" s="22" t="s">
        <v>281</v>
      </c>
      <c r="U838" s="22">
        <v>1</v>
      </c>
      <c r="V838" s="22">
        <v>1</v>
      </c>
      <c r="W838" s="24">
        <f t="shared" si="119"/>
        <v>652.03076045135776</v>
      </c>
      <c r="X838" s="24">
        <f t="shared" si="125"/>
        <v>207.24</v>
      </c>
      <c r="Y838" s="21">
        <v>4</v>
      </c>
      <c r="Z838" s="24">
        <f t="shared" si="126"/>
        <v>2608.1230418054311</v>
      </c>
      <c r="AA838" s="24">
        <f t="shared" si="127"/>
        <v>828.96</v>
      </c>
      <c r="AB838" s="22">
        <v>15</v>
      </c>
      <c r="AC838" s="22">
        <v>15</v>
      </c>
      <c r="AD838" s="22">
        <v>15</v>
      </c>
      <c r="AE838" s="21" t="s">
        <v>159</v>
      </c>
      <c r="AF838" s="22">
        <v>0.3</v>
      </c>
      <c r="AG838" s="22">
        <v>1</v>
      </c>
      <c r="AH838" s="24">
        <f>(4*3.14*(((AB838^1.6*AC838^1.6+AB838^1.6*AD838^1.6+AC838^1.6+AD838^1.6)/3)^(1/1.6)))*(1/AG838)</f>
        <v>2211.3412553863004</v>
      </c>
      <c r="AI838" s="24">
        <f>3.14/6*AB838*AC838*AD838*AF838</f>
        <v>529.875</v>
      </c>
      <c r="AJ838" s="21">
        <v>828.96</v>
      </c>
      <c r="AK838" s="21">
        <v>11</v>
      </c>
      <c r="AL838" s="22" t="s">
        <v>161</v>
      </c>
      <c r="AM838" s="22">
        <v>0.16</v>
      </c>
      <c r="AP838" s="22" t="s">
        <v>230</v>
      </c>
      <c r="AQ838" s="22" t="str">
        <f t="shared" si="128"/>
        <v>Nanophytoplankton</v>
      </c>
      <c r="AR838" s="22">
        <v>0</v>
      </c>
      <c r="AS838" s="22">
        <v>0</v>
      </c>
      <c r="AT838" s="22">
        <v>0</v>
      </c>
      <c r="AU838" s="22">
        <v>1</v>
      </c>
      <c r="AV838" s="22">
        <v>0</v>
      </c>
      <c r="AW838" s="22">
        <v>0</v>
      </c>
      <c r="AX838" s="22">
        <v>0</v>
      </c>
      <c r="AY838" s="22">
        <v>1</v>
      </c>
    </row>
    <row r="839" spans="1:57">
      <c r="A839" s="22" t="s">
        <v>2522</v>
      </c>
      <c r="B839" s="22" t="s">
        <v>663</v>
      </c>
      <c r="C839" s="22" t="s">
        <v>2223</v>
      </c>
      <c r="D839" s="22" t="s">
        <v>2224</v>
      </c>
      <c r="E839" s="23" t="s">
        <v>63</v>
      </c>
      <c r="F839" s="23" t="s">
        <v>2225</v>
      </c>
      <c r="G839" s="23" t="s">
        <v>2226</v>
      </c>
      <c r="H839" s="23" t="s">
        <v>2485</v>
      </c>
      <c r="I839" s="22" t="s">
        <v>2523</v>
      </c>
      <c r="J839" s="22" t="s">
        <v>528</v>
      </c>
      <c r="N839" s="22" t="s">
        <v>2524</v>
      </c>
      <c r="O839" s="22" t="s">
        <v>2229</v>
      </c>
      <c r="P839" s="21">
        <v>85733</v>
      </c>
      <c r="Q839" s="22">
        <v>10.5</v>
      </c>
      <c r="R839" s="22">
        <v>10.5</v>
      </c>
      <c r="S839" s="22">
        <v>10.5</v>
      </c>
      <c r="T839" s="22" t="s">
        <v>246</v>
      </c>
      <c r="U839" s="22">
        <v>1</v>
      </c>
      <c r="V839" s="22">
        <v>0.5</v>
      </c>
      <c r="W839" s="25">
        <f>4*3.14*(R839/2)*(Q839/2)/V839</f>
        <v>692.37</v>
      </c>
      <c r="X839" s="25">
        <f>(3.14/6*(Q839*S839*R839))*U839</f>
        <v>605.82375000000002</v>
      </c>
      <c r="Y839" s="21">
        <v>1</v>
      </c>
      <c r="Z839" s="24">
        <f t="shared" si="126"/>
        <v>692.37</v>
      </c>
      <c r="AA839" s="24">
        <f t="shared" si="127"/>
        <v>605.82375000000002</v>
      </c>
      <c r="AE839" s="21"/>
      <c r="AH839" s="24"/>
      <c r="AI839" s="24"/>
      <c r="AJ839" s="21">
        <v>605.82000000000005</v>
      </c>
      <c r="AK839" s="21">
        <v>10.5</v>
      </c>
      <c r="AL839" s="22" t="s">
        <v>2512</v>
      </c>
      <c r="AM839" s="22">
        <v>0.16</v>
      </c>
      <c r="AO839" s="22" t="s">
        <v>2257</v>
      </c>
      <c r="AQ839" s="22" t="str">
        <f t="shared" si="128"/>
        <v>Nanophytoplankton</v>
      </c>
      <c r="AR839" s="22">
        <v>0</v>
      </c>
      <c r="AS839" s="22">
        <v>0</v>
      </c>
      <c r="AT839" s="22">
        <v>0</v>
      </c>
      <c r="AU839" s="22">
        <v>0</v>
      </c>
      <c r="AV839" s="22">
        <v>0</v>
      </c>
      <c r="AW839" s="22">
        <v>0</v>
      </c>
      <c r="AX839" s="22">
        <v>0</v>
      </c>
      <c r="AY839" s="22">
        <v>1</v>
      </c>
    </row>
    <row r="840" spans="1:57">
      <c r="A840" s="21" t="s">
        <v>2525</v>
      </c>
      <c r="B840" s="22" t="s">
        <v>663</v>
      </c>
      <c r="C840" s="22" t="s">
        <v>2223</v>
      </c>
      <c r="D840" s="22" t="s">
        <v>2224</v>
      </c>
      <c r="E840" s="23" t="s">
        <v>63</v>
      </c>
      <c r="F840" s="23" t="s">
        <v>2225</v>
      </c>
      <c r="G840" s="23" t="s">
        <v>2226</v>
      </c>
      <c r="H840" s="22" t="s">
        <v>2253</v>
      </c>
      <c r="I840" s="22" t="s">
        <v>2526</v>
      </c>
      <c r="J840" s="22" t="s">
        <v>2527</v>
      </c>
      <c r="N840" s="22" t="s">
        <v>2528</v>
      </c>
      <c r="O840" s="22" t="s">
        <v>2229</v>
      </c>
      <c r="P840" s="21">
        <v>82810</v>
      </c>
      <c r="Q840" s="22">
        <v>30</v>
      </c>
      <c r="R840" s="21">
        <v>4</v>
      </c>
      <c r="S840" s="21">
        <v>4</v>
      </c>
      <c r="T840" s="21" t="s">
        <v>281</v>
      </c>
      <c r="U840" s="22">
        <v>1</v>
      </c>
      <c r="V840" s="22">
        <v>1</v>
      </c>
      <c r="W840" s="24">
        <f>(4*3.14*(((Q840^1.6*R840^1.6+Q840^1.6*S840^1.6+R840^1.6+S840^1.6)/3)^(1/1.6)))*(1/V840)</f>
        <v>1172.9700926995843</v>
      </c>
      <c r="X840" s="24">
        <f>3.14/6*Q840*R840*S840*U840</f>
        <v>251.2</v>
      </c>
      <c r="Y840" s="21">
        <v>4</v>
      </c>
      <c r="Z840" s="24">
        <f t="shared" si="126"/>
        <v>4691.880370798337</v>
      </c>
      <c r="AA840" s="24">
        <f t="shared" si="127"/>
        <v>1004.8</v>
      </c>
      <c r="AB840" s="21">
        <v>90</v>
      </c>
      <c r="AC840" s="21">
        <v>8</v>
      </c>
      <c r="AD840" s="21">
        <v>8</v>
      </c>
      <c r="AE840" s="21" t="s">
        <v>159</v>
      </c>
      <c r="AF840" s="22">
        <v>0.3</v>
      </c>
      <c r="AG840" s="22">
        <v>1</v>
      </c>
      <c r="AH840" s="24">
        <f>(4*3.14*(((AB840^1.6*AC840^1.6+AB840^1.6*AD840^1.6+AC840^1.6+AD840^1.6)/3)^(1/1.6)))*(1/AG840)</f>
        <v>7022.1117054572405</v>
      </c>
      <c r="AI840" s="24">
        <f>3.14/6*AB840*AC840*AD840*AF840</f>
        <v>904.32</v>
      </c>
      <c r="AJ840" s="21">
        <v>1005.2</v>
      </c>
      <c r="AK840" s="21">
        <v>100</v>
      </c>
      <c r="AL840" s="22" t="s">
        <v>161</v>
      </c>
      <c r="AM840" s="22">
        <v>0.16</v>
      </c>
      <c r="AO840" s="22" t="s">
        <v>2282</v>
      </c>
      <c r="AP840" s="22" t="s">
        <v>230</v>
      </c>
      <c r="AQ840" s="22" t="str">
        <f t="shared" si="128"/>
        <v>Microphytoplankton</v>
      </c>
      <c r="AR840" s="22">
        <v>0</v>
      </c>
      <c r="AS840" s="22">
        <v>0</v>
      </c>
      <c r="AT840" s="22">
        <v>0</v>
      </c>
      <c r="AU840" s="22">
        <v>1</v>
      </c>
      <c r="AV840" s="22">
        <v>0</v>
      </c>
      <c r="AW840" s="22">
        <v>0</v>
      </c>
      <c r="AX840" s="22">
        <v>0</v>
      </c>
      <c r="AY840" s="22">
        <v>1</v>
      </c>
    </row>
    <row r="841" spans="1:57">
      <c r="A841" s="21" t="s">
        <v>2529</v>
      </c>
      <c r="B841" s="22" t="s">
        <v>663</v>
      </c>
      <c r="C841" s="22" t="s">
        <v>2223</v>
      </c>
      <c r="D841" s="22" t="s">
        <v>2224</v>
      </c>
      <c r="E841" s="23" t="s">
        <v>63</v>
      </c>
      <c r="F841" s="23" t="s">
        <v>2225</v>
      </c>
      <c r="G841" s="23" t="s">
        <v>2226</v>
      </c>
      <c r="H841" s="22" t="s">
        <v>2253</v>
      </c>
      <c r="I841" s="22" t="s">
        <v>2526</v>
      </c>
      <c r="J841" s="22" t="s">
        <v>211</v>
      </c>
      <c r="M841" s="22" t="s">
        <v>1</v>
      </c>
      <c r="N841" s="22" t="s">
        <v>2530</v>
      </c>
      <c r="O841" s="22" t="s">
        <v>2229</v>
      </c>
      <c r="P841" s="21">
        <v>82800</v>
      </c>
      <c r="Q841" s="22">
        <v>30</v>
      </c>
      <c r="R841" s="21">
        <v>4</v>
      </c>
      <c r="S841" s="21">
        <v>4</v>
      </c>
      <c r="T841" s="21" t="s">
        <v>281</v>
      </c>
      <c r="U841" s="22">
        <v>1</v>
      </c>
      <c r="V841" s="22">
        <v>1</v>
      </c>
      <c r="W841" s="24">
        <f>(4*3.14*(((Q841^1.6*R841^1.6+Q841^1.6*S841^1.6+R841^1.6+S841^1.6)/3)^(1/1.6)))*(1/V841)</f>
        <v>1172.9700926995843</v>
      </c>
      <c r="X841" s="24">
        <f>3.14/6*Q841*R841*S841*U841</f>
        <v>251.2</v>
      </c>
      <c r="Y841" s="21">
        <v>4</v>
      </c>
      <c r="Z841" s="24">
        <f t="shared" si="126"/>
        <v>4691.880370798337</v>
      </c>
      <c r="AA841" s="24">
        <f t="shared" si="127"/>
        <v>1004.8</v>
      </c>
      <c r="AB841" s="21">
        <v>90</v>
      </c>
      <c r="AC841" s="21">
        <v>8</v>
      </c>
      <c r="AD841" s="21">
        <v>8</v>
      </c>
      <c r="AE841" s="21" t="s">
        <v>159</v>
      </c>
      <c r="AF841" s="22">
        <v>0.3</v>
      </c>
      <c r="AG841" s="22">
        <v>1</v>
      </c>
      <c r="AH841" s="24">
        <f>(4*3.14*(((AB841^1.6*AC841^1.6+AB841^1.6*AD841^1.6+AC841^1.6+AD841^1.6)/3)^(1/1.6)))*(1/AG841)</f>
        <v>7022.1117054572405</v>
      </c>
      <c r="AI841" s="24">
        <f>3.14/6*AB841*AC841*AD841*AF841</f>
        <v>904.32</v>
      </c>
      <c r="AJ841" s="21">
        <v>1005.2</v>
      </c>
      <c r="AK841" s="21">
        <v>100</v>
      </c>
      <c r="AL841" s="22" t="s">
        <v>161</v>
      </c>
      <c r="AM841" s="22">
        <v>0.16</v>
      </c>
      <c r="AO841" s="22" t="s">
        <v>2282</v>
      </c>
      <c r="AP841" s="22" t="s">
        <v>230</v>
      </c>
      <c r="AQ841" s="22" t="str">
        <f t="shared" si="128"/>
        <v>Microphytoplankton</v>
      </c>
      <c r="AR841" s="22">
        <v>0</v>
      </c>
      <c r="AS841" s="22">
        <v>0</v>
      </c>
      <c r="AT841" s="22">
        <v>0</v>
      </c>
      <c r="AU841" s="22">
        <v>1</v>
      </c>
      <c r="AV841" s="22">
        <v>0</v>
      </c>
      <c r="AW841" s="22">
        <v>0</v>
      </c>
      <c r="AX841" s="22">
        <v>0</v>
      </c>
      <c r="AY841" s="22">
        <v>1</v>
      </c>
    </row>
    <row r="842" spans="1:57">
      <c r="A842" s="21" t="s">
        <v>2531</v>
      </c>
      <c r="B842" s="22" t="s">
        <v>663</v>
      </c>
      <c r="C842" s="22" t="s">
        <v>2223</v>
      </c>
      <c r="D842" s="22" t="s">
        <v>2224</v>
      </c>
      <c r="E842" s="23" t="s">
        <v>63</v>
      </c>
      <c r="F842" s="23" t="s">
        <v>2225</v>
      </c>
      <c r="G842" s="23" t="s">
        <v>2226</v>
      </c>
      <c r="H842" s="22" t="s">
        <v>2253</v>
      </c>
      <c r="I842" s="22" t="s">
        <v>2526</v>
      </c>
      <c r="J842" s="22" t="s">
        <v>897</v>
      </c>
      <c r="N842" s="22" t="s">
        <v>2532</v>
      </c>
      <c r="O842" s="22" t="s">
        <v>2229</v>
      </c>
      <c r="P842" s="21">
        <v>82801</v>
      </c>
      <c r="Q842" s="22">
        <v>30</v>
      </c>
      <c r="R842" s="21">
        <v>6</v>
      </c>
      <c r="S842" s="21">
        <v>6</v>
      </c>
      <c r="T842" s="21" t="s">
        <v>159</v>
      </c>
      <c r="U842" s="22">
        <v>1</v>
      </c>
      <c r="V842" s="22">
        <v>1</v>
      </c>
      <c r="W842" s="24">
        <f>(4*3.14*(((Q842^1.6*R842^1.6+Q842^1.6*S842^1.6+R842^1.6+S842^1.6)/3)^(1/1.6)))*(1/V842)</f>
        <v>1759.4551390493768</v>
      </c>
      <c r="X842" s="24">
        <f>3.14/6*Q842*R842*S842*U842</f>
        <v>565.19999999999993</v>
      </c>
      <c r="Y842" s="21">
        <v>4</v>
      </c>
      <c r="Z842" s="24">
        <f t="shared" si="126"/>
        <v>7037.8205561975074</v>
      </c>
      <c r="AA842" s="24">
        <f t="shared" si="127"/>
        <v>2260.7999999999997</v>
      </c>
      <c r="AB842" s="21">
        <v>45</v>
      </c>
      <c r="AC842" s="21">
        <v>8</v>
      </c>
      <c r="AD842" s="21">
        <v>8</v>
      </c>
      <c r="AE842" s="21" t="s">
        <v>159</v>
      </c>
      <c r="AF842" s="22">
        <v>0.3</v>
      </c>
      <c r="AG842" s="22">
        <v>1</v>
      </c>
      <c r="AH842" s="24">
        <f>(4*3.14*(((AB842^1.6*AC842^1.6+AB842^1.6*AD842^1.6+AC842^1.6+AD842^1.6)/3)^(1/1.6)))*(1/AG842)</f>
        <v>3514.3815650439715</v>
      </c>
      <c r="AI842" s="24">
        <f>3.14/6*AB842*AC842*AD842*AF842</f>
        <v>452.16</v>
      </c>
      <c r="AJ842" s="21">
        <v>1130.3999999999999</v>
      </c>
      <c r="AK842" s="21">
        <v>60</v>
      </c>
      <c r="AL842" s="22" t="s">
        <v>161</v>
      </c>
      <c r="AM842" s="22">
        <v>0.16</v>
      </c>
      <c r="AO842" s="22" t="s">
        <v>2282</v>
      </c>
      <c r="AP842" s="22" t="s">
        <v>230</v>
      </c>
      <c r="AQ842" s="22" t="str">
        <f t="shared" si="128"/>
        <v>Microphytoplankton</v>
      </c>
      <c r="AR842" s="22">
        <v>0</v>
      </c>
      <c r="AS842" s="22">
        <v>0</v>
      </c>
      <c r="AT842" s="22">
        <v>0</v>
      </c>
      <c r="AU842" s="22">
        <v>1</v>
      </c>
      <c r="AV842" s="22">
        <v>0</v>
      </c>
      <c r="AW842" s="22">
        <v>0</v>
      </c>
      <c r="AX842" s="22">
        <v>0</v>
      </c>
      <c r="AY842" s="22">
        <v>1</v>
      </c>
    </row>
    <row r="843" spans="1:57">
      <c r="A843" s="21" t="s">
        <v>2533</v>
      </c>
      <c r="B843" s="22" t="s">
        <v>663</v>
      </c>
      <c r="C843" s="22" t="s">
        <v>2223</v>
      </c>
      <c r="D843" s="22" t="s">
        <v>2224</v>
      </c>
      <c r="E843" s="23" t="s">
        <v>63</v>
      </c>
      <c r="F843" s="23" t="s">
        <v>2225</v>
      </c>
      <c r="G843" s="23" t="s">
        <v>2284</v>
      </c>
      <c r="H843" s="23" t="s">
        <v>2534</v>
      </c>
      <c r="I843" s="22" t="s">
        <v>2535</v>
      </c>
      <c r="J843" s="22" t="s">
        <v>496</v>
      </c>
      <c r="N843" s="22" t="s">
        <v>694</v>
      </c>
      <c r="O843" s="22" t="s">
        <v>2229</v>
      </c>
      <c r="P843" s="21">
        <v>80410</v>
      </c>
      <c r="Q843" s="21">
        <v>15</v>
      </c>
      <c r="R843" s="21">
        <v>15</v>
      </c>
      <c r="S843" s="21">
        <v>15</v>
      </c>
      <c r="T843" s="21" t="s">
        <v>246</v>
      </c>
      <c r="U843" s="21">
        <v>1</v>
      </c>
      <c r="V843" s="21">
        <v>1</v>
      </c>
      <c r="W843" s="25">
        <f t="shared" ref="W843:W848" si="129">4*3.14*(R843/2)*(Q843/2)/V843</f>
        <v>706.5</v>
      </c>
      <c r="X843" s="25">
        <f t="shared" ref="X843:X848" si="130">(3.14/6*(Q843*S843*R843))*U843</f>
        <v>1766.25</v>
      </c>
      <c r="Y843" s="21">
        <v>16</v>
      </c>
      <c r="Z843" s="24">
        <f t="shared" si="126"/>
        <v>11304</v>
      </c>
      <c r="AA843" s="24">
        <f t="shared" si="127"/>
        <v>28260</v>
      </c>
      <c r="AB843" s="21">
        <v>90</v>
      </c>
      <c r="AC843" s="21">
        <v>90</v>
      </c>
      <c r="AD843" s="21">
        <v>90</v>
      </c>
      <c r="AE843" s="21" t="s">
        <v>246</v>
      </c>
      <c r="AF843" s="21">
        <v>0.2</v>
      </c>
      <c r="AG843" s="21">
        <v>1</v>
      </c>
      <c r="AH843" s="25">
        <f>4*3.14*(AC843/2)*(AB843/2)/AG843</f>
        <v>25434.000000000004</v>
      </c>
      <c r="AI843" s="25">
        <f>(3.14/6*(AD843*AB843*AC843))*AF843</f>
        <v>76302</v>
      </c>
      <c r="AJ843" s="21">
        <v>28274.799999999999</v>
      </c>
      <c r="AK843" s="21">
        <v>70</v>
      </c>
      <c r="AL843" s="22" t="s">
        <v>161</v>
      </c>
      <c r="AM843" s="22">
        <v>0.16</v>
      </c>
      <c r="AN843" s="22" t="s">
        <v>2289</v>
      </c>
      <c r="AO843" s="22" t="s">
        <v>2289</v>
      </c>
      <c r="AP843" s="22" t="s">
        <v>673</v>
      </c>
      <c r="AQ843" s="22" t="str">
        <f t="shared" si="128"/>
        <v>Microphytoplankton</v>
      </c>
      <c r="AR843" s="22">
        <v>0</v>
      </c>
      <c r="AS843" s="22">
        <v>0</v>
      </c>
      <c r="AT843" s="22">
        <v>0</v>
      </c>
      <c r="AU843" s="22">
        <v>1</v>
      </c>
      <c r="AV843" s="22">
        <v>0</v>
      </c>
      <c r="AW843" s="22">
        <v>0</v>
      </c>
      <c r="AX843" s="22">
        <v>0</v>
      </c>
      <c r="AY843" s="22">
        <v>1</v>
      </c>
      <c r="AZ843" s="22">
        <v>0</v>
      </c>
      <c r="BA843" s="22">
        <v>0</v>
      </c>
      <c r="BB843" s="22">
        <v>0</v>
      </c>
      <c r="BC843" s="22">
        <v>2</v>
      </c>
      <c r="BD843" s="22">
        <v>2</v>
      </c>
      <c r="BE843" s="22">
        <v>6</v>
      </c>
    </row>
    <row r="844" spans="1:57">
      <c r="A844" s="21" t="s">
        <v>2536</v>
      </c>
      <c r="B844" s="22" t="s">
        <v>663</v>
      </c>
      <c r="C844" s="22" t="s">
        <v>2223</v>
      </c>
      <c r="D844" s="22" t="s">
        <v>2224</v>
      </c>
      <c r="E844" s="23" t="s">
        <v>63</v>
      </c>
      <c r="F844" s="23" t="s">
        <v>2225</v>
      </c>
      <c r="G844" s="23" t="s">
        <v>2284</v>
      </c>
      <c r="H844" s="23" t="s">
        <v>2534</v>
      </c>
      <c r="I844" s="22" t="s">
        <v>2535</v>
      </c>
      <c r="J844" s="22" t="s">
        <v>496</v>
      </c>
      <c r="K844" s="21" t="s">
        <v>184</v>
      </c>
      <c r="L844" s="22" t="s">
        <v>245</v>
      </c>
      <c r="N844" s="22" t="s">
        <v>694</v>
      </c>
      <c r="O844" s="22" t="s">
        <v>2229</v>
      </c>
      <c r="P844" s="21">
        <v>80416</v>
      </c>
      <c r="Q844" s="21">
        <v>10</v>
      </c>
      <c r="R844" s="21">
        <v>10</v>
      </c>
      <c r="S844" s="21">
        <v>10</v>
      </c>
      <c r="T844" s="21" t="s">
        <v>246</v>
      </c>
      <c r="U844" s="21">
        <v>1</v>
      </c>
      <c r="V844" s="21">
        <v>1</v>
      </c>
      <c r="W844" s="25">
        <f t="shared" si="129"/>
        <v>314</v>
      </c>
      <c r="X844" s="25">
        <f t="shared" si="130"/>
        <v>523.33333333333337</v>
      </c>
      <c r="Y844" s="21">
        <v>1</v>
      </c>
      <c r="Z844" s="24">
        <f t="shared" si="126"/>
        <v>314</v>
      </c>
      <c r="AA844" s="24">
        <f t="shared" si="127"/>
        <v>523.33333333333337</v>
      </c>
      <c r="AB844" s="21"/>
      <c r="AC844" s="21"/>
      <c r="AD844" s="21"/>
      <c r="AE844" s="21"/>
      <c r="AF844" s="21"/>
      <c r="AG844" s="21"/>
      <c r="AJ844" s="21">
        <v>523.33000000000004</v>
      </c>
      <c r="AK844" s="21">
        <v>10</v>
      </c>
      <c r="AL844" s="22" t="s">
        <v>161</v>
      </c>
      <c r="AM844" s="22">
        <v>0.16</v>
      </c>
      <c r="AN844" s="22" t="s">
        <v>2289</v>
      </c>
      <c r="AO844" s="22" t="s">
        <v>2289</v>
      </c>
      <c r="AP844" s="22" t="s">
        <v>673</v>
      </c>
      <c r="AQ844" s="22" t="str">
        <f t="shared" si="128"/>
        <v>Nanophytoplankton</v>
      </c>
      <c r="AR844" s="22">
        <v>0</v>
      </c>
      <c r="AS844" s="22">
        <v>0</v>
      </c>
      <c r="AT844" s="22">
        <v>0</v>
      </c>
      <c r="AU844" s="22">
        <v>1</v>
      </c>
      <c r="AV844" s="22">
        <v>0</v>
      </c>
      <c r="AW844" s="22">
        <v>0</v>
      </c>
      <c r="AX844" s="22">
        <v>0</v>
      </c>
      <c r="AY844" s="22">
        <v>1</v>
      </c>
    </row>
    <row r="845" spans="1:57">
      <c r="A845" s="21" t="s">
        <v>2537</v>
      </c>
      <c r="B845" s="22" t="s">
        <v>663</v>
      </c>
      <c r="C845" s="22" t="s">
        <v>2223</v>
      </c>
      <c r="D845" s="22" t="s">
        <v>2224</v>
      </c>
      <c r="E845" s="23" t="s">
        <v>63</v>
      </c>
      <c r="F845" s="23" t="s">
        <v>2225</v>
      </c>
      <c r="G845" s="23" t="s">
        <v>2226</v>
      </c>
      <c r="H845" s="38" t="s">
        <v>2303</v>
      </c>
      <c r="I845" s="22" t="s">
        <v>2538</v>
      </c>
      <c r="J845" s="22" t="s">
        <v>2539</v>
      </c>
      <c r="K845" s="21"/>
      <c r="L845" s="21"/>
      <c r="N845" s="22" t="s">
        <v>2540</v>
      </c>
      <c r="O845" s="22" t="s">
        <v>2229</v>
      </c>
      <c r="P845" s="21">
        <v>80414</v>
      </c>
      <c r="Q845" s="21">
        <f>(4+10)/2</f>
        <v>7</v>
      </c>
      <c r="R845" s="21">
        <f>(4+10)/2</f>
        <v>7</v>
      </c>
      <c r="S845" s="21">
        <f>(4+10)/2</f>
        <v>7</v>
      </c>
      <c r="T845" s="21" t="s">
        <v>246</v>
      </c>
      <c r="U845" s="21">
        <v>1</v>
      </c>
      <c r="V845" s="21">
        <v>1</v>
      </c>
      <c r="W845" s="25">
        <f t="shared" si="129"/>
        <v>153.86000000000001</v>
      </c>
      <c r="X845" s="25">
        <f t="shared" si="130"/>
        <v>179.50333333333333</v>
      </c>
      <c r="Y845" s="21">
        <v>4</v>
      </c>
      <c r="Z845" s="24">
        <f t="shared" si="126"/>
        <v>615.44000000000005</v>
      </c>
      <c r="AA845" s="24">
        <f t="shared" si="127"/>
        <v>718.01333333333332</v>
      </c>
      <c r="AB845" s="21">
        <v>15</v>
      </c>
      <c r="AC845" s="21">
        <v>15</v>
      </c>
      <c r="AD845" s="21">
        <v>15</v>
      </c>
      <c r="AE845" s="21" t="s">
        <v>246</v>
      </c>
      <c r="AF845" s="21">
        <v>0.5</v>
      </c>
      <c r="AG845" s="21">
        <v>1</v>
      </c>
      <c r="AH845" s="25">
        <f>4*3.14*(AC845/2)*(AB845/2)/AG845</f>
        <v>706.5</v>
      </c>
      <c r="AI845" s="25">
        <f>(3.14/6*(AD845*AB845*AC845))*AF845</f>
        <v>883.125</v>
      </c>
      <c r="AJ845" s="21">
        <v>718.01333333333332</v>
      </c>
      <c r="AK845" s="21">
        <v>15</v>
      </c>
      <c r="AL845" s="22" t="s">
        <v>161</v>
      </c>
      <c r="AM845" s="22">
        <v>0.16</v>
      </c>
      <c r="AO845" s="22" t="s">
        <v>2282</v>
      </c>
      <c r="AP845" s="22" t="s">
        <v>230</v>
      </c>
      <c r="AQ845" s="22" t="str">
        <f t="shared" si="128"/>
        <v>Nanophytoplankton</v>
      </c>
      <c r="AR845" s="22">
        <v>0</v>
      </c>
      <c r="AS845" s="22">
        <v>0</v>
      </c>
      <c r="AT845" s="22">
        <v>0</v>
      </c>
      <c r="AU845" s="22">
        <v>1</v>
      </c>
      <c r="AV845" s="22">
        <v>0</v>
      </c>
      <c r="AW845" s="22">
        <v>0</v>
      </c>
      <c r="AX845" s="22">
        <v>0</v>
      </c>
      <c r="AY845" s="22">
        <v>1</v>
      </c>
    </row>
    <row r="846" spans="1:57">
      <c r="A846" s="21" t="s">
        <v>2541</v>
      </c>
      <c r="B846" s="22" t="s">
        <v>663</v>
      </c>
      <c r="C846" s="22" t="s">
        <v>2223</v>
      </c>
      <c r="D846" s="22" t="s">
        <v>2224</v>
      </c>
      <c r="E846" s="23" t="s">
        <v>63</v>
      </c>
      <c r="F846" s="23" t="s">
        <v>2225</v>
      </c>
      <c r="G846" s="23" t="s">
        <v>2226</v>
      </c>
      <c r="H846" s="38" t="s">
        <v>2303</v>
      </c>
      <c r="I846" s="22" t="s">
        <v>2538</v>
      </c>
      <c r="J846" s="22" t="s">
        <v>2542</v>
      </c>
      <c r="N846" s="22" t="s">
        <v>2543</v>
      </c>
      <c r="O846" s="22" t="s">
        <v>2229</v>
      </c>
      <c r="P846" s="21">
        <v>80411</v>
      </c>
      <c r="Q846" s="21">
        <v>10</v>
      </c>
      <c r="R846" s="21">
        <v>10</v>
      </c>
      <c r="S846" s="21">
        <v>10</v>
      </c>
      <c r="T846" s="21" t="s">
        <v>246</v>
      </c>
      <c r="U846" s="21">
        <v>1</v>
      </c>
      <c r="V846" s="21">
        <v>1</v>
      </c>
      <c r="W846" s="25">
        <f t="shared" si="129"/>
        <v>314</v>
      </c>
      <c r="X846" s="25">
        <f t="shared" si="130"/>
        <v>523.33333333333337</v>
      </c>
      <c r="Y846" s="21">
        <v>4</v>
      </c>
      <c r="Z846" s="24">
        <f t="shared" si="126"/>
        <v>1256</v>
      </c>
      <c r="AA846" s="24">
        <f t="shared" si="127"/>
        <v>2093.3333333333335</v>
      </c>
      <c r="AB846" s="21">
        <v>35</v>
      </c>
      <c r="AC846" s="21">
        <v>35</v>
      </c>
      <c r="AD846" s="21">
        <v>35</v>
      </c>
      <c r="AE846" s="21" t="s">
        <v>330</v>
      </c>
      <c r="AF846" s="21">
        <v>0.5</v>
      </c>
      <c r="AG846" s="21">
        <v>1</v>
      </c>
      <c r="AH846" s="25">
        <f>(AB846*AC846*2+AB846*AD846*2+AC846*AD846*2)/AG846</f>
        <v>7350</v>
      </c>
      <c r="AI846" s="25">
        <f>AB846*AC846*AD846*AF846</f>
        <v>21437.5</v>
      </c>
      <c r="AJ846" s="21">
        <v>22449.3</v>
      </c>
      <c r="AK846" s="21">
        <v>35</v>
      </c>
      <c r="AL846" s="22" t="s">
        <v>161</v>
      </c>
      <c r="AM846" s="22">
        <v>0.16</v>
      </c>
      <c r="AO846" s="22" t="s">
        <v>2282</v>
      </c>
      <c r="AP846" s="22" t="s">
        <v>230</v>
      </c>
      <c r="AQ846" s="22" t="str">
        <f t="shared" si="128"/>
        <v>Microphytoplankton</v>
      </c>
      <c r="AR846" s="22">
        <v>0</v>
      </c>
      <c r="AS846" s="22">
        <v>0</v>
      </c>
      <c r="AT846" s="22">
        <v>0</v>
      </c>
      <c r="AU846" s="22">
        <v>1</v>
      </c>
      <c r="AV846" s="22">
        <v>0</v>
      </c>
      <c r="AW846" s="22">
        <v>0</v>
      </c>
      <c r="AX846" s="22">
        <v>0</v>
      </c>
      <c r="AY846" s="22">
        <v>1</v>
      </c>
    </row>
    <row r="847" spans="1:57">
      <c r="A847" s="21" t="s">
        <v>2544</v>
      </c>
      <c r="B847" s="22" t="s">
        <v>663</v>
      </c>
      <c r="C847" s="22" t="s">
        <v>2223</v>
      </c>
      <c r="D847" s="22" t="s">
        <v>2224</v>
      </c>
      <c r="E847" s="23" t="s">
        <v>63</v>
      </c>
      <c r="F847" s="23" t="s">
        <v>2225</v>
      </c>
      <c r="G847" s="23" t="s">
        <v>2226</v>
      </c>
      <c r="H847" s="38" t="s">
        <v>2303</v>
      </c>
      <c r="I847" s="22" t="s">
        <v>2538</v>
      </c>
      <c r="J847" s="22" t="s">
        <v>2545</v>
      </c>
      <c r="N847" s="22" t="s">
        <v>2546</v>
      </c>
      <c r="O847" s="22" t="s">
        <v>2229</v>
      </c>
      <c r="P847" s="21">
        <v>80413</v>
      </c>
      <c r="Q847" s="21">
        <v>4</v>
      </c>
      <c r="R847" s="21">
        <v>4</v>
      </c>
      <c r="S847" s="21">
        <v>4</v>
      </c>
      <c r="T847" s="21" t="s">
        <v>246</v>
      </c>
      <c r="U847" s="21">
        <v>1</v>
      </c>
      <c r="V847" s="21">
        <v>1</v>
      </c>
      <c r="W847" s="25">
        <f t="shared" si="129"/>
        <v>50.24</v>
      </c>
      <c r="X847" s="25">
        <f t="shared" si="130"/>
        <v>33.493333333333332</v>
      </c>
      <c r="Y847" s="21">
        <v>16</v>
      </c>
      <c r="Z847" s="24">
        <f t="shared" si="126"/>
        <v>803.84</v>
      </c>
      <c r="AA847" s="24">
        <f t="shared" si="127"/>
        <v>535.89333333333332</v>
      </c>
      <c r="AB847" s="21">
        <v>22</v>
      </c>
      <c r="AC847" s="21">
        <v>22</v>
      </c>
      <c r="AD847" s="21">
        <v>22</v>
      </c>
      <c r="AE847" s="21" t="s">
        <v>330</v>
      </c>
      <c r="AF847" s="21">
        <v>0.5</v>
      </c>
      <c r="AG847" s="21">
        <v>1</v>
      </c>
      <c r="AH847" s="25">
        <f>(AB847*AC847*2+AB847*AD847*2+AC847*AD847*2)/AG847</f>
        <v>2904</v>
      </c>
      <c r="AI847" s="25">
        <f>AB847*AC847*AD847*AF847</f>
        <v>5324</v>
      </c>
      <c r="AJ847" s="21">
        <v>535.89333333333332</v>
      </c>
      <c r="AK847" s="21">
        <v>22</v>
      </c>
      <c r="AL847" s="22" t="s">
        <v>161</v>
      </c>
      <c r="AM847" s="22">
        <v>0.16</v>
      </c>
      <c r="AO847" s="22" t="s">
        <v>2282</v>
      </c>
      <c r="AP847" s="22" t="s">
        <v>230</v>
      </c>
      <c r="AQ847" s="22" t="str">
        <f t="shared" si="128"/>
        <v>Microphytoplankton</v>
      </c>
      <c r="AR847" s="22">
        <v>0</v>
      </c>
      <c r="AS847" s="22">
        <v>0</v>
      </c>
      <c r="AT847" s="22">
        <v>0</v>
      </c>
      <c r="AU847" s="22">
        <v>1</v>
      </c>
      <c r="AV847" s="22">
        <v>0</v>
      </c>
      <c r="AW847" s="22">
        <v>0</v>
      </c>
      <c r="AX847" s="22">
        <v>0</v>
      </c>
      <c r="AY847" s="22">
        <v>1</v>
      </c>
    </row>
    <row r="848" spans="1:57">
      <c r="A848" s="21" t="s">
        <v>2547</v>
      </c>
      <c r="B848" s="22" t="s">
        <v>663</v>
      </c>
      <c r="C848" s="22" t="s">
        <v>2223</v>
      </c>
      <c r="D848" s="22" t="s">
        <v>2224</v>
      </c>
      <c r="E848" s="23" t="s">
        <v>63</v>
      </c>
      <c r="F848" s="23" t="s">
        <v>2225</v>
      </c>
      <c r="G848" s="23" t="s">
        <v>2226</v>
      </c>
      <c r="H848" s="38" t="s">
        <v>2303</v>
      </c>
      <c r="I848" s="22" t="s">
        <v>2538</v>
      </c>
      <c r="J848" s="22" t="s">
        <v>211</v>
      </c>
      <c r="M848" s="22" t="s">
        <v>1</v>
      </c>
      <c r="N848" s="22" t="s">
        <v>2543</v>
      </c>
      <c r="O848" s="22" t="s">
        <v>2229</v>
      </c>
      <c r="P848" s="21">
        <v>80412</v>
      </c>
      <c r="Q848" s="21">
        <v>4</v>
      </c>
      <c r="R848" s="21">
        <v>4</v>
      </c>
      <c r="S848" s="21">
        <v>4</v>
      </c>
      <c r="T848" s="21" t="s">
        <v>246</v>
      </c>
      <c r="U848" s="21">
        <v>1</v>
      </c>
      <c r="V848" s="21">
        <v>1</v>
      </c>
      <c r="W848" s="25">
        <f t="shared" si="129"/>
        <v>50.24</v>
      </c>
      <c r="X848" s="25">
        <f t="shared" si="130"/>
        <v>33.493333333333332</v>
      </c>
      <c r="Y848" s="21">
        <v>8</v>
      </c>
      <c r="Z848" s="24">
        <f t="shared" si="126"/>
        <v>401.92</v>
      </c>
      <c r="AA848" s="24">
        <f t="shared" si="127"/>
        <v>267.94666666666666</v>
      </c>
      <c r="AB848" s="21">
        <v>30</v>
      </c>
      <c r="AC848" s="21">
        <v>30</v>
      </c>
      <c r="AD848" s="21">
        <v>30</v>
      </c>
      <c r="AE848" s="21" t="s">
        <v>330</v>
      </c>
      <c r="AF848" s="21">
        <v>0.5</v>
      </c>
      <c r="AG848" s="21">
        <v>1</v>
      </c>
      <c r="AH848" s="25">
        <f>(AB848*AC848*2+AB848*AD848*2+AC848*AD848*2)/AG848</f>
        <v>5400</v>
      </c>
      <c r="AI848" s="25">
        <f>AB848*AC848*AD848*AF848</f>
        <v>13500</v>
      </c>
      <c r="AJ848" s="21">
        <v>267.94666666666666</v>
      </c>
      <c r="AK848" s="21">
        <v>30</v>
      </c>
      <c r="AL848" s="22" t="s">
        <v>161</v>
      </c>
      <c r="AM848" s="22">
        <v>0.16</v>
      </c>
      <c r="AO848" s="22" t="s">
        <v>2282</v>
      </c>
      <c r="AP848" s="22" t="s">
        <v>162</v>
      </c>
      <c r="AQ848" s="22" t="str">
        <f t="shared" si="128"/>
        <v>Microphytoplankton</v>
      </c>
      <c r="AR848" s="22">
        <v>0</v>
      </c>
      <c r="AS848" s="22">
        <v>0</v>
      </c>
      <c r="AT848" s="22">
        <v>0</v>
      </c>
      <c r="AU848" s="22">
        <v>1</v>
      </c>
      <c r="AV848" s="22">
        <v>0</v>
      </c>
      <c r="AW848" s="22">
        <v>0</v>
      </c>
      <c r="AX848" s="22">
        <v>0</v>
      </c>
      <c r="AY848" s="22">
        <v>1</v>
      </c>
    </row>
    <row r="849" spans="1:51">
      <c r="A849" s="21" t="s">
        <v>2548</v>
      </c>
      <c r="B849" s="22" t="s">
        <v>663</v>
      </c>
      <c r="C849" s="22" t="s">
        <v>2223</v>
      </c>
      <c r="D849" s="22" t="s">
        <v>2224</v>
      </c>
      <c r="E849" s="23" t="s">
        <v>63</v>
      </c>
      <c r="F849" s="23" t="s">
        <v>2225</v>
      </c>
      <c r="G849" s="23" t="s">
        <v>2226</v>
      </c>
      <c r="H849" s="23" t="s">
        <v>2239</v>
      </c>
      <c r="I849" s="22" t="s">
        <v>2549</v>
      </c>
      <c r="J849" s="22" t="s">
        <v>2550</v>
      </c>
      <c r="N849" s="22" t="s">
        <v>2551</v>
      </c>
      <c r="O849" s="22" t="s">
        <v>2229</v>
      </c>
      <c r="P849" s="22">
        <v>85521</v>
      </c>
      <c r="Q849" s="21">
        <v>15</v>
      </c>
      <c r="R849" s="21">
        <v>9</v>
      </c>
      <c r="S849" s="21">
        <v>9</v>
      </c>
      <c r="T849" s="21" t="s">
        <v>159</v>
      </c>
      <c r="U849" s="21">
        <v>1</v>
      </c>
      <c r="V849" s="21">
        <v>1</v>
      </c>
      <c r="W849" s="24">
        <f t="shared" ref="W849:W854" si="131">(4*3.14*(((Q849^1.6*R849^1.6+Q849^1.6*S849^1.6+R849^1.6+S849^1.6)/3)^(1/1.6)))*(1/V849)</f>
        <v>1326.8047532317794</v>
      </c>
      <c r="X849" s="24">
        <f t="shared" ref="X849:X854" si="132">3.14/6*Q849*R849*S849*U849</f>
        <v>635.84999999999991</v>
      </c>
      <c r="Y849" s="21">
        <v>12</v>
      </c>
      <c r="Z849" s="24">
        <f t="shared" si="126"/>
        <v>15921.657038781352</v>
      </c>
      <c r="AA849" s="24">
        <f t="shared" si="127"/>
        <v>7630.1999999999989</v>
      </c>
      <c r="AB849" s="21">
        <v>60</v>
      </c>
      <c r="AC849" s="21">
        <v>20</v>
      </c>
      <c r="AD849" s="21">
        <v>9</v>
      </c>
      <c r="AE849" s="21" t="s">
        <v>159</v>
      </c>
      <c r="AF849" s="21">
        <v>0.9</v>
      </c>
      <c r="AG849" s="21">
        <v>1</v>
      </c>
      <c r="AH849" s="24">
        <f>(4*3.14*(((AB849^1.6*AC849^1.6+AB849^1.6*AD849^1.6+AC849^1.6+AD849^1.6)/3)^(1/1.6)))*(1/AG849)</f>
        <v>8852.95933009488</v>
      </c>
      <c r="AI849" s="24">
        <f>3.14/6*AB849*AC849*AD849*AF849</f>
        <v>5086.8</v>
      </c>
      <c r="AJ849" s="21">
        <v>1895.4</v>
      </c>
      <c r="AK849" s="21">
        <v>40</v>
      </c>
      <c r="AL849" s="22" t="s">
        <v>161</v>
      </c>
      <c r="AM849" s="22">
        <v>0.16</v>
      </c>
      <c r="AP849" s="22" t="s">
        <v>230</v>
      </c>
      <c r="AQ849" s="22" t="str">
        <f t="shared" si="128"/>
        <v>Microphytoplankton</v>
      </c>
      <c r="AR849" s="22">
        <v>0</v>
      </c>
      <c r="AS849" s="22">
        <v>0</v>
      </c>
      <c r="AT849" s="22">
        <v>0</v>
      </c>
      <c r="AU849" s="22">
        <v>1</v>
      </c>
      <c r="AV849" s="22">
        <v>0</v>
      </c>
      <c r="AW849" s="22">
        <v>0</v>
      </c>
      <c r="AX849" s="22">
        <v>0</v>
      </c>
      <c r="AY849" s="22">
        <v>1</v>
      </c>
    </row>
    <row r="850" spans="1:51">
      <c r="A850" s="22" t="s">
        <v>2552</v>
      </c>
      <c r="B850" s="22" t="s">
        <v>663</v>
      </c>
      <c r="C850" s="22" t="s">
        <v>2223</v>
      </c>
      <c r="D850" s="22" t="s">
        <v>2224</v>
      </c>
      <c r="E850" s="23" t="s">
        <v>63</v>
      </c>
      <c r="F850" s="23" t="s">
        <v>2225</v>
      </c>
      <c r="G850" s="23" t="s">
        <v>2226</v>
      </c>
      <c r="H850" s="23" t="s">
        <v>2239</v>
      </c>
      <c r="I850" s="22" t="s">
        <v>2553</v>
      </c>
      <c r="J850" s="22" t="s">
        <v>2554</v>
      </c>
      <c r="N850" s="22" t="s">
        <v>2555</v>
      </c>
      <c r="O850" s="22" t="s">
        <v>2229</v>
      </c>
      <c r="P850" s="22">
        <v>85524</v>
      </c>
      <c r="Q850" s="22">
        <v>10</v>
      </c>
      <c r="R850" s="22">
        <v>5</v>
      </c>
      <c r="S850" s="22">
        <v>4</v>
      </c>
      <c r="T850" s="21" t="s">
        <v>159</v>
      </c>
      <c r="U850" s="22">
        <v>1</v>
      </c>
      <c r="V850" s="22">
        <v>1</v>
      </c>
      <c r="W850" s="24">
        <f t="shared" si="131"/>
        <v>447.18134975474067</v>
      </c>
      <c r="X850" s="24">
        <f t="shared" si="132"/>
        <v>104.66666666666667</v>
      </c>
      <c r="Y850" s="22">
        <v>1</v>
      </c>
      <c r="Z850" s="24">
        <f t="shared" si="126"/>
        <v>447.18134975474067</v>
      </c>
      <c r="AA850" s="24">
        <f t="shared" si="127"/>
        <v>104.66666666666667</v>
      </c>
      <c r="AJ850" s="21">
        <v>130.83333333333331</v>
      </c>
      <c r="AK850" s="21">
        <v>10</v>
      </c>
      <c r="AL850" s="22" t="s">
        <v>161</v>
      </c>
      <c r="AM850" s="22">
        <v>0.16</v>
      </c>
      <c r="AQ850" s="22" t="str">
        <f t="shared" si="128"/>
        <v>Nanophytoplankton</v>
      </c>
      <c r="AR850" s="22">
        <v>0</v>
      </c>
      <c r="AS850" s="22">
        <v>0</v>
      </c>
      <c r="AT850" s="22">
        <v>0</v>
      </c>
      <c r="AU850" s="22">
        <v>0</v>
      </c>
      <c r="AV850" s="22">
        <v>0</v>
      </c>
      <c r="AW850" s="22">
        <v>0</v>
      </c>
      <c r="AX850" s="22">
        <v>0</v>
      </c>
      <c r="AY850" s="22">
        <v>1</v>
      </c>
    </row>
    <row r="851" spans="1:51">
      <c r="A851" s="22" t="s">
        <v>2556</v>
      </c>
      <c r="B851" s="22" t="s">
        <v>663</v>
      </c>
      <c r="C851" s="22" t="s">
        <v>2223</v>
      </c>
      <c r="D851" s="22" t="s">
        <v>2224</v>
      </c>
      <c r="E851" s="23" t="s">
        <v>63</v>
      </c>
      <c r="F851" s="23" t="s">
        <v>2225</v>
      </c>
      <c r="G851" s="23" t="s">
        <v>2226</v>
      </c>
      <c r="H851" s="23" t="s">
        <v>2239</v>
      </c>
      <c r="I851" s="22" t="s">
        <v>2553</v>
      </c>
      <c r="J851" s="22" t="s">
        <v>1492</v>
      </c>
      <c r="N851" s="22" t="s">
        <v>2557</v>
      </c>
      <c r="O851" s="22" t="s">
        <v>2229</v>
      </c>
      <c r="P851" s="22">
        <v>85525</v>
      </c>
      <c r="Q851" s="22">
        <v>15</v>
      </c>
      <c r="R851" s="22">
        <v>10</v>
      </c>
      <c r="S851" s="22">
        <v>4</v>
      </c>
      <c r="T851" s="21" t="s">
        <v>159</v>
      </c>
      <c r="U851" s="22">
        <v>1</v>
      </c>
      <c r="V851" s="22">
        <v>1</v>
      </c>
      <c r="W851" s="24">
        <f t="shared" si="131"/>
        <v>1088.4161954822312</v>
      </c>
      <c r="X851" s="24">
        <f t="shared" si="132"/>
        <v>314</v>
      </c>
      <c r="Y851" s="22">
        <v>1</v>
      </c>
      <c r="Z851" s="24">
        <f t="shared" si="126"/>
        <v>1088.4161954822312</v>
      </c>
      <c r="AA851" s="24">
        <f t="shared" si="127"/>
        <v>314</v>
      </c>
      <c r="AJ851" s="21">
        <v>784.99999999999989</v>
      </c>
      <c r="AK851" s="21">
        <v>15</v>
      </c>
      <c r="AL851" s="22" t="s">
        <v>161</v>
      </c>
      <c r="AM851" s="22">
        <v>0.16</v>
      </c>
      <c r="AQ851" s="22" t="str">
        <f t="shared" si="128"/>
        <v>Nanophytoplankton</v>
      </c>
      <c r="AR851" s="22">
        <v>0</v>
      </c>
      <c r="AS851" s="22">
        <v>0</v>
      </c>
      <c r="AT851" s="22">
        <v>0</v>
      </c>
      <c r="AU851" s="22">
        <v>0</v>
      </c>
      <c r="AV851" s="22">
        <v>0</v>
      </c>
      <c r="AW851" s="22">
        <v>0</v>
      </c>
      <c r="AX851" s="22">
        <v>0</v>
      </c>
      <c r="AY851" s="22">
        <v>1</v>
      </c>
    </row>
    <row r="852" spans="1:51">
      <c r="A852" s="21" t="s">
        <v>2558</v>
      </c>
      <c r="B852" s="22" t="s">
        <v>663</v>
      </c>
      <c r="C852" s="22" t="s">
        <v>2223</v>
      </c>
      <c r="D852" s="22" t="s">
        <v>2224</v>
      </c>
      <c r="E852" s="23" t="s">
        <v>63</v>
      </c>
      <c r="F852" s="23" t="s">
        <v>2370</v>
      </c>
      <c r="G852" s="23" t="s">
        <v>2371</v>
      </c>
      <c r="H852" s="23" t="s">
        <v>2372</v>
      </c>
      <c r="I852" s="22" t="s">
        <v>2559</v>
      </c>
      <c r="J852" s="22" t="s">
        <v>2560</v>
      </c>
      <c r="N852" s="22" t="s">
        <v>2561</v>
      </c>
      <c r="O852" s="22" t="s">
        <v>2229</v>
      </c>
      <c r="P852" s="22">
        <v>86100</v>
      </c>
      <c r="Q852" s="21">
        <v>10</v>
      </c>
      <c r="R852" s="21">
        <v>5</v>
      </c>
      <c r="S852" s="21">
        <v>5</v>
      </c>
      <c r="T852" s="21" t="s">
        <v>159</v>
      </c>
      <c r="U852" s="21">
        <v>1</v>
      </c>
      <c r="V852" s="21">
        <v>1</v>
      </c>
      <c r="W852" s="24">
        <f t="shared" si="131"/>
        <v>495.03567506413054</v>
      </c>
      <c r="X852" s="24">
        <f t="shared" si="132"/>
        <v>130.83333333333334</v>
      </c>
      <c r="Y852" s="21">
        <v>10</v>
      </c>
      <c r="Z852" s="24">
        <f t="shared" si="126"/>
        <v>4950.3567506413056</v>
      </c>
      <c r="AA852" s="24">
        <f t="shared" si="127"/>
        <v>1308.3333333333335</v>
      </c>
      <c r="AB852" s="21">
        <v>100</v>
      </c>
      <c r="AC852" s="21">
        <v>5</v>
      </c>
      <c r="AD852" s="21">
        <v>5</v>
      </c>
      <c r="AE852" s="21" t="s">
        <v>160</v>
      </c>
      <c r="AF852" s="21">
        <v>0.5</v>
      </c>
      <c r="AG852" s="21">
        <v>1</v>
      </c>
      <c r="AH852" s="24">
        <f>3.14*AC852*AB852+2*3.14*(AD852/2)^2/AG852</f>
        <v>1609.25</v>
      </c>
      <c r="AI852" s="25">
        <f>(3.14/4*AC852^2*AB852)*AF852</f>
        <v>981.25</v>
      </c>
      <c r="AJ852" s="21">
        <v>1767</v>
      </c>
      <c r="AK852" s="21">
        <v>100</v>
      </c>
      <c r="AL852" s="22" t="s">
        <v>161</v>
      </c>
      <c r="AM852" s="22">
        <v>0.16</v>
      </c>
      <c r="AN852" s="22" t="s">
        <v>1357</v>
      </c>
      <c r="AO852" s="22" t="s">
        <v>1357</v>
      </c>
      <c r="AQ852" s="22" t="str">
        <f t="shared" si="128"/>
        <v>Microphytoplankton</v>
      </c>
      <c r="AR852" s="22">
        <v>0</v>
      </c>
      <c r="AS852" s="22">
        <v>0</v>
      </c>
      <c r="AT852" s="22">
        <v>0</v>
      </c>
      <c r="AU852" s="22">
        <v>1</v>
      </c>
      <c r="AV852" s="22">
        <v>1</v>
      </c>
      <c r="AW852" s="22">
        <v>0</v>
      </c>
      <c r="AX852" s="22">
        <v>0</v>
      </c>
      <c r="AY852" s="22">
        <v>1</v>
      </c>
    </row>
    <row r="853" spans="1:51">
      <c r="A853" s="21" t="s">
        <v>2562</v>
      </c>
      <c r="B853" s="22" t="s">
        <v>663</v>
      </c>
      <c r="C853" s="22" t="s">
        <v>2223</v>
      </c>
      <c r="D853" s="22" t="s">
        <v>2224</v>
      </c>
      <c r="E853" s="23" t="s">
        <v>63</v>
      </c>
      <c r="F853" s="23" t="s">
        <v>2370</v>
      </c>
      <c r="G853" s="23" t="s">
        <v>2371</v>
      </c>
      <c r="H853" s="23" t="s">
        <v>2372</v>
      </c>
      <c r="I853" s="22" t="s">
        <v>2559</v>
      </c>
      <c r="J853" s="22" t="s">
        <v>2563</v>
      </c>
      <c r="N853" s="22" t="s">
        <v>2564</v>
      </c>
      <c r="O853" s="22" t="s">
        <v>2229</v>
      </c>
      <c r="P853" s="22">
        <v>86101</v>
      </c>
      <c r="Q853" s="21">
        <v>10</v>
      </c>
      <c r="R853" s="21">
        <v>5</v>
      </c>
      <c r="S853" s="21">
        <v>5</v>
      </c>
      <c r="T853" s="21" t="s">
        <v>159</v>
      </c>
      <c r="U853" s="21">
        <v>1</v>
      </c>
      <c r="V853" s="21">
        <v>1</v>
      </c>
      <c r="W853" s="24">
        <f t="shared" si="131"/>
        <v>495.03567506413054</v>
      </c>
      <c r="X853" s="24">
        <f t="shared" si="132"/>
        <v>130.83333333333334</v>
      </c>
      <c r="Y853" s="21">
        <v>10</v>
      </c>
      <c r="Z853" s="24">
        <f t="shared" si="126"/>
        <v>4950.3567506413056</v>
      </c>
      <c r="AA853" s="24">
        <f t="shared" si="127"/>
        <v>1308.3333333333335</v>
      </c>
      <c r="AB853" s="21">
        <v>100</v>
      </c>
      <c r="AC853" s="21">
        <v>5</v>
      </c>
      <c r="AD853" s="21">
        <v>5</v>
      </c>
      <c r="AE853" s="21" t="s">
        <v>160</v>
      </c>
      <c r="AF853" s="21">
        <v>0.5</v>
      </c>
      <c r="AG853" s="21">
        <v>1</v>
      </c>
      <c r="AH853" s="24">
        <f>3.14*AC853*AB853+2*3.14*(AD853/2)^2/AG853</f>
        <v>1609.25</v>
      </c>
      <c r="AI853" s="25">
        <f>(3.14/4*AC853^2*AB853)*AF853</f>
        <v>981.25</v>
      </c>
      <c r="AJ853" s="21">
        <v>1767</v>
      </c>
      <c r="AK853" s="21">
        <v>100</v>
      </c>
      <c r="AL853" s="22" t="s">
        <v>161</v>
      </c>
      <c r="AM853" s="22">
        <v>0.16</v>
      </c>
      <c r="AO853" s="22" t="s">
        <v>1357</v>
      </c>
      <c r="AQ853" s="22" t="str">
        <f t="shared" si="128"/>
        <v>Microphytoplankton</v>
      </c>
      <c r="AR853" s="22">
        <v>0</v>
      </c>
      <c r="AS853" s="22">
        <v>0</v>
      </c>
      <c r="AT853" s="22">
        <v>0</v>
      </c>
      <c r="AU853" s="22">
        <v>1</v>
      </c>
      <c r="AV853" s="22">
        <v>1</v>
      </c>
      <c r="AW853" s="22">
        <v>0</v>
      </c>
      <c r="AX853" s="22">
        <v>0</v>
      </c>
      <c r="AY853" s="22">
        <v>1</v>
      </c>
    </row>
    <row r="854" spans="1:51">
      <c r="A854" s="21" t="s">
        <v>2565</v>
      </c>
      <c r="B854" s="22" t="s">
        <v>663</v>
      </c>
      <c r="C854" s="22" t="s">
        <v>2223</v>
      </c>
      <c r="D854" s="22" t="s">
        <v>2224</v>
      </c>
      <c r="E854" s="23" t="s">
        <v>63</v>
      </c>
      <c r="F854" s="23" t="s">
        <v>2225</v>
      </c>
      <c r="G854" s="23" t="s">
        <v>2226</v>
      </c>
      <c r="H854" s="38" t="s">
        <v>2303</v>
      </c>
      <c r="I854" s="22" t="s">
        <v>2308</v>
      </c>
      <c r="J854" s="22" t="s">
        <v>211</v>
      </c>
      <c r="M854" s="22" t="s">
        <v>1</v>
      </c>
      <c r="N854" s="22" t="s">
        <v>228</v>
      </c>
      <c r="O854" s="22" t="s">
        <v>2229</v>
      </c>
      <c r="P854" s="22">
        <v>89801</v>
      </c>
      <c r="Q854" s="21">
        <v>10</v>
      </c>
      <c r="R854" s="21">
        <v>8</v>
      </c>
      <c r="S854" s="21">
        <v>8</v>
      </c>
      <c r="T854" s="21" t="s">
        <v>159</v>
      </c>
      <c r="U854" s="21">
        <v>1</v>
      </c>
      <c r="V854" s="21">
        <v>1</v>
      </c>
      <c r="W854" s="24">
        <f t="shared" si="131"/>
        <v>792.05708010260832</v>
      </c>
      <c r="X854" s="24">
        <f t="shared" si="132"/>
        <v>334.93333333333334</v>
      </c>
      <c r="Y854" s="21">
        <v>8</v>
      </c>
      <c r="Z854" s="24">
        <f t="shared" si="126"/>
        <v>6336.4566408208666</v>
      </c>
      <c r="AA854" s="24">
        <f t="shared" si="127"/>
        <v>2679.4666666666667</v>
      </c>
      <c r="AB854" s="21">
        <v>80</v>
      </c>
      <c r="AC854" s="21">
        <v>80</v>
      </c>
      <c r="AD854" s="21">
        <v>80</v>
      </c>
      <c r="AE854" s="21" t="s">
        <v>159</v>
      </c>
      <c r="AF854" s="21">
        <v>0.25</v>
      </c>
      <c r="AG854" s="21">
        <v>1</v>
      </c>
      <c r="AH854" s="24">
        <f>(4*3.14*(((AB854^1.6*AC854^1.6+AB854^1.6*AD854^1.6+AC854^1.6+AD854^1.6)/3)^(1/1.6)))*(1/AG854)</f>
        <v>62424.807943573913</v>
      </c>
      <c r="AI854" s="24">
        <f>3.14/6*AB854*AC854*AD854*AF854</f>
        <v>66986.666666666672</v>
      </c>
      <c r="AJ854" s="21">
        <v>2679.4</v>
      </c>
      <c r="AK854" s="21">
        <v>10</v>
      </c>
      <c r="AL854" s="22" t="s">
        <v>161</v>
      </c>
      <c r="AM854" s="22">
        <v>0.16</v>
      </c>
      <c r="AN854" s="22" t="s">
        <v>2282</v>
      </c>
      <c r="AO854" s="22" t="s">
        <v>2282</v>
      </c>
      <c r="AP854" s="22" t="s">
        <v>230</v>
      </c>
      <c r="AQ854" s="22" t="str">
        <f t="shared" si="128"/>
        <v>Nanophytoplankton</v>
      </c>
      <c r="AR854" s="22">
        <v>0</v>
      </c>
      <c r="AS854" s="22">
        <v>0</v>
      </c>
      <c r="AT854" s="22">
        <v>0</v>
      </c>
      <c r="AU854" s="22">
        <v>1</v>
      </c>
      <c r="AV854" s="22">
        <v>0</v>
      </c>
      <c r="AW854" s="22">
        <v>0</v>
      </c>
      <c r="AX854" s="22">
        <v>0</v>
      </c>
      <c r="AY854" s="22">
        <v>1</v>
      </c>
    </row>
    <row r="855" spans="1:51">
      <c r="A855" s="21" t="s">
        <v>2566</v>
      </c>
      <c r="B855" s="22" t="s">
        <v>663</v>
      </c>
      <c r="C855" s="22" t="s">
        <v>2223</v>
      </c>
      <c r="D855" s="22" t="s">
        <v>2224</v>
      </c>
      <c r="E855" s="23" t="s">
        <v>63</v>
      </c>
      <c r="F855" s="23" t="s">
        <v>2225</v>
      </c>
      <c r="G855" s="23" t="s">
        <v>2226</v>
      </c>
      <c r="H855" s="22" t="s">
        <v>2227</v>
      </c>
      <c r="I855" s="22" t="s">
        <v>2567</v>
      </c>
      <c r="J855" s="22" t="s">
        <v>2568</v>
      </c>
      <c r="N855" s="22" t="s">
        <v>409</v>
      </c>
      <c r="O855" s="22" t="s">
        <v>2229</v>
      </c>
      <c r="P855" s="22">
        <v>89810</v>
      </c>
      <c r="Q855" s="21">
        <v>15</v>
      </c>
      <c r="R855" s="21">
        <v>15</v>
      </c>
      <c r="S855" s="21">
        <v>15</v>
      </c>
      <c r="T855" s="21" t="s">
        <v>246</v>
      </c>
      <c r="U855" s="21">
        <v>1</v>
      </c>
      <c r="V855" s="21">
        <v>1</v>
      </c>
      <c r="W855" s="25">
        <f t="shared" ref="W855:W862" si="133">4*3.14*(R855/2)*(Q855/2)/V855</f>
        <v>706.5</v>
      </c>
      <c r="X855" s="25">
        <f t="shared" ref="X855:X862" si="134">(3.14/6*(Q855*S855*R855))*U855</f>
        <v>1766.25</v>
      </c>
      <c r="Y855" s="21">
        <v>1</v>
      </c>
      <c r="Z855" s="24">
        <f t="shared" si="126"/>
        <v>706.5</v>
      </c>
      <c r="AA855" s="24">
        <f t="shared" si="127"/>
        <v>1766.25</v>
      </c>
      <c r="AB855" s="21"/>
      <c r="AC855" s="21"/>
      <c r="AD855" s="21"/>
      <c r="AE855" s="21"/>
      <c r="AF855" s="21"/>
      <c r="AG855" s="21"/>
      <c r="AH855" s="24"/>
      <c r="AI855" s="24"/>
      <c r="AJ855" s="21">
        <v>2458.1999999999998</v>
      </c>
      <c r="AK855" s="21">
        <v>15</v>
      </c>
      <c r="AL855" s="22" t="s">
        <v>161</v>
      </c>
      <c r="AM855" s="22">
        <v>0.16</v>
      </c>
      <c r="AN855" s="22" t="s">
        <v>1364</v>
      </c>
      <c r="AO855" s="22" t="s">
        <v>1364</v>
      </c>
      <c r="AQ855" s="22" t="str">
        <f t="shared" si="128"/>
        <v>Nanophytoplankton</v>
      </c>
      <c r="AR855" s="22">
        <v>0</v>
      </c>
      <c r="AS855" s="22">
        <v>0</v>
      </c>
      <c r="AT855" s="22">
        <v>0</v>
      </c>
      <c r="AU855" s="22">
        <v>0</v>
      </c>
      <c r="AV855" s="22">
        <v>0</v>
      </c>
      <c r="AW855" s="22">
        <v>0</v>
      </c>
      <c r="AX855" s="22">
        <v>0</v>
      </c>
      <c r="AY855" s="22">
        <v>1</v>
      </c>
    </row>
    <row r="856" spans="1:51">
      <c r="A856" s="21" t="s">
        <v>2569</v>
      </c>
      <c r="B856" s="22" t="s">
        <v>663</v>
      </c>
      <c r="C856" s="22" t="s">
        <v>2223</v>
      </c>
      <c r="D856" s="22" t="s">
        <v>2224</v>
      </c>
      <c r="E856" s="23" t="s">
        <v>63</v>
      </c>
      <c r="F856" s="23" t="s">
        <v>2225</v>
      </c>
      <c r="G856" s="23" t="s">
        <v>2226</v>
      </c>
      <c r="H856" s="22" t="s">
        <v>2227</v>
      </c>
      <c r="I856" s="22" t="s">
        <v>2567</v>
      </c>
      <c r="J856" s="22" t="s">
        <v>897</v>
      </c>
      <c r="N856" s="22" t="s">
        <v>2570</v>
      </c>
      <c r="O856" s="22" t="s">
        <v>2229</v>
      </c>
      <c r="P856" s="22">
        <v>89815</v>
      </c>
      <c r="Q856" s="21">
        <v>12</v>
      </c>
      <c r="R856" s="21">
        <v>12</v>
      </c>
      <c r="S856" s="21">
        <v>12</v>
      </c>
      <c r="T856" s="21" t="s">
        <v>246</v>
      </c>
      <c r="U856" s="21">
        <v>1</v>
      </c>
      <c r="V856" s="21">
        <v>1</v>
      </c>
      <c r="W856" s="25">
        <f t="shared" si="133"/>
        <v>452.15999999999997</v>
      </c>
      <c r="X856" s="25">
        <f t="shared" si="134"/>
        <v>904.31999999999994</v>
      </c>
      <c r="Y856" s="21">
        <v>1</v>
      </c>
      <c r="Z856" s="24">
        <f t="shared" si="126"/>
        <v>452.15999999999997</v>
      </c>
      <c r="AA856" s="24">
        <f t="shared" si="127"/>
        <v>904.31999999999994</v>
      </c>
      <c r="AB856" s="21"/>
      <c r="AC856" s="21"/>
      <c r="AD856" s="21"/>
      <c r="AE856" s="21"/>
      <c r="AF856" s="21"/>
      <c r="AG856" s="21"/>
      <c r="AH856" s="24"/>
      <c r="AI856" s="24"/>
      <c r="AJ856" s="21">
        <v>982.3</v>
      </c>
      <c r="AK856" s="21">
        <v>12</v>
      </c>
      <c r="AL856" s="22" t="s">
        <v>161</v>
      </c>
      <c r="AM856" s="22">
        <v>0.16</v>
      </c>
      <c r="AN856" s="22" t="s">
        <v>1364</v>
      </c>
      <c r="AO856" s="22" t="s">
        <v>1364</v>
      </c>
      <c r="AQ856" s="22" t="str">
        <f t="shared" si="128"/>
        <v>Nanophytoplankton</v>
      </c>
      <c r="AR856" s="22">
        <v>0</v>
      </c>
      <c r="AS856" s="22">
        <v>0</v>
      </c>
      <c r="AT856" s="22">
        <v>0</v>
      </c>
      <c r="AU856" s="22">
        <v>0</v>
      </c>
      <c r="AV856" s="22">
        <v>0</v>
      </c>
      <c r="AW856" s="22">
        <v>0</v>
      </c>
      <c r="AX856" s="22">
        <v>0</v>
      </c>
      <c r="AY856" s="22">
        <v>1</v>
      </c>
    </row>
    <row r="857" spans="1:51">
      <c r="A857" s="21" t="s">
        <v>2571</v>
      </c>
      <c r="B857" s="22" t="s">
        <v>663</v>
      </c>
      <c r="C857" s="22" t="s">
        <v>2223</v>
      </c>
      <c r="D857" s="22" t="s">
        <v>2224</v>
      </c>
      <c r="E857" s="23" t="s">
        <v>63</v>
      </c>
      <c r="F857" s="23" t="s">
        <v>2225</v>
      </c>
      <c r="G857" s="23" t="s">
        <v>2226</v>
      </c>
      <c r="H857" s="22" t="s">
        <v>2227</v>
      </c>
      <c r="I857" s="22" t="s">
        <v>2572</v>
      </c>
      <c r="J857" s="22" t="s">
        <v>2573</v>
      </c>
      <c r="N857" s="22" t="s">
        <v>2574</v>
      </c>
      <c r="O857" s="22" t="s">
        <v>2229</v>
      </c>
      <c r="P857" s="22">
        <v>89816</v>
      </c>
      <c r="Q857" s="21">
        <v>7</v>
      </c>
      <c r="R857" s="21">
        <v>7</v>
      </c>
      <c r="S857" s="21">
        <v>7</v>
      </c>
      <c r="T857" s="21" t="s">
        <v>246</v>
      </c>
      <c r="U857" s="21">
        <v>1</v>
      </c>
      <c r="V857" s="21">
        <v>1</v>
      </c>
      <c r="W857" s="25">
        <f t="shared" si="133"/>
        <v>153.86000000000001</v>
      </c>
      <c r="X857" s="25">
        <f t="shared" si="134"/>
        <v>179.50333333333333</v>
      </c>
      <c r="Y857" s="21">
        <v>1</v>
      </c>
      <c r="Z857" s="24">
        <f t="shared" si="126"/>
        <v>153.86000000000001</v>
      </c>
      <c r="AA857" s="24">
        <f t="shared" si="127"/>
        <v>179.50333333333333</v>
      </c>
      <c r="AB857" s="21"/>
      <c r="AC857" s="21"/>
      <c r="AD857" s="21"/>
      <c r="AE857" s="21"/>
      <c r="AF857" s="21"/>
      <c r="AG857" s="21"/>
      <c r="AH857" s="24"/>
      <c r="AI857" s="24"/>
      <c r="AJ857" s="21">
        <v>179.50333333333333</v>
      </c>
      <c r="AK857" s="21">
        <v>7</v>
      </c>
      <c r="AL857" s="22" t="s">
        <v>161</v>
      </c>
      <c r="AM857" s="22">
        <v>0.16</v>
      </c>
      <c r="AO857" s="22" t="s">
        <v>1364</v>
      </c>
      <c r="AQ857" s="22" t="str">
        <f t="shared" si="128"/>
        <v>Nanophytoplankton</v>
      </c>
      <c r="AR857" s="22">
        <v>0</v>
      </c>
      <c r="AS857" s="22">
        <v>0</v>
      </c>
      <c r="AT857" s="22">
        <v>0</v>
      </c>
      <c r="AU857" s="22">
        <v>0</v>
      </c>
      <c r="AV857" s="22">
        <v>0</v>
      </c>
      <c r="AW857" s="22">
        <v>0</v>
      </c>
      <c r="AX857" s="22">
        <v>0</v>
      </c>
      <c r="AY857" s="22">
        <v>1</v>
      </c>
    </row>
    <row r="858" spans="1:51">
      <c r="A858" s="22" t="s">
        <v>2575</v>
      </c>
      <c r="B858" s="22" t="s">
        <v>663</v>
      </c>
      <c r="C858" s="22" t="s">
        <v>2223</v>
      </c>
      <c r="D858" s="22" t="s">
        <v>2224</v>
      </c>
      <c r="E858" s="23" t="s">
        <v>63</v>
      </c>
      <c r="F858" s="23" t="s">
        <v>2225</v>
      </c>
      <c r="G858" s="23" t="s">
        <v>2226</v>
      </c>
      <c r="H858" s="23" t="s">
        <v>2576</v>
      </c>
      <c r="I858" s="22" t="s">
        <v>2572</v>
      </c>
      <c r="J858" s="22" t="s">
        <v>2577</v>
      </c>
      <c r="N858" s="22" t="s">
        <v>2578</v>
      </c>
      <c r="O858" s="22" t="s">
        <v>2229</v>
      </c>
      <c r="P858" s="22">
        <v>81811</v>
      </c>
      <c r="Q858" s="22">
        <v>8</v>
      </c>
      <c r="R858" s="22">
        <v>8</v>
      </c>
      <c r="S858" s="22">
        <v>4</v>
      </c>
      <c r="T858" s="21" t="s">
        <v>246</v>
      </c>
      <c r="U858" s="21">
        <v>1</v>
      </c>
      <c r="V858" s="21">
        <v>1</v>
      </c>
      <c r="W858" s="25">
        <f t="shared" si="133"/>
        <v>200.96</v>
      </c>
      <c r="X858" s="25">
        <f t="shared" si="134"/>
        <v>133.97333333333333</v>
      </c>
      <c r="Y858" s="22">
        <v>1</v>
      </c>
      <c r="Z858" s="24">
        <f t="shared" si="126"/>
        <v>200.96</v>
      </c>
      <c r="AA858" s="24">
        <f t="shared" si="127"/>
        <v>133.97333333333333</v>
      </c>
      <c r="AJ858" s="21">
        <v>267.94666666666666</v>
      </c>
      <c r="AK858" s="21">
        <v>8</v>
      </c>
      <c r="AL858" s="22" t="s">
        <v>161</v>
      </c>
      <c r="AM858" s="22">
        <v>0.16</v>
      </c>
      <c r="AO858" s="22" t="s">
        <v>1364</v>
      </c>
      <c r="AQ858" s="22" t="str">
        <f t="shared" si="128"/>
        <v>Nanophytoplankton</v>
      </c>
      <c r="AR858" s="22">
        <v>0</v>
      </c>
      <c r="AS858" s="22">
        <v>0</v>
      </c>
      <c r="AT858" s="22">
        <v>0</v>
      </c>
      <c r="AU858" s="22">
        <v>0</v>
      </c>
      <c r="AV858" s="22">
        <v>0</v>
      </c>
      <c r="AW858" s="22">
        <v>0</v>
      </c>
      <c r="AX858" s="22">
        <v>0</v>
      </c>
      <c r="AY858" s="22">
        <v>1</v>
      </c>
    </row>
    <row r="859" spans="1:51">
      <c r="A859" s="22" t="s">
        <v>2579</v>
      </c>
      <c r="B859" s="22" t="s">
        <v>663</v>
      </c>
      <c r="C859" s="22" t="s">
        <v>2223</v>
      </c>
      <c r="D859" s="22" t="s">
        <v>2224</v>
      </c>
      <c r="E859" s="23" t="s">
        <v>63</v>
      </c>
      <c r="F859" s="23" t="s">
        <v>2225</v>
      </c>
      <c r="G859" s="23" t="s">
        <v>2226</v>
      </c>
      <c r="H859" s="23" t="s">
        <v>2576</v>
      </c>
      <c r="I859" s="22" t="s">
        <v>2572</v>
      </c>
      <c r="J859" s="22" t="s">
        <v>2580</v>
      </c>
      <c r="N859" s="22" t="s">
        <v>2581</v>
      </c>
      <c r="O859" s="22" t="s">
        <v>2229</v>
      </c>
      <c r="P859" s="22">
        <v>81814</v>
      </c>
      <c r="Q859" s="22">
        <v>7</v>
      </c>
      <c r="R859" s="22">
        <v>7</v>
      </c>
      <c r="S859" s="22">
        <v>7</v>
      </c>
      <c r="T859" s="21" t="s">
        <v>246</v>
      </c>
      <c r="U859" s="21">
        <v>1</v>
      </c>
      <c r="V859" s="21">
        <v>1</v>
      </c>
      <c r="W859" s="25">
        <f t="shared" si="133"/>
        <v>153.86000000000001</v>
      </c>
      <c r="X859" s="25">
        <f t="shared" si="134"/>
        <v>179.50333333333333</v>
      </c>
      <c r="Y859" s="22">
        <v>1</v>
      </c>
      <c r="Z859" s="24">
        <f t="shared" si="126"/>
        <v>153.86000000000001</v>
      </c>
      <c r="AA859" s="24">
        <f t="shared" si="127"/>
        <v>179.50333333333333</v>
      </c>
      <c r="AJ859" s="21">
        <v>179.50333333333333</v>
      </c>
      <c r="AK859" s="21">
        <v>7</v>
      </c>
      <c r="AL859" s="22" t="s">
        <v>161</v>
      </c>
      <c r="AM859" s="22">
        <v>0.16</v>
      </c>
      <c r="AO859" s="22" t="s">
        <v>1364</v>
      </c>
      <c r="AQ859" s="22" t="str">
        <f t="shared" si="128"/>
        <v>Nanophytoplankton</v>
      </c>
      <c r="AR859" s="22">
        <v>0</v>
      </c>
      <c r="AS859" s="22">
        <v>0</v>
      </c>
      <c r="AT859" s="22">
        <v>0</v>
      </c>
      <c r="AU859" s="22">
        <v>0</v>
      </c>
      <c r="AV859" s="22">
        <v>0</v>
      </c>
      <c r="AW859" s="22">
        <v>0</v>
      </c>
      <c r="AX859" s="22">
        <v>0</v>
      </c>
      <c r="AY859" s="22">
        <v>1</v>
      </c>
    </row>
    <row r="860" spans="1:51">
      <c r="A860" s="22" t="s">
        <v>2582</v>
      </c>
      <c r="B860" s="22" t="s">
        <v>663</v>
      </c>
      <c r="C860" s="22" t="s">
        <v>2223</v>
      </c>
      <c r="D860" s="22" t="s">
        <v>2224</v>
      </c>
      <c r="E860" s="23" t="s">
        <v>63</v>
      </c>
      <c r="F860" s="23" t="s">
        <v>2225</v>
      </c>
      <c r="G860" s="23" t="s">
        <v>2226</v>
      </c>
      <c r="H860" s="23" t="s">
        <v>2576</v>
      </c>
      <c r="I860" s="22" t="s">
        <v>2572</v>
      </c>
      <c r="J860" s="22" t="s">
        <v>207</v>
      </c>
      <c r="N860" s="22" t="s">
        <v>2578</v>
      </c>
      <c r="O860" s="22" t="s">
        <v>2229</v>
      </c>
      <c r="P860" s="22">
        <v>81812</v>
      </c>
      <c r="Q860" s="22">
        <v>9</v>
      </c>
      <c r="R860" s="22">
        <v>9</v>
      </c>
      <c r="S860" s="22">
        <v>4</v>
      </c>
      <c r="T860" s="21" t="s">
        <v>246</v>
      </c>
      <c r="U860" s="21">
        <v>1</v>
      </c>
      <c r="V860" s="21">
        <v>1</v>
      </c>
      <c r="W860" s="25">
        <f t="shared" si="133"/>
        <v>254.34</v>
      </c>
      <c r="X860" s="25">
        <f t="shared" si="134"/>
        <v>169.56</v>
      </c>
      <c r="Y860" s="22">
        <v>1</v>
      </c>
      <c r="Z860" s="24">
        <f t="shared" si="126"/>
        <v>254.34</v>
      </c>
      <c r="AA860" s="24">
        <f t="shared" si="127"/>
        <v>169.56</v>
      </c>
      <c r="AJ860" s="21">
        <v>381.51</v>
      </c>
      <c r="AK860" s="21">
        <v>9</v>
      </c>
      <c r="AL860" s="22" t="s">
        <v>161</v>
      </c>
      <c r="AM860" s="22">
        <v>0.16</v>
      </c>
      <c r="AO860" s="22" t="s">
        <v>1364</v>
      </c>
      <c r="AQ860" s="22" t="str">
        <f t="shared" si="128"/>
        <v>Nanophytoplankton</v>
      </c>
      <c r="AR860" s="22">
        <v>0</v>
      </c>
      <c r="AS860" s="22">
        <v>0</v>
      </c>
      <c r="AT860" s="22">
        <v>0</v>
      </c>
      <c r="AU860" s="22">
        <v>0</v>
      </c>
      <c r="AV860" s="22">
        <v>0</v>
      </c>
      <c r="AW860" s="22">
        <v>0</v>
      </c>
      <c r="AX860" s="22">
        <v>0</v>
      </c>
      <c r="AY860" s="22">
        <v>1</v>
      </c>
    </row>
    <row r="861" spans="1:51">
      <c r="A861" s="22" t="s">
        <v>2583</v>
      </c>
      <c r="B861" s="22" t="s">
        <v>663</v>
      </c>
      <c r="C861" s="22" t="s">
        <v>2223</v>
      </c>
      <c r="D861" s="22" t="s">
        <v>2224</v>
      </c>
      <c r="E861" s="23" t="s">
        <v>63</v>
      </c>
      <c r="F861" s="23" t="s">
        <v>2225</v>
      </c>
      <c r="G861" s="23" t="s">
        <v>2226</v>
      </c>
      <c r="H861" s="23" t="s">
        <v>2576</v>
      </c>
      <c r="I861" s="22" t="s">
        <v>2572</v>
      </c>
      <c r="J861" s="22" t="s">
        <v>211</v>
      </c>
      <c r="M861" s="22" t="s">
        <v>1</v>
      </c>
      <c r="N861" s="22" t="s">
        <v>2352</v>
      </c>
      <c r="O861" s="22" t="s">
        <v>2229</v>
      </c>
      <c r="P861" s="22">
        <v>81813</v>
      </c>
      <c r="Q861" s="22">
        <v>8</v>
      </c>
      <c r="R861" s="22">
        <v>8</v>
      </c>
      <c r="S861" s="22">
        <v>8</v>
      </c>
      <c r="T861" s="21" t="s">
        <v>246</v>
      </c>
      <c r="U861" s="21">
        <v>1</v>
      </c>
      <c r="V861" s="21">
        <v>1</v>
      </c>
      <c r="W861" s="25">
        <f t="shared" si="133"/>
        <v>200.96</v>
      </c>
      <c r="X861" s="25">
        <f t="shared" si="134"/>
        <v>267.94666666666666</v>
      </c>
      <c r="Y861" s="22">
        <v>1</v>
      </c>
      <c r="Z861" s="24">
        <f t="shared" si="126"/>
        <v>200.96</v>
      </c>
      <c r="AA861" s="24">
        <f t="shared" si="127"/>
        <v>267.94666666666666</v>
      </c>
      <c r="AJ861" s="21">
        <v>267.94666666666666</v>
      </c>
      <c r="AK861" s="21">
        <v>8</v>
      </c>
      <c r="AL861" s="22" t="s">
        <v>161</v>
      </c>
      <c r="AM861" s="22">
        <v>0.16</v>
      </c>
      <c r="AO861" s="22" t="s">
        <v>1364</v>
      </c>
      <c r="AQ861" s="22" t="str">
        <f t="shared" si="128"/>
        <v>Nanophytoplankton</v>
      </c>
      <c r="AR861" s="22">
        <v>0</v>
      </c>
      <c r="AS861" s="22">
        <v>0</v>
      </c>
      <c r="AT861" s="22">
        <v>0</v>
      </c>
      <c r="AU861" s="22">
        <v>0</v>
      </c>
      <c r="AV861" s="22">
        <v>0</v>
      </c>
      <c r="AW861" s="22">
        <v>0</v>
      </c>
      <c r="AX861" s="22">
        <v>0</v>
      </c>
      <c r="AY861" s="22">
        <v>1</v>
      </c>
    </row>
    <row r="862" spans="1:51">
      <c r="A862" s="21" t="s">
        <v>2584</v>
      </c>
      <c r="B862" s="22" t="s">
        <v>663</v>
      </c>
      <c r="C862" s="22" t="s">
        <v>2223</v>
      </c>
      <c r="D862" s="22" t="s">
        <v>2224</v>
      </c>
      <c r="E862" s="23" t="s">
        <v>63</v>
      </c>
      <c r="F862" s="23" t="s">
        <v>2225</v>
      </c>
      <c r="G862" s="23" t="s">
        <v>2284</v>
      </c>
      <c r="H862" s="23" t="s">
        <v>2585</v>
      </c>
      <c r="I862" s="22" t="s">
        <v>2586</v>
      </c>
      <c r="J862" s="22" t="s">
        <v>2587</v>
      </c>
      <c r="N862" s="22" t="s">
        <v>2588</v>
      </c>
      <c r="O862" s="22" t="s">
        <v>2229</v>
      </c>
      <c r="P862" s="21">
        <v>80500</v>
      </c>
      <c r="Q862" s="21">
        <v>8</v>
      </c>
      <c r="R862" s="21">
        <v>8</v>
      </c>
      <c r="S862" s="21">
        <v>8</v>
      </c>
      <c r="T862" s="21" t="s">
        <v>246</v>
      </c>
      <c r="U862" s="21">
        <v>1</v>
      </c>
      <c r="V862" s="21">
        <v>1</v>
      </c>
      <c r="W862" s="25">
        <f t="shared" si="133"/>
        <v>200.96</v>
      </c>
      <c r="X862" s="25">
        <f t="shared" si="134"/>
        <v>267.94666666666666</v>
      </c>
      <c r="Y862" s="21">
        <v>16</v>
      </c>
      <c r="Z862" s="24">
        <f t="shared" si="126"/>
        <v>3215.36</v>
      </c>
      <c r="AA862" s="24">
        <f t="shared" si="127"/>
        <v>4287.1466666666665</v>
      </c>
      <c r="AB862" s="21">
        <v>55</v>
      </c>
      <c r="AC862" s="21">
        <v>55</v>
      </c>
      <c r="AD862" s="21">
        <v>8</v>
      </c>
      <c r="AE862" s="21" t="s">
        <v>330</v>
      </c>
      <c r="AF862" s="21">
        <v>0.8</v>
      </c>
      <c r="AG862" s="21">
        <v>1</v>
      </c>
      <c r="AH862" s="25">
        <f>(AB862*AC862*2+AB862*AD862*2+AC862*AD862*2)/AG862</f>
        <v>7810</v>
      </c>
      <c r="AI862" s="25">
        <f>AB862*AC862*AD862*AF862</f>
        <v>19360</v>
      </c>
      <c r="AJ862" s="21">
        <v>4289.3</v>
      </c>
      <c r="AK862" s="21">
        <v>80</v>
      </c>
      <c r="AL862" s="22" t="s">
        <v>161</v>
      </c>
      <c r="AM862" s="22">
        <v>0.16</v>
      </c>
      <c r="AN862" s="22" t="s">
        <v>876</v>
      </c>
      <c r="AO862" s="22" t="s">
        <v>876</v>
      </c>
      <c r="AP862" s="22" t="s">
        <v>673</v>
      </c>
      <c r="AQ862" s="22" t="str">
        <f t="shared" si="128"/>
        <v>Microphytoplankton</v>
      </c>
      <c r="AR862" s="22">
        <v>1</v>
      </c>
      <c r="AS862" s="22">
        <v>1</v>
      </c>
      <c r="AT862" s="22">
        <v>0</v>
      </c>
      <c r="AU862" s="22">
        <v>1</v>
      </c>
      <c r="AV862" s="22">
        <v>0</v>
      </c>
      <c r="AW862" s="22">
        <v>0</v>
      </c>
      <c r="AX862" s="22">
        <v>0</v>
      </c>
      <c r="AY862" s="22">
        <v>1</v>
      </c>
    </row>
    <row r="863" spans="1:51">
      <c r="A863" s="22" t="s">
        <v>2589</v>
      </c>
      <c r="B863" s="22" t="s">
        <v>663</v>
      </c>
      <c r="C863" s="22" t="s">
        <v>2223</v>
      </c>
      <c r="D863" s="22" t="s">
        <v>2224</v>
      </c>
      <c r="E863" s="23" t="s">
        <v>63</v>
      </c>
      <c r="F863" s="23" t="s">
        <v>2225</v>
      </c>
      <c r="G863" s="23" t="s">
        <v>2226</v>
      </c>
      <c r="H863" s="23" t="s">
        <v>2239</v>
      </c>
      <c r="I863" s="22" t="s">
        <v>2590</v>
      </c>
      <c r="J863" s="22" t="s">
        <v>2591</v>
      </c>
      <c r="N863" s="22" t="s">
        <v>441</v>
      </c>
      <c r="O863" s="22" t="s">
        <v>2229</v>
      </c>
      <c r="P863" s="22">
        <v>85550</v>
      </c>
      <c r="Q863" s="22">
        <v>10</v>
      </c>
      <c r="R863" s="22">
        <v>6</v>
      </c>
      <c r="S863" s="22">
        <v>4</v>
      </c>
      <c r="T863" s="22" t="s">
        <v>159</v>
      </c>
      <c r="U863" s="21">
        <v>1</v>
      </c>
      <c r="V863" s="21">
        <v>1</v>
      </c>
      <c r="W863" s="24">
        <f>(4*3.14*(((Q863^1.6*R863^1.6+Q863^1.6*S863^1.6+R863^1.6+S863^1.6)/3)^(1/1.6)))*(1/V863)</f>
        <v>500.96603548780496</v>
      </c>
      <c r="X863" s="24">
        <f>3.14/6*Q863*R863*S863*U863</f>
        <v>125.6</v>
      </c>
      <c r="Y863" s="22">
        <v>1</v>
      </c>
      <c r="Z863" s="24">
        <f t="shared" si="126"/>
        <v>500.96603548780496</v>
      </c>
      <c r="AA863" s="24">
        <f t="shared" si="127"/>
        <v>125.6</v>
      </c>
      <c r="AJ863" s="21">
        <v>188.4</v>
      </c>
      <c r="AK863" s="21">
        <v>10</v>
      </c>
      <c r="AL863" s="22" t="s">
        <v>161</v>
      </c>
      <c r="AM863" s="22">
        <v>0.16</v>
      </c>
      <c r="AQ863" s="22" t="str">
        <f t="shared" si="128"/>
        <v>Nanophytoplankton</v>
      </c>
      <c r="AR863" s="22">
        <v>0</v>
      </c>
      <c r="AS863" s="22">
        <v>0</v>
      </c>
      <c r="AT863" s="22">
        <v>0</v>
      </c>
      <c r="AU863" s="22">
        <v>1</v>
      </c>
      <c r="AV863" s="22">
        <v>0</v>
      </c>
      <c r="AW863" s="22">
        <v>0</v>
      </c>
      <c r="AX863" s="22">
        <v>0</v>
      </c>
      <c r="AY863" s="22">
        <v>1</v>
      </c>
    </row>
    <row r="864" spans="1:51">
      <c r="A864" s="22" t="s">
        <v>2592</v>
      </c>
      <c r="B864" s="22" t="s">
        <v>663</v>
      </c>
      <c r="C864" s="22" t="s">
        <v>2223</v>
      </c>
      <c r="D864" s="22" t="s">
        <v>2224</v>
      </c>
      <c r="E864" s="23" t="s">
        <v>63</v>
      </c>
      <c r="F864" s="23" t="s">
        <v>2225</v>
      </c>
      <c r="G864" s="23" t="s">
        <v>2226</v>
      </c>
      <c r="H864" s="23" t="s">
        <v>2239</v>
      </c>
      <c r="I864" s="22" t="s">
        <v>2593</v>
      </c>
      <c r="J864" s="22" t="s">
        <v>816</v>
      </c>
      <c r="N864" s="22" t="s">
        <v>2594</v>
      </c>
      <c r="O864" s="22" t="s">
        <v>2229</v>
      </c>
      <c r="P864" s="22">
        <v>85551</v>
      </c>
      <c r="Q864" s="22">
        <v>12</v>
      </c>
      <c r="R864" s="22">
        <v>5</v>
      </c>
      <c r="S864" s="22">
        <v>4</v>
      </c>
      <c r="T864" s="22" t="s">
        <v>159</v>
      </c>
      <c r="U864" s="21">
        <v>1</v>
      </c>
      <c r="V864" s="21">
        <v>1</v>
      </c>
      <c r="W864" s="24">
        <f>(4*3.14*(((Q864^1.6*R864^1.6+Q864^1.6*S864^1.6+R864^1.6+S864^1.6)/3)^(1/1.6)))*(1/V864)</f>
        <v>534.53586996196566</v>
      </c>
      <c r="X864" s="24">
        <f>3.14/6*Q864*R864*S864*U864</f>
        <v>125.6</v>
      </c>
      <c r="Y864" s="22">
        <v>1</v>
      </c>
      <c r="Z864" s="24">
        <f t="shared" si="126"/>
        <v>534.53586996196566</v>
      </c>
      <c r="AA864" s="24">
        <f t="shared" si="127"/>
        <v>125.6</v>
      </c>
      <c r="AJ864" s="21">
        <v>157</v>
      </c>
      <c r="AK864" s="21">
        <v>12</v>
      </c>
      <c r="AL864" s="22" t="s">
        <v>161</v>
      </c>
      <c r="AM864" s="22">
        <v>0.16</v>
      </c>
      <c r="AQ864" s="22" t="str">
        <f t="shared" si="128"/>
        <v>Nanophytoplankton</v>
      </c>
      <c r="AR864" s="22">
        <v>0</v>
      </c>
      <c r="AS864" s="22">
        <v>0</v>
      </c>
      <c r="AT864" s="22">
        <v>0</v>
      </c>
      <c r="AU864" s="22">
        <v>1</v>
      </c>
      <c r="AV864" s="22">
        <v>0</v>
      </c>
      <c r="AW864" s="22">
        <v>0</v>
      </c>
      <c r="AX864" s="22">
        <v>0</v>
      </c>
      <c r="AY864" s="22">
        <v>1</v>
      </c>
    </row>
    <row r="865" spans="1:57">
      <c r="A865" s="22" t="s">
        <v>2595</v>
      </c>
      <c r="B865" s="22" t="s">
        <v>663</v>
      </c>
      <c r="C865" s="22" t="s">
        <v>2223</v>
      </c>
      <c r="D865" s="22" t="s">
        <v>2224</v>
      </c>
      <c r="E865" s="23" t="s">
        <v>63</v>
      </c>
      <c r="F865" s="23" t="s">
        <v>2225</v>
      </c>
      <c r="G865" s="23" t="s">
        <v>2226</v>
      </c>
      <c r="H865" s="23" t="s">
        <v>2239</v>
      </c>
      <c r="I865" s="22" t="s">
        <v>2593</v>
      </c>
      <c r="J865" s="22" t="s">
        <v>2596</v>
      </c>
      <c r="N865" s="22" t="s">
        <v>2597</v>
      </c>
      <c r="O865" s="22" t="s">
        <v>2229</v>
      </c>
      <c r="P865" s="22">
        <v>85552</v>
      </c>
      <c r="Q865" s="22">
        <v>12</v>
      </c>
      <c r="R865" s="22">
        <v>7</v>
      </c>
      <c r="S865" s="22">
        <v>4</v>
      </c>
      <c r="T865" s="22" t="s">
        <v>159</v>
      </c>
      <c r="U865" s="21">
        <v>1</v>
      </c>
      <c r="V865" s="21">
        <v>1</v>
      </c>
      <c r="W865" s="24">
        <f>(4*3.14*(((Q865^1.6*R865^1.6+Q865^1.6*S865^1.6+R865^1.6+S865^1.6)/3)^(1/1.6)))*(1/V865)</f>
        <v>665.39172262023988</v>
      </c>
      <c r="X865" s="24">
        <f>3.14/6*Q865*R865*S865*U865</f>
        <v>175.83999999999997</v>
      </c>
      <c r="Y865" s="22">
        <v>1</v>
      </c>
      <c r="Z865" s="24">
        <f t="shared" si="126"/>
        <v>665.39172262023988</v>
      </c>
      <c r="AA865" s="24">
        <f t="shared" si="127"/>
        <v>175.83999999999997</v>
      </c>
      <c r="AJ865" s="21">
        <v>307.71999999999997</v>
      </c>
      <c r="AK865" s="21">
        <v>12</v>
      </c>
      <c r="AL865" s="22" t="s">
        <v>161</v>
      </c>
      <c r="AM865" s="22">
        <v>0.16</v>
      </c>
      <c r="AQ865" s="22" t="str">
        <f t="shared" si="128"/>
        <v>Nanophytoplankton</v>
      </c>
      <c r="AR865" s="22">
        <v>0</v>
      </c>
      <c r="AS865" s="22">
        <v>0</v>
      </c>
      <c r="AT865" s="22">
        <v>0</v>
      </c>
      <c r="AU865" s="22">
        <v>1</v>
      </c>
      <c r="AV865" s="22">
        <v>0</v>
      </c>
      <c r="AW865" s="22">
        <v>0</v>
      </c>
      <c r="AX865" s="22">
        <v>0</v>
      </c>
      <c r="AY865" s="22">
        <v>1</v>
      </c>
    </row>
    <row r="866" spans="1:57">
      <c r="A866" s="21" t="s">
        <v>2598</v>
      </c>
      <c r="B866" s="22" t="s">
        <v>663</v>
      </c>
      <c r="C866" s="22" t="s">
        <v>2223</v>
      </c>
      <c r="D866" s="22" t="s">
        <v>2224</v>
      </c>
      <c r="E866" s="23" t="s">
        <v>63</v>
      </c>
      <c r="F866" s="23" t="s">
        <v>2225</v>
      </c>
      <c r="G866" s="23" t="s">
        <v>2226</v>
      </c>
      <c r="H866" s="22" t="s">
        <v>2311</v>
      </c>
      <c r="I866" s="22" t="s">
        <v>2599</v>
      </c>
      <c r="J866" s="38" t="s">
        <v>2600</v>
      </c>
      <c r="K866" s="38"/>
      <c r="L866" s="38"/>
      <c r="N866" s="22" t="s">
        <v>2352</v>
      </c>
      <c r="O866" s="22" t="s">
        <v>2229</v>
      </c>
      <c r="P866" s="21">
        <v>80510</v>
      </c>
      <c r="Q866" s="21">
        <v>6</v>
      </c>
      <c r="R866" s="21">
        <v>6</v>
      </c>
      <c r="S866" s="21">
        <v>6</v>
      </c>
      <c r="T866" s="21" t="s">
        <v>246</v>
      </c>
      <c r="U866" s="21">
        <v>1</v>
      </c>
      <c r="V866" s="21">
        <v>1</v>
      </c>
      <c r="W866" s="25">
        <f>4*3.14*(R866/2)*(Q866/2)/V866</f>
        <v>113.03999999999999</v>
      </c>
      <c r="X866" s="25">
        <f>(3.14/6*(Q866*S866*R866))*U866</f>
        <v>113.03999999999999</v>
      </c>
      <c r="Y866" s="21">
        <v>1</v>
      </c>
      <c r="Z866" s="24">
        <f t="shared" si="126"/>
        <v>113.03999999999999</v>
      </c>
      <c r="AA866" s="24">
        <f t="shared" si="127"/>
        <v>113.03999999999999</v>
      </c>
      <c r="AB866" s="21"/>
      <c r="AC866" s="21"/>
      <c r="AD866" s="21"/>
      <c r="AE866" s="21"/>
      <c r="AF866" s="21"/>
      <c r="AG866" s="21"/>
      <c r="AH866" s="24"/>
      <c r="AI866" s="24"/>
      <c r="AJ866" s="21">
        <v>113.1</v>
      </c>
      <c r="AK866" s="21">
        <v>6</v>
      </c>
      <c r="AL866" s="22" t="s">
        <v>161</v>
      </c>
      <c r="AM866" s="22">
        <v>0.16</v>
      </c>
      <c r="AN866" s="38"/>
      <c r="AP866" s="22" t="s">
        <v>626</v>
      </c>
      <c r="AQ866" s="22" t="str">
        <f t="shared" si="128"/>
        <v>Nanophytoplankton</v>
      </c>
      <c r="AR866" s="22">
        <v>0</v>
      </c>
      <c r="AS866" s="22">
        <v>0</v>
      </c>
      <c r="AT866" s="22">
        <v>0</v>
      </c>
      <c r="AU866" s="22">
        <v>1</v>
      </c>
      <c r="AV866" s="22">
        <v>0</v>
      </c>
      <c r="AW866" s="22">
        <v>0</v>
      </c>
      <c r="AX866" s="22">
        <v>0</v>
      </c>
      <c r="AY866" s="22">
        <v>1</v>
      </c>
    </row>
    <row r="867" spans="1:57">
      <c r="A867" s="21" t="s">
        <v>2601</v>
      </c>
      <c r="B867" s="22" t="s">
        <v>663</v>
      </c>
      <c r="C867" s="22" t="s">
        <v>2223</v>
      </c>
      <c r="D867" s="22" t="s">
        <v>2224</v>
      </c>
      <c r="E867" s="23" t="s">
        <v>63</v>
      </c>
      <c r="F867" s="23" t="s">
        <v>2225</v>
      </c>
      <c r="G867" s="23" t="s">
        <v>2226</v>
      </c>
      <c r="H867" s="22" t="s">
        <v>2253</v>
      </c>
      <c r="I867" s="22" t="s">
        <v>2602</v>
      </c>
      <c r="J867" s="22" t="s">
        <v>2603</v>
      </c>
      <c r="N867" s="22" t="s">
        <v>2604</v>
      </c>
      <c r="O867" s="22" t="s">
        <v>2229</v>
      </c>
      <c r="P867" s="21">
        <v>81710</v>
      </c>
      <c r="Q867" s="21">
        <v>35</v>
      </c>
      <c r="R867" s="21">
        <v>3</v>
      </c>
      <c r="S867" s="21">
        <v>3</v>
      </c>
      <c r="T867" s="21" t="s">
        <v>159</v>
      </c>
      <c r="U867" s="21">
        <v>0.6</v>
      </c>
      <c r="V867" s="21">
        <v>0.6</v>
      </c>
      <c r="W867" s="24">
        <f t="shared" ref="W867:W899" si="135">(4*3.14*(((Q867^1.6*R867^1.6+Q867^1.6*S867^1.6+R867^1.6+S867^1.6)/3)^(1/1.6)))*(1/V867)</f>
        <v>1709.5734379065595</v>
      </c>
      <c r="X867" s="24">
        <f>3.14/6*Q867*R867*S867*U867</f>
        <v>98.910000000000011</v>
      </c>
      <c r="Y867" s="21">
        <v>1</v>
      </c>
      <c r="Z867" s="24">
        <f t="shared" si="126"/>
        <v>1709.5734379065595</v>
      </c>
      <c r="AA867" s="24">
        <f t="shared" si="127"/>
        <v>98.910000000000011</v>
      </c>
      <c r="AB867" s="21"/>
      <c r="AC867" s="21"/>
      <c r="AD867" s="21"/>
      <c r="AE867" s="21"/>
      <c r="AF867" s="21"/>
      <c r="AG867" s="21"/>
      <c r="AH867" s="24"/>
      <c r="AI867" s="24"/>
      <c r="AJ867" s="21">
        <v>148.4</v>
      </c>
      <c r="AK867" s="21">
        <v>35</v>
      </c>
      <c r="AL867" s="22" t="s">
        <v>161</v>
      </c>
      <c r="AM867" s="22">
        <v>0.16</v>
      </c>
      <c r="AQ867" s="22" t="str">
        <f t="shared" si="128"/>
        <v>Microphytoplankton</v>
      </c>
      <c r="AR867" s="22">
        <v>0</v>
      </c>
      <c r="AS867" s="22">
        <v>0</v>
      </c>
      <c r="AT867" s="22">
        <v>0</v>
      </c>
      <c r="AU867" s="22">
        <v>0</v>
      </c>
      <c r="AV867" s="22">
        <v>0</v>
      </c>
      <c r="AW867" s="22">
        <v>1</v>
      </c>
      <c r="AX867" s="22">
        <v>0</v>
      </c>
      <c r="AY867" s="22">
        <v>0</v>
      </c>
    </row>
    <row r="868" spans="1:57">
      <c r="A868" s="21" t="s">
        <v>2605</v>
      </c>
      <c r="B868" s="22" t="s">
        <v>663</v>
      </c>
      <c r="C868" s="22" t="s">
        <v>2223</v>
      </c>
      <c r="D868" s="22" t="s">
        <v>2224</v>
      </c>
      <c r="E868" s="23" t="s">
        <v>63</v>
      </c>
      <c r="F868" s="23" t="s">
        <v>2225</v>
      </c>
      <c r="G868" s="23" t="s">
        <v>2226</v>
      </c>
      <c r="H868" s="22" t="s">
        <v>2253</v>
      </c>
      <c r="I868" s="22" t="s">
        <v>2606</v>
      </c>
      <c r="J868" s="21" t="s">
        <v>2607</v>
      </c>
      <c r="K868" s="21"/>
      <c r="L868" s="21"/>
      <c r="N868" s="22" t="s">
        <v>2608</v>
      </c>
      <c r="O868" s="22" t="s">
        <v>2229</v>
      </c>
      <c r="P868" s="22">
        <v>81440</v>
      </c>
      <c r="Q868" s="21">
        <v>15</v>
      </c>
      <c r="R868" s="21">
        <v>2.5</v>
      </c>
      <c r="S868" s="21">
        <v>2.5</v>
      </c>
      <c r="T868" s="21" t="s">
        <v>159</v>
      </c>
      <c r="U868" s="21">
        <v>0.8</v>
      </c>
      <c r="V868" s="21">
        <v>0.8</v>
      </c>
      <c r="W868" s="24">
        <f t="shared" si="135"/>
        <v>460.69609487214575</v>
      </c>
      <c r="X868" s="24">
        <f>3.14/6*Q868*R868*S868*U868</f>
        <v>39.25</v>
      </c>
      <c r="Y868" s="21">
        <v>1</v>
      </c>
      <c r="Z868" s="24">
        <f t="shared" si="126"/>
        <v>460.69609487214575</v>
      </c>
      <c r="AA868" s="24">
        <f t="shared" si="127"/>
        <v>39.25</v>
      </c>
      <c r="AB868" s="21"/>
      <c r="AC868" s="21"/>
      <c r="AD868" s="21"/>
      <c r="AE868" s="21"/>
      <c r="AF868" s="21"/>
      <c r="AG868" s="21"/>
      <c r="AH868" s="24"/>
      <c r="AI868" s="24"/>
      <c r="AJ868" s="21">
        <v>58.9</v>
      </c>
      <c r="AK868" s="21">
        <v>5</v>
      </c>
      <c r="AL868" s="22" t="s">
        <v>161</v>
      </c>
      <c r="AM868" s="22">
        <v>0.16</v>
      </c>
      <c r="AO868" s="22" t="s">
        <v>2282</v>
      </c>
      <c r="AP868" s="22" t="s">
        <v>626</v>
      </c>
      <c r="AQ868" s="22" t="str">
        <f t="shared" si="128"/>
        <v>Nanophytoplankton</v>
      </c>
      <c r="AR868" s="22">
        <v>0</v>
      </c>
      <c r="AS868" s="22">
        <v>0</v>
      </c>
      <c r="AT868" s="22">
        <v>0</v>
      </c>
      <c r="AU868" s="22">
        <v>1</v>
      </c>
      <c r="AV868" s="22">
        <v>0</v>
      </c>
      <c r="AW868" s="22">
        <v>0</v>
      </c>
      <c r="AX868" s="22">
        <v>0</v>
      </c>
      <c r="AY868" s="22">
        <v>1</v>
      </c>
      <c r="AZ868" s="22">
        <v>0</v>
      </c>
      <c r="BA868" s="22">
        <v>0</v>
      </c>
      <c r="BB868" s="22">
        <v>0</v>
      </c>
      <c r="BC868" s="22">
        <v>2</v>
      </c>
      <c r="BD868" s="22">
        <v>6</v>
      </c>
      <c r="BE868" s="22">
        <v>2</v>
      </c>
    </row>
    <row r="869" spans="1:57">
      <c r="A869" s="21" t="s">
        <v>2609</v>
      </c>
      <c r="B869" s="22" t="s">
        <v>663</v>
      </c>
      <c r="C869" s="22" t="s">
        <v>2223</v>
      </c>
      <c r="D869" s="22" t="s">
        <v>2224</v>
      </c>
      <c r="E869" s="23" t="s">
        <v>63</v>
      </c>
      <c r="F869" s="23" t="s">
        <v>2225</v>
      </c>
      <c r="G869" s="23" t="s">
        <v>2226</v>
      </c>
      <c r="H869" s="22" t="s">
        <v>2253</v>
      </c>
      <c r="I869" s="22" t="s">
        <v>2606</v>
      </c>
      <c r="J869" s="21" t="s">
        <v>2610</v>
      </c>
      <c r="K869" s="21"/>
      <c r="L869" s="21"/>
      <c r="N869" s="22" t="s">
        <v>2611</v>
      </c>
      <c r="O869" s="22" t="s">
        <v>2229</v>
      </c>
      <c r="P869" s="21">
        <v>81430</v>
      </c>
      <c r="Q869" s="21">
        <v>14</v>
      </c>
      <c r="R869" s="21">
        <v>3.5</v>
      </c>
      <c r="S869" s="21">
        <v>3.5</v>
      </c>
      <c r="T869" s="21" t="s">
        <v>159</v>
      </c>
      <c r="U869" s="21">
        <v>1</v>
      </c>
      <c r="V869" s="21">
        <v>1</v>
      </c>
      <c r="W869" s="24">
        <f t="shared" si="135"/>
        <v>482.03610926862802</v>
      </c>
      <c r="X869" s="24">
        <f>3.14/6*Q869*R869*S869*U869</f>
        <v>89.751666666666665</v>
      </c>
      <c r="Y869" s="21">
        <v>8</v>
      </c>
      <c r="Z869" s="24">
        <f t="shared" si="126"/>
        <v>3856.2888741490242</v>
      </c>
      <c r="AA869" s="24">
        <f t="shared" si="127"/>
        <v>718.01333333333332</v>
      </c>
      <c r="AB869" s="21">
        <v>50</v>
      </c>
      <c r="AC869" s="21">
        <v>50</v>
      </c>
      <c r="AD869" s="21">
        <v>50</v>
      </c>
      <c r="AE869" s="21" t="s">
        <v>159</v>
      </c>
      <c r="AF869" s="21">
        <v>0.5</v>
      </c>
      <c r="AG869" s="21">
        <v>1</v>
      </c>
      <c r="AH869" s="24">
        <f>(4*3.14*(((AB869^1.6*AC869^1.6+AB869^1.6*AD869^1.6+AC869^1.6+AD869^1.6)/3)^(1/1.6)))*(1/AG869)</f>
        <v>24400.082151651244</v>
      </c>
      <c r="AI869" s="24">
        <f>3.14/6*AB869*AC869*AD869*AF869</f>
        <v>32708.333333333332</v>
      </c>
      <c r="AJ869" s="21">
        <v>718.4</v>
      </c>
      <c r="AK869" s="21">
        <v>100</v>
      </c>
      <c r="AL869" s="22" t="s">
        <v>161</v>
      </c>
      <c r="AM869" s="22">
        <v>0.16</v>
      </c>
      <c r="AO869" s="22" t="s">
        <v>2282</v>
      </c>
      <c r="AP869" s="22" t="s">
        <v>230</v>
      </c>
      <c r="AQ869" s="22" t="str">
        <f t="shared" si="128"/>
        <v>Microphytoplankton</v>
      </c>
      <c r="AR869" s="22">
        <v>0</v>
      </c>
      <c r="AS869" s="22">
        <v>0</v>
      </c>
      <c r="AT869" s="22">
        <v>0</v>
      </c>
      <c r="AU869" s="22">
        <v>1</v>
      </c>
      <c r="AV869" s="22">
        <v>0</v>
      </c>
      <c r="AW869" s="22">
        <v>0</v>
      </c>
      <c r="AX869" s="22">
        <v>0</v>
      </c>
      <c r="AY869" s="22">
        <v>1</v>
      </c>
    </row>
    <row r="870" spans="1:57">
      <c r="A870" s="22" t="s">
        <v>2612</v>
      </c>
      <c r="B870" s="22" t="s">
        <v>663</v>
      </c>
      <c r="C870" s="22" t="s">
        <v>2223</v>
      </c>
      <c r="D870" s="22" t="s">
        <v>2224</v>
      </c>
      <c r="E870" s="23" t="s">
        <v>63</v>
      </c>
      <c r="F870" s="23" t="s">
        <v>2225</v>
      </c>
      <c r="G870" s="23" t="s">
        <v>2226</v>
      </c>
      <c r="H870" s="22" t="s">
        <v>2253</v>
      </c>
      <c r="I870" s="22" t="s">
        <v>2606</v>
      </c>
      <c r="J870" s="22" t="s">
        <v>2613</v>
      </c>
      <c r="N870" s="22" t="s">
        <v>2299</v>
      </c>
      <c r="O870" s="22" t="s">
        <v>2229</v>
      </c>
      <c r="P870" s="21">
        <v>81431</v>
      </c>
      <c r="Q870" s="22">
        <v>13</v>
      </c>
      <c r="R870" s="22">
        <v>4.5</v>
      </c>
      <c r="S870" s="22">
        <v>4.5</v>
      </c>
      <c r="T870" s="22" t="s">
        <v>281</v>
      </c>
      <c r="U870" s="22">
        <v>1</v>
      </c>
      <c r="V870" s="22">
        <v>1</v>
      </c>
      <c r="W870" s="24">
        <f t="shared" si="135"/>
        <v>576.14617149921457</v>
      </c>
      <c r="X870" s="24">
        <f>3.14/6*Q870*R870*S870*U870</f>
        <v>137.76749999999998</v>
      </c>
      <c r="Y870" s="22">
        <v>8</v>
      </c>
      <c r="Z870" s="24">
        <f t="shared" si="126"/>
        <v>4609.1693719937166</v>
      </c>
      <c r="AA870" s="24">
        <f t="shared" si="127"/>
        <v>1102.1399999999999</v>
      </c>
      <c r="AB870" s="21">
        <v>50</v>
      </c>
      <c r="AC870" s="21">
        <v>50</v>
      </c>
      <c r="AD870" s="21">
        <v>50</v>
      </c>
      <c r="AE870" s="21" t="s">
        <v>159</v>
      </c>
      <c r="AF870" s="21">
        <v>0.5</v>
      </c>
      <c r="AG870" s="21">
        <v>1</v>
      </c>
      <c r="AH870" s="24">
        <f>(4*3.14*(((AB870^1.6*AC870^1.6+AB870^1.6*AD870^1.6+AC870^1.6+AD870^1.6)/3)^(1/1.6)))*(1/AG870)</f>
        <v>24400.082151651244</v>
      </c>
      <c r="AI870" s="24">
        <f>3.14/6*AB870*AC870*AD870*AF870</f>
        <v>32708.333333333332</v>
      </c>
      <c r="AJ870" s="21">
        <v>1100</v>
      </c>
      <c r="AK870" s="21">
        <v>20</v>
      </c>
      <c r="AL870" s="22" t="s">
        <v>161</v>
      </c>
      <c r="AM870" s="22">
        <v>0.16</v>
      </c>
      <c r="AO870" s="22" t="s">
        <v>2282</v>
      </c>
      <c r="AQ870" s="22" t="str">
        <f t="shared" si="128"/>
        <v>Microphytoplankton</v>
      </c>
      <c r="AR870" s="22">
        <v>0</v>
      </c>
      <c r="AS870" s="22">
        <v>0</v>
      </c>
      <c r="AT870" s="22">
        <v>0</v>
      </c>
      <c r="AU870" s="22">
        <v>1</v>
      </c>
      <c r="AV870" s="22">
        <v>0</v>
      </c>
      <c r="AW870" s="22">
        <v>0</v>
      </c>
      <c r="AX870" s="22">
        <v>0</v>
      </c>
      <c r="AY870" s="22">
        <v>1</v>
      </c>
    </row>
    <row r="871" spans="1:57">
      <c r="A871" s="22" t="s">
        <v>2614</v>
      </c>
      <c r="B871" s="22" t="s">
        <v>663</v>
      </c>
      <c r="C871" s="22" t="s">
        <v>2223</v>
      </c>
      <c r="D871" s="22" t="s">
        <v>2224</v>
      </c>
      <c r="E871" s="23" t="s">
        <v>63</v>
      </c>
      <c r="F871" s="23" t="s">
        <v>2225</v>
      </c>
      <c r="G871" s="23" t="s">
        <v>2226</v>
      </c>
      <c r="H871" s="22" t="s">
        <v>2253</v>
      </c>
      <c r="I871" s="22" t="s">
        <v>2606</v>
      </c>
      <c r="J871" s="22" t="s">
        <v>2615</v>
      </c>
      <c r="N871" s="22" t="s">
        <v>2616</v>
      </c>
      <c r="O871" s="22" t="s">
        <v>2229</v>
      </c>
      <c r="P871" s="21">
        <v>81432</v>
      </c>
      <c r="Q871" s="22">
        <v>20</v>
      </c>
      <c r="R871" s="22">
        <v>4</v>
      </c>
      <c r="S871" s="22">
        <v>4</v>
      </c>
      <c r="T871" s="22" t="s">
        <v>874</v>
      </c>
      <c r="U871" s="22">
        <v>1</v>
      </c>
      <c r="V871" s="22">
        <v>1</v>
      </c>
      <c r="W871" s="24">
        <f t="shared" si="135"/>
        <v>783.90324369688551</v>
      </c>
      <c r="X871" s="24">
        <f>3.14/12*R871*S871*Q871*U871</f>
        <v>83.733333333333334</v>
      </c>
      <c r="Y871" s="22">
        <v>1</v>
      </c>
      <c r="Z871" s="24">
        <f t="shared" si="126"/>
        <v>783.90324369688551</v>
      </c>
      <c r="AA871" s="24">
        <f t="shared" si="127"/>
        <v>83.733333333333334</v>
      </c>
      <c r="AJ871" s="21">
        <v>83.733333333333334</v>
      </c>
      <c r="AK871" s="21">
        <v>20</v>
      </c>
      <c r="AL871" s="22" t="s">
        <v>161</v>
      </c>
      <c r="AM871" s="22">
        <v>0.16</v>
      </c>
      <c r="AO871" s="22" t="s">
        <v>2282</v>
      </c>
      <c r="AP871" s="22" t="s">
        <v>626</v>
      </c>
      <c r="AQ871" s="22" t="str">
        <f t="shared" si="128"/>
        <v>Microphytoplankton</v>
      </c>
      <c r="AR871" s="22">
        <v>0</v>
      </c>
      <c r="AS871" s="22">
        <v>0</v>
      </c>
      <c r="AT871" s="22">
        <v>0</v>
      </c>
      <c r="AU871" s="22">
        <v>1</v>
      </c>
      <c r="AV871" s="22">
        <v>0</v>
      </c>
      <c r="AW871" s="22">
        <v>0</v>
      </c>
      <c r="AX871" s="22">
        <v>0</v>
      </c>
      <c r="AY871" s="22">
        <v>1</v>
      </c>
    </row>
    <row r="872" spans="1:57">
      <c r="A872" s="21" t="s">
        <v>2617</v>
      </c>
      <c r="B872" s="22" t="s">
        <v>663</v>
      </c>
      <c r="C872" s="22" t="s">
        <v>2223</v>
      </c>
      <c r="D872" s="22" t="s">
        <v>2224</v>
      </c>
      <c r="E872" s="23" t="s">
        <v>63</v>
      </c>
      <c r="F872" s="23" t="s">
        <v>2225</v>
      </c>
      <c r="G872" s="23" t="s">
        <v>2226</v>
      </c>
      <c r="H872" s="22" t="s">
        <v>2253</v>
      </c>
      <c r="I872" s="22" t="s">
        <v>2606</v>
      </c>
      <c r="J872" s="21" t="s">
        <v>2346</v>
      </c>
      <c r="K872" s="21"/>
      <c r="L872" s="21"/>
      <c r="N872" s="22" t="s">
        <v>2618</v>
      </c>
      <c r="O872" s="22" t="s">
        <v>2229</v>
      </c>
      <c r="P872" s="21">
        <v>81450</v>
      </c>
      <c r="Q872" s="21">
        <v>13</v>
      </c>
      <c r="R872" s="21">
        <v>4.5</v>
      </c>
      <c r="S872" s="21">
        <v>4.5</v>
      </c>
      <c r="T872" s="21" t="s">
        <v>159</v>
      </c>
      <c r="U872" s="22">
        <v>1</v>
      </c>
      <c r="V872" s="22">
        <v>1</v>
      </c>
      <c r="W872" s="24">
        <f t="shared" si="135"/>
        <v>576.14617149921457</v>
      </c>
      <c r="X872" s="24">
        <f t="shared" ref="X872:X877" si="136">3.14/6*Q872*R872*S872*U872</f>
        <v>137.76749999999998</v>
      </c>
      <c r="Y872" s="21">
        <v>8</v>
      </c>
      <c r="Z872" s="24">
        <f t="shared" si="126"/>
        <v>4609.1693719937166</v>
      </c>
      <c r="AA872" s="24">
        <f t="shared" si="127"/>
        <v>1102.1399999999999</v>
      </c>
      <c r="AB872" s="21">
        <v>50</v>
      </c>
      <c r="AC872" s="21">
        <v>50</v>
      </c>
      <c r="AD872" s="21">
        <v>50</v>
      </c>
      <c r="AE872" s="21" t="s">
        <v>159</v>
      </c>
      <c r="AF872" s="21">
        <v>0.5</v>
      </c>
      <c r="AG872" s="21">
        <v>1</v>
      </c>
      <c r="AH872" s="24">
        <f>(4*3.14*(((AB872^1.6*AC872^1.6+AB872^1.6*AD872^1.6+AC872^1.6+AD872^1.6)/3)^(1/1.6)))*(1/AG872)</f>
        <v>24400.082151651244</v>
      </c>
      <c r="AI872" s="24">
        <f>3.14/6*AB872*AC872*AD872*AF872</f>
        <v>32708.333333333332</v>
      </c>
      <c r="AJ872" s="21">
        <v>1102.7</v>
      </c>
      <c r="AK872" s="21">
        <v>13</v>
      </c>
      <c r="AL872" s="22" t="s">
        <v>161</v>
      </c>
      <c r="AM872" s="22">
        <v>0.16</v>
      </c>
      <c r="AO872" s="22" t="s">
        <v>2282</v>
      </c>
      <c r="AP872" s="22" t="s">
        <v>230</v>
      </c>
      <c r="AQ872" s="22" t="str">
        <f t="shared" si="128"/>
        <v>Nanophytoplankton</v>
      </c>
      <c r="AR872" s="22">
        <v>0</v>
      </c>
      <c r="AS872" s="22">
        <v>0</v>
      </c>
      <c r="AT872" s="22">
        <v>0</v>
      </c>
      <c r="AU872" s="22">
        <v>1</v>
      </c>
      <c r="AV872" s="22">
        <v>0</v>
      </c>
      <c r="AW872" s="22">
        <v>0</v>
      </c>
      <c r="AX872" s="22">
        <v>0</v>
      </c>
      <c r="AY872" s="22">
        <v>1</v>
      </c>
    </row>
    <row r="873" spans="1:57">
      <c r="A873" s="21" t="s">
        <v>2619</v>
      </c>
      <c r="B873" s="22" t="s">
        <v>663</v>
      </c>
      <c r="C873" s="22" t="s">
        <v>2223</v>
      </c>
      <c r="D873" s="22" t="s">
        <v>2224</v>
      </c>
      <c r="E873" s="23" t="s">
        <v>63</v>
      </c>
      <c r="F873" s="23" t="s">
        <v>2225</v>
      </c>
      <c r="G873" s="23" t="s">
        <v>2226</v>
      </c>
      <c r="H873" s="22" t="s">
        <v>2253</v>
      </c>
      <c r="I873" s="22" t="s">
        <v>2606</v>
      </c>
      <c r="J873" s="21" t="s">
        <v>2478</v>
      </c>
      <c r="K873" s="21"/>
      <c r="L873" s="21"/>
      <c r="N873" s="22" t="s">
        <v>2620</v>
      </c>
      <c r="O873" s="22" t="s">
        <v>2229</v>
      </c>
      <c r="P873" s="21">
        <v>81420</v>
      </c>
      <c r="Q873" s="21">
        <v>20</v>
      </c>
      <c r="R873" s="21">
        <v>5</v>
      </c>
      <c r="S873" s="21">
        <v>5</v>
      </c>
      <c r="T873" s="21" t="s">
        <v>159</v>
      </c>
      <c r="U873" s="22">
        <v>1</v>
      </c>
      <c r="V873" s="22">
        <v>1</v>
      </c>
      <c r="W873" s="24">
        <f t="shared" si="135"/>
        <v>979.87905462110689</v>
      </c>
      <c r="X873" s="24">
        <f t="shared" si="136"/>
        <v>261.66666666666669</v>
      </c>
      <c r="Y873" s="21">
        <v>8</v>
      </c>
      <c r="Z873" s="24">
        <f t="shared" si="126"/>
        <v>7839.0324369688551</v>
      </c>
      <c r="AA873" s="24">
        <f t="shared" si="127"/>
        <v>2093.3333333333335</v>
      </c>
      <c r="AB873" s="21">
        <v>70</v>
      </c>
      <c r="AC873" s="21">
        <v>70</v>
      </c>
      <c r="AD873" s="21">
        <v>70</v>
      </c>
      <c r="AE873" s="21" t="s">
        <v>159</v>
      </c>
      <c r="AF873" s="21">
        <v>0.5</v>
      </c>
      <c r="AG873" s="21">
        <v>1</v>
      </c>
      <c r="AH873" s="24">
        <f>(4*3.14*(((AB873^1.6*AC873^1.6+AB873^1.6*AD873^1.6+AC873^1.6+AD873^1.6)/3)^(1/1.6)))*(1/AG873)</f>
        <v>47800.40306583116</v>
      </c>
      <c r="AI873" s="24">
        <f>3.14/6*AB873*AC873*AD873*AF873</f>
        <v>89751.666666666672</v>
      </c>
      <c r="AJ873" s="21">
        <v>1047.2</v>
      </c>
      <c r="AK873" s="21">
        <v>50</v>
      </c>
      <c r="AL873" s="22" t="s">
        <v>161</v>
      </c>
      <c r="AM873" s="22">
        <v>0.16</v>
      </c>
      <c r="AN873" s="38"/>
      <c r="AO873" s="22" t="s">
        <v>2282</v>
      </c>
      <c r="AP873" s="22" t="s">
        <v>230</v>
      </c>
      <c r="AQ873" s="22" t="str">
        <f t="shared" si="128"/>
        <v>Microphytoplankton</v>
      </c>
      <c r="AR873" s="22">
        <v>0</v>
      </c>
      <c r="AS873" s="22">
        <v>0</v>
      </c>
      <c r="AT873" s="22">
        <v>0</v>
      </c>
      <c r="AU873" s="22">
        <v>1</v>
      </c>
      <c r="AV873" s="22">
        <v>0</v>
      </c>
      <c r="AW873" s="22">
        <v>0</v>
      </c>
      <c r="AX873" s="22">
        <v>0</v>
      </c>
      <c r="AY873" s="22">
        <v>1</v>
      </c>
      <c r="AZ873" s="22">
        <v>0</v>
      </c>
      <c r="BA873" s="22">
        <v>0</v>
      </c>
      <c r="BB873" s="22">
        <v>0</v>
      </c>
      <c r="BC873" s="22">
        <v>2</v>
      </c>
      <c r="BD873" s="22">
        <v>6</v>
      </c>
      <c r="BE873" s="22">
        <v>2</v>
      </c>
    </row>
    <row r="874" spans="1:57">
      <c r="A874" s="22" t="s">
        <v>2621</v>
      </c>
      <c r="B874" s="22" t="s">
        <v>663</v>
      </c>
      <c r="C874" s="22" t="s">
        <v>2223</v>
      </c>
      <c r="D874" s="22" t="s">
        <v>2224</v>
      </c>
      <c r="E874" s="23" t="s">
        <v>63</v>
      </c>
      <c r="F874" s="23" t="s">
        <v>2225</v>
      </c>
      <c r="G874" s="23" t="s">
        <v>2226</v>
      </c>
      <c r="H874" s="22" t="s">
        <v>2253</v>
      </c>
      <c r="I874" s="22" t="s">
        <v>2606</v>
      </c>
      <c r="J874" s="22" t="s">
        <v>2622</v>
      </c>
      <c r="N874" s="22" t="s">
        <v>2623</v>
      </c>
      <c r="O874" s="22" t="s">
        <v>2229</v>
      </c>
      <c r="P874" s="21">
        <v>81433</v>
      </c>
      <c r="Q874" s="22">
        <v>6.5</v>
      </c>
      <c r="R874" s="22">
        <v>1</v>
      </c>
      <c r="S874" s="22">
        <v>1</v>
      </c>
      <c r="T874" s="21" t="s">
        <v>159</v>
      </c>
      <c r="U874" s="22">
        <v>1</v>
      </c>
      <c r="V874" s="22">
        <v>1</v>
      </c>
      <c r="W874" s="24">
        <f t="shared" si="135"/>
        <v>65.328132958169107</v>
      </c>
      <c r="X874" s="24">
        <f t="shared" si="136"/>
        <v>3.4016666666666664</v>
      </c>
      <c r="Y874" s="22">
        <v>1</v>
      </c>
      <c r="Z874" s="24">
        <f t="shared" si="126"/>
        <v>65.328132958169107</v>
      </c>
      <c r="AA874" s="24">
        <f t="shared" si="127"/>
        <v>3.4016666666666664</v>
      </c>
      <c r="AJ874" s="21">
        <v>2.7213333333333334</v>
      </c>
      <c r="AK874" s="21">
        <v>6.5</v>
      </c>
      <c r="AL874" s="22" t="s">
        <v>161</v>
      </c>
      <c r="AM874" s="22">
        <v>0.16</v>
      </c>
      <c r="AO874" s="22" t="s">
        <v>2282</v>
      </c>
      <c r="AP874" s="22" t="s">
        <v>626</v>
      </c>
      <c r="AQ874" s="22" t="str">
        <f t="shared" si="128"/>
        <v>Nanophytoplankton</v>
      </c>
      <c r="AR874" s="22">
        <v>0</v>
      </c>
      <c r="AS874" s="22">
        <v>0</v>
      </c>
      <c r="AT874" s="22">
        <v>0</v>
      </c>
      <c r="AU874" s="22">
        <v>1</v>
      </c>
      <c r="AV874" s="22">
        <v>0</v>
      </c>
      <c r="AW874" s="22">
        <v>0</v>
      </c>
      <c r="AX874" s="22">
        <v>0</v>
      </c>
      <c r="AY874" s="22">
        <v>1</v>
      </c>
    </row>
    <row r="875" spans="1:57">
      <c r="A875" s="21" t="s">
        <v>2624</v>
      </c>
      <c r="B875" s="22" t="s">
        <v>663</v>
      </c>
      <c r="C875" s="22" t="s">
        <v>2223</v>
      </c>
      <c r="D875" s="22" t="s">
        <v>2224</v>
      </c>
      <c r="E875" s="23" t="s">
        <v>63</v>
      </c>
      <c r="F875" s="23" t="s">
        <v>2225</v>
      </c>
      <c r="G875" s="23" t="s">
        <v>2226</v>
      </c>
      <c r="H875" s="22" t="s">
        <v>2253</v>
      </c>
      <c r="I875" s="22" t="s">
        <v>2606</v>
      </c>
      <c r="J875" s="21" t="s">
        <v>2625</v>
      </c>
      <c r="K875" s="21"/>
      <c r="L875" s="21"/>
      <c r="N875" s="22" t="s">
        <v>2626</v>
      </c>
      <c r="O875" s="22" t="s">
        <v>2229</v>
      </c>
      <c r="P875" s="21">
        <v>81460</v>
      </c>
      <c r="Q875" s="21">
        <v>4</v>
      </c>
      <c r="R875" s="21">
        <v>1</v>
      </c>
      <c r="S875" s="21">
        <v>1</v>
      </c>
      <c r="T875" s="21" t="s">
        <v>159</v>
      </c>
      <c r="U875" s="22">
        <v>1</v>
      </c>
      <c r="V875" s="22">
        <v>1</v>
      </c>
      <c r="W875" s="24">
        <f t="shared" si="135"/>
        <v>41.593978386205748</v>
      </c>
      <c r="X875" s="24">
        <f t="shared" si="136"/>
        <v>2.0933333333333333</v>
      </c>
      <c r="Y875" s="21">
        <v>1</v>
      </c>
      <c r="Z875" s="24">
        <f t="shared" si="126"/>
        <v>41.593978386205748</v>
      </c>
      <c r="AA875" s="24">
        <f t="shared" si="127"/>
        <v>2.0933333333333333</v>
      </c>
      <c r="AB875" s="21"/>
      <c r="AC875" s="21"/>
      <c r="AD875" s="21"/>
      <c r="AE875" s="21"/>
      <c r="AF875" s="21"/>
      <c r="AG875" s="21"/>
      <c r="AH875" s="24"/>
      <c r="AI875" s="24"/>
      <c r="AJ875" s="21">
        <v>2.09</v>
      </c>
      <c r="AK875" s="21">
        <v>4</v>
      </c>
      <c r="AL875" s="22" t="s">
        <v>161</v>
      </c>
      <c r="AM875" s="22">
        <v>0.16</v>
      </c>
      <c r="AN875" s="38"/>
      <c r="AO875" s="22" t="s">
        <v>2282</v>
      </c>
      <c r="AP875" s="22" t="s">
        <v>626</v>
      </c>
      <c r="AQ875" s="22" t="str">
        <f t="shared" si="128"/>
        <v>Nanophytoplankton</v>
      </c>
      <c r="AR875" s="22">
        <v>0</v>
      </c>
      <c r="AS875" s="22">
        <v>0</v>
      </c>
      <c r="AT875" s="22">
        <v>0</v>
      </c>
      <c r="AU875" s="22">
        <v>1</v>
      </c>
      <c r="AV875" s="22">
        <v>0</v>
      </c>
      <c r="AW875" s="22">
        <v>0</v>
      </c>
      <c r="AX875" s="22">
        <v>0</v>
      </c>
      <c r="AY875" s="22">
        <v>1</v>
      </c>
    </row>
    <row r="876" spans="1:57">
      <c r="A876" s="21" t="s">
        <v>2627</v>
      </c>
      <c r="B876" s="22" t="s">
        <v>663</v>
      </c>
      <c r="C876" s="22" t="s">
        <v>2223</v>
      </c>
      <c r="D876" s="22" t="s">
        <v>2224</v>
      </c>
      <c r="E876" s="23" t="s">
        <v>63</v>
      </c>
      <c r="F876" s="23" t="s">
        <v>2225</v>
      </c>
      <c r="G876" s="23" t="s">
        <v>2226</v>
      </c>
      <c r="H876" s="22" t="s">
        <v>2253</v>
      </c>
      <c r="I876" s="22" t="s">
        <v>2606</v>
      </c>
      <c r="J876" s="21" t="s">
        <v>2628</v>
      </c>
      <c r="K876" s="21"/>
      <c r="L876" s="21"/>
      <c r="N876" s="22" t="s">
        <v>2629</v>
      </c>
      <c r="O876" s="22" t="s">
        <v>2229</v>
      </c>
      <c r="P876" s="21">
        <v>81410</v>
      </c>
      <c r="Q876" s="21">
        <v>27</v>
      </c>
      <c r="R876" s="21">
        <v>9</v>
      </c>
      <c r="S876" s="21">
        <v>9</v>
      </c>
      <c r="T876" s="21" t="s">
        <v>159</v>
      </c>
      <c r="U876" s="22">
        <v>1</v>
      </c>
      <c r="V876" s="22">
        <v>1</v>
      </c>
      <c r="W876" s="24">
        <f t="shared" si="135"/>
        <v>2376.4398075862186</v>
      </c>
      <c r="X876" s="24">
        <f t="shared" si="136"/>
        <v>1144.53</v>
      </c>
      <c r="Y876" s="21">
        <v>8</v>
      </c>
      <c r="Z876" s="24">
        <f t="shared" si="126"/>
        <v>19011.518460689749</v>
      </c>
      <c r="AA876" s="24">
        <f t="shared" si="127"/>
        <v>9156.24</v>
      </c>
      <c r="AB876" s="21">
        <v>80</v>
      </c>
      <c r="AC876" s="21">
        <v>80</v>
      </c>
      <c r="AD876" s="21">
        <v>80</v>
      </c>
      <c r="AE876" s="21" t="s">
        <v>159</v>
      </c>
      <c r="AF876" s="21">
        <v>0.5</v>
      </c>
      <c r="AG876" s="21">
        <v>1</v>
      </c>
      <c r="AH876" s="24">
        <f>(4*3.14*(((AB876^1.6*AC876^1.6+AB876^1.6*AD876^1.6+AC876^1.6+AD876^1.6)/3)^(1/1.6)))*(1/AG876)</f>
        <v>62424.807943573913</v>
      </c>
      <c r="AI876" s="24">
        <f>3.14/6*AB876*AC876*AD876*AF876</f>
        <v>133973.33333333334</v>
      </c>
      <c r="AJ876" s="21">
        <v>9160.9</v>
      </c>
      <c r="AK876" s="21">
        <v>100</v>
      </c>
      <c r="AL876" s="22" t="s">
        <v>161</v>
      </c>
      <c r="AM876" s="22">
        <v>0.16</v>
      </c>
      <c r="AN876" s="38"/>
      <c r="AO876" s="22" t="s">
        <v>2282</v>
      </c>
      <c r="AP876" s="22" t="s">
        <v>230</v>
      </c>
      <c r="AQ876" s="22" t="str">
        <f t="shared" si="128"/>
        <v>Microphytoplankton</v>
      </c>
      <c r="AR876" s="22">
        <v>0</v>
      </c>
      <c r="AS876" s="22">
        <v>0</v>
      </c>
      <c r="AT876" s="22">
        <v>0</v>
      </c>
      <c r="AU876" s="22">
        <v>1</v>
      </c>
      <c r="AV876" s="22">
        <v>0</v>
      </c>
      <c r="AW876" s="22">
        <v>0</v>
      </c>
      <c r="AX876" s="22">
        <v>0</v>
      </c>
      <c r="AY876" s="22">
        <v>1</v>
      </c>
      <c r="AZ876" s="22">
        <v>0</v>
      </c>
      <c r="BA876" s="22">
        <v>0</v>
      </c>
      <c r="BB876" s="22">
        <v>0</v>
      </c>
      <c r="BC876" s="22">
        <v>2</v>
      </c>
      <c r="BD876" s="22">
        <v>6</v>
      </c>
      <c r="BE876" s="22">
        <v>2</v>
      </c>
    </row>
    <row r="877" spans="1:57">
      <c r="A877" s="22" t="s">
        <v>2630</v>
      </c>
      <c r="B877" s="22" t="s">
        <v>663</v>
      </c>
      <c r="C877" s="22" t="s">
        <v>2223</v>
      </c>
      <c r="D877" s="22" t="s">
        <v>2224</v>
      </c>
      <c r="E877" s="23" t="s">
        <v>63</v>
      </c>
      <c r="F877" s="23" t="s">
        <v>2225</v>
      </c>
      <c r="G877" s="23" t="s">
        <v>2226</v>
      </c>
      <c r="H877" s="22" t="s">
        <v>2253</v>
      </c>
      <c r="I877" s="22" t="s">
        <v>2606</v>
      </c>
      <c r="J877" s="22" t="s">
        <v>2631</v>
      </c>
      <c r="N877" s="22" t="s">
        <v>2352</v>
      </c>
      <c r="O877" s="22" t="s">
        <v>2229</v>
      </c>
      <c r="P877" s="21">
        <v>81434</v>
      </c>
      <c r="Q877" s="22">
        <v>11</v>
      </c>
      <c r="R877" s="22">
        <v>2</v>
      </c>
      <c r="S877" s="22">
        <v>2</v>
      </c>
      <c r="T877" s="21" t="s">
        <v>159</v>
      </c>
      <c r="U877" s="22">
        <v>1</v>
      </c>
      <c r="V877" s="22">
        <v>1</v>
      </c>
      <c r="W877" s="24">
        <f t="shared" si="135"/>
        <v>217.34358681711916</v>
      </c>
      <c r="X877" s="24">
        <f t="shared" si="136"/>
        <v>23.026666666666667</v>
      </c>
      <c r="Y877" s="22">
        <v>1</v>
      </c>
      <c r="Z877" s="24">
        <f t="shared" si="126"/>
        <v>217.34358681711916</v>
      </c>
      <c r="AA877" s="24">
        <f t="shared" si="127"/>
        <v>23.026666666666667</v>
      </c>
      <c r="AJ877" s="21">
        <v>23.026666666666667</v>
      </c>
      <c r="AK877" s="21">
        <v>11</v>
      </c>
      <c r="AL877" s="22" t="s">
        <v>161</v>
      </c>
      <c r="AM877" s="22">
        <v>0.16</v>
      </c>
      <c r="AO877" s="22" t="s">
        <v>2282</v>
      </c>
      <c r="AP877" s="22" t="s">
        <v>626</v>
      </c>
      <c r="AQ877" s="22" t="str">
        <f t="shared" si="128"/>
        <v>Nanophytoplankton</v>
      </c>
      <c r="AR877" s="22">
        <v>0</v>
      </c>
      <c r="AS877" s="22">
        <v>0</v>
      </c>
      <c r="AT877" s="22">
        <v>0</v>
      </c>
      <c r="AU877" s="22">
        <v>1</v>
      </c>
      <c r="AV877" s="22">
        <v>0</v>
      </c>
      <c r="AW877" s="22">
        <v>0</v>
      </c>
      <c r="AX877" s="22">
        <v>0</v>
      </c>
      <c r="AY877" s="22">
        <v>1</v>
      </c>
    </row>
    <row r="878" spans="1:57">
      <c r="A878" s="22" t="s">
        <v>2632</v>
      </c>
      <c r="B878" s="22" t="s">
        <v>663</v>
      </c>
      <c r="C878" s="22" t="s">
        <v>2223</v>
      </c>
      <c r="D878" s="22" t="s">
        <v>2224</v>
      </c>
      <c r="E878" s="23" t="s">
        <v>63</v>
      </c>
      <c r="F878" s="23" t="s">
        <v>2225</v>
      </c>
      <c r="G878" s="23" t="s">
        <v>2226</v>
      </c>
      <c r="H878" s="23" t="s">
        <v>2267</v>
      </c>
      <c r="I878" s="22" t="s">
        <v>2633</v>
      </c>
      <c r="J878" s="22" t="s">
        <v>2634</v>
      </c>
      <c r="N878" s="22" t="s">
        <v>2635</v>
      </c>
      <c r="O878" s="22" t="s">
        <v>2229</v>
      </c>
      <c r="P878" s="21">
        <v>87013</v>
      </c>
      <c r="Q878" s="22">
        <v>280</v>
      </c>
      <c r="R878" s="22">
        <v>9</v>
      </c>
      <c r="S878" s="22">
        <v>4</v>
      </c>
      <c r="T878" s="22" t="s">
        <v>874</v>
      </c>
      <c r="U878" s="22">
        <v>1</v>
      </c>
      <c r="V878" s="22">
        <v>1</v>
      </c>
      <c r="W878" s="24">
        <f t="shared" si="135"/>
        <v>18526.203184340913</v>
      </c>
      <c r="X878" s="24">
        <f>3.14/12*R878*S878*Q878*U878</f>
        <v>2637.6</v>
      </c>
      <c r="Y878" s="22">
        <v>1</v>
      </c>
      <c r="Z878" s="24">
        <f t="shared" si="126"/>
        <v>18526.203184340913</v>
      </c>
      <c r="AA878" s="24">
        <f t="shared" si="127"/>
        <v>2637.6</v>
      </c>
      <c r="AJ878" s="21">
        <v>5934.6</v>
      </c>
      <c r="AK878" s="21">
        <v>280</v>
      </c>
      <c r="AL878" s="22" t="s">
        <v>161</v>
      </c>
      <c r="AM878" s="22">
        <v>0.16</v>
      </c>
      <c r="AQ878" s="22" t="str">
        <f t="shared" si="128"/>
        <v>Microphytoplankton</v>
      </c>
      <c r="AR878" s="22">
        <v>0</v>
      </c>
      <c r="AS878" s="22">
        <v>0</v>
      </c>
      <c r="AT878" s="22">
        <v>0</v>
      </c>
      <c r="AU878" s="22">
        <v>0</v>
      </c>
      <c r="AV878" s="22">
        <v>0</v>
      </c>
      <c r="AW878" s="22">
        <v>0</v>
      </c>
      <c r="AX878" s="22">
        <v>0</v>
      </c>
      <c r="AY878" s="22">
        <v>1</v>
      </c>
    </row>
    <row r="879" spans="1:57">
      <c r="A879" s="35" t="s">
        <v>2636</v>
      </c>
      <c r="B879" s="22" t="s">
        <v>663</v>
      </c>
      <c r="C879" s="22" t="s">
        <v>2223</v>
      </c>
      <c r="D879" s="22" t="s">
        <v>2224</v>
      </c>
      <c r="E879" s="23" t="s">
        <v>63</v>
      </c>
      <c r="F879" s="23" t="s">
        <v>2225</v>
      </c>
      <c r="G879" s="23" t="s">
        <v>2226</v>
      </c>
      <c r="H879" s="23" t="s">
        <v>2267</v>
      </c>
      <c r="I879" s="22" t="s">
        <v>2633</v>
      </c>
      <c r="J879" s="22" t="s">
        <v>528</v>
      </c>
      <c r="N879" s="22" t="s">
        <v>2637</v>
      </c>
      <c r="O879" s="22" t="s">
        <v>2229</v>
      </c>
      <c r="P879" s="21">
        <v>87011</v>
      </c>
      <c r="Q879" s="21">
        <v>53.5</v>
      </c>
      <c r="R879" s="21">
        <v>5</v>
      </c>
      <c r="S879" s="21">
        <v>5</v>
      </c>
      <c r="T879" s="21" t="s">
        <v>281</v>
      </c>
      <c r="U879" s="22">
        <v>1</v>
      </c>
      <c r="V879" s="22">
        <v>1</v>
      </c>
      <c r="W879" s="24">
        <f t="shared" si="135"/>
        <v>2610.4891676398402</v>
      </c>
      <c r="X879" s="24">
        <f>3.14/6*Q879*R879*S879*U879</f>
        <v>699.95833333333326</v>
      </c>
      <c r="Y879" s="22">
        <v>1</v>
      </c>
      <c r="Z879" s="24">
        <f t="shared" si="126"/>
        <v>2610.4891676398402</v>
      </c>
      <c r="AA879" s="24">
        <f t="shared" si="127"/>
        <v>699.95833333333326</v>
      </c>
      <c r="AC879" s="21"/>
      <c r="AD879" s="21"/>
      <c r="AE879" s="21"/>
      <c r="AF879" s="21"/>
      <c r="AG879" s="21"/>
      <c r="AH879" s="24"/>
      <c r="AI879" s="24"/>
      <c r="AJ879" s="21">
        <v>699.95833333333326</v>
      </c>
      <c r="AK879" s="21">
        <v>53.5</v>
      </c>
      <c r="AL879" s="22" t="s">
        <v>2512</v>
      </c>
      <c r="AM879" s="22">
        <v>0.16</v>
      </c>
      <c r="AQ879" s="22" t="str">
        <f t="shared" si="128"/>
        <v>Microphytoplankton</v>
      </c>
      <c r="AR879" s="22">
        <v>0</v>
      </c>
      <c r="AS879" s="22">
        <v>0</v>
      </c>
      <c r="AT879" s="22">
        <v>0</v>
      </c>
      <c r="AU879" s="22">
        <v>0</v>
      </c>
      <c r="AV879" s="22">
        <v>0</v>
      </c>
      <c r="AW879" s="22">
        <v>0</v>
      </c>
      <c r="AX879" s="22">
        <v>0</v>
      </c>
      <c r="AY879" s="22">
        <v>1</v>
      </c>
    </row>
    <row r="880" spans="1:57">
      <c r="A880" s="21" t="s">
        <v>2638</v>
      </c>
      <c r="B880" s="22" t="s">
        <v>663</v>
      </c>
      <c r="C880" s="22" t="s">
        <v>2223</v>
      </c>
      <c r="D880" s="22" t="s">
        <v>2224</v>
      </c>
      <c r="E880" s="23" t="s">
        <v>63</v>
      </c>
      <c r="F880" s="23" t="s">
        <v>2225</v>
      </c>
      <c r="G880" s="23" t="s">
        <v>2226</v>
      </c>
      <c r="H880" s="23" t="s">
        <v>2267</v>
      </c>
      <c r="I880" s="22" t="s">
        <v>2633</v>
      </c>
      <c r="J880" s="22" t="s">
        <v>2639</v>
      </c>
      <c r="N880" s="22" t="s">
        <v>2640</v>
      </c>
      <c r="O880" s="22" t="s">
        <v>2229</v>
      </c>
      <c r="P880" s="21">
        <v>87010</v>
      </c>
      <c r="Q880" s="21">
        <v>100</v>
      </c>
      <c r="R880" s="21">
        <v>5.6</v>
      </c>
      <c r="S880" s="21">
        <v>5.6</v>
      </c>
      <c r="T880" s="21" t="s">
        <v>281</v>
      </c>
      <c r="U880" s="22">
        <v>1</v>
      </c>
      <c r="V880" s="22">
        <v>1</v>
      </c>
      <c r="W880" s="24">
        <f t="shared" si="135"/>
        <v>5461.2472470944203</v>
      </c>
      <c r="X880" s="24">
        <f>3.14/6*Q880*R880*S880*U880</f>
        <v>1641.1733333333329</v>
      </c>
      <c r="Y880" s="22">
        <v>1</v>
      </c>
      <c r="Z880" s="24">
        <f t="shared" si="126"/>
        <v>5461.2472470944203</v>
      </c>
      <c r="AA880" s="24">
        <f t="shared" si="127"/>
        <v>1641.1733333333329</v>
      </c>
      <c r="AB880" s="21"/>
      <c r="AC880" s="21"/>
      <c r="AD880" s="21"/>
      <c r="AE880" s="21"/>
      <c r="AF880" s="21"/>
      <c r="AG880" s="21"/>
      <c r="AH880" s="24"/>
      <c r="AI880" s="24"/>
      <c r="AJ880" s="21">
        <v>1463</v>
      </c>
      <c r="AK880" s="21">
        <v>100</v>
      </c>
      <c r="AL880" s="22" t="s">
        <v>161</v>
      </c>
      <c r="AM880" s="22">
        <v>0.16</v>
      </c>
      <c r="AQ880" s="22" t="str">
        <f t="shared" si="128"/>
        <v>Microphytoplankton</v>
      </c>
      <c r="AR880" s="22">
        <v>0</v>
      </c>
      <c r="AS880" s="22">
        <v>0</v>
      </c>
      <c r="AT880" s="22">
        <v>0</v>
      </c>
      <c r="AU880" s="22">
        <v>0</v>
      </c>
      <c r="AV880" s="22">
        <v>0</v>
      </c>
      <c r="AW880" s="22">
        <v>0</v>
      </c>
      <c r="AX880" s="22">
        <v>0</v>
      </c>
      <c r="AY880" s="22">
        <v>1</v>
      </c>
    </row>
    <row r="881" spans="1:51">
      <c r="A881" s="22" t="s">
        <v>2641</v>
      </c>
      <c r="B881" s="22" t="s">
        <v>663</v>
      </c>
      <c r="C881" s="22" t="s">
        <v>2223</v>
      </c>
      <c r="D881" s="22" t="s">
        <v>2224</v>
      </c>
      <c r="E881" s="23" t="s">
        <v>63</v>
      </c>
      <c r="F881" s="23" t="s">
        <v>2225</v>
      </c>
      <c r="G881" s="23" t="s">
        <v>2226</v>
      </c>
      <c r="H881" s="23" t="s">
        <v>2267</v>
      </c>
      <c r="I881" s="22" t="s">
        <v>2633</v>
      </c>
      <c r="J881" s="22" t="s">
        <v>211</v>
      </c>
      <c r="M881" s="22" t="s">
        <v>1</v>
      </c>
      <c r="N881" s="22" t="s">
        <v>2642</v>
      </c>
      <c r="O881" s="22" t="s">
        <v>2229</v>
      </c>
      <c r="P881" s="21">
        <v>87012</v>
      </c>
      <c r="Q881" s="22">
        <v>60</v>
      </c>
      <c r="R881" s="22">
        <v>6</v>
      </c>
      <c r="S881" s="22">
        <v>6</v>
      </c>
      <c r="T881" s="22" t="s">
        <v>874</v>
      </c>
      <c r="U881" s="22">
        <v>1</v>
      </c>
      <c r="V881" s="22">
        <v>1</v>
      </c>
      <c r="W881" s="24">
        <f t="shared" si="135"/>
        <v>3512.5510065363915</v>
      </c>
      <c r="X881" s="24">
        <f>3.14/12*R881*S881*Q881*U881</f>
        <v>565.19999999999993</v>
      </c>
      <c r="Y881" s="22">
        <v>1</v>
      </c>
      <c r="Z881" s="24">
        <f t="shared" si="126"/>
        <v>3512.5510065363915</v>
      </c>
      <c r="AA881" s="24">
        <f t="shared" si="127"/>
        <v>565.19999999999993</v>
      </c>
      <c r="AJ881" s="21">
        <v>565.20000000000005</v>
      </c>
      <c r="AK881" s="21">
        <v>60</v>
      </c>
      <c r="AL881" s="22" t="s">
        <v>161</v>
      </c>
      <c r="AM881" s="22">
        <v>0.16</v>
      </c>
      <c r="AQ881" s="22" t="str">
        <f t="shared" si="128"/>
        <v>Microphytoplankton</v>
      </c>
      <c r="AR881" s="22">
        <v>0</v>
      </c>
      <c r="AS881" s="22">
        <v>0</v>
      </c>
      <c r="AT881" s="22">
        <v>0</v>
      </c>
      <c r="AU881" s="22">
        <v>0</v>
      </c>
      <c r="AV881" s="22">
        <v>0</v>
      </c>
      <c r="AW881" s="22">
        <v>0</v>
      </c>
      <c r="AX881" s="22">
        <v>0</v>
      </c>
      <c r="AY881" s="22">
        <v>1</v>
      </c>
    </row>
    <row r="882" spans="1:51">
      <c r="A882" s="22" t="s">
        <v>2643</v>
      </c>
      <c r="B882" s="22" t="s">
        <v>663</v>
      </c>
      <c r="C882" s="22" t="s">
        <v>2223</v>
      </c>
      <c r="D882" s="22" t="s">
        <v>2224</v>
      </c>
      <c r="E882" s="23" t="s">
        <v>63</v>
      </c>
      <c r="F882" s="23" t="s">
        <v>2225</v>
      </c>
      <c r="G882" s="23" t="s">
        <v>2226</v>
      </c>
      <c r="H882" s="38" t="s">
        <v>2239</v>
      </c>
      <c r="I882" s="22" t="s">
        <v>2644</v>
      </c>
      <c r="J882" s="22" t="s">
        <v>2645</v>
      </c>
      <c r="N882" s="22" t="s">
        <v>2646</v>
      </c>
      <c r="O882" s="22" t="s">
        <v>2229</v>
      </c>
      <c r="P882" s="22">
        <v>83614</v>
      </c>
      <c r="Q882" s="22">
        <v>8.5</v>
      </c>
      <c r="R882" s="22">
        <v>4</v>
      </c>
      <c r="S882" s="22">
        <v>4</v>
      </c>
      <c r="T882" s="22" t="s">
        <v>281</v>
      </c>
      <c r="U882" s="22">
        <v>1</v>
      </c>
      <c r="V882" s="22">
        <v>1</v>
      </c>
      <c r="W882" s="24">
        <f t="shared" si="135"/>
        <v>338.15313367704772</v>
      </c>
      <c r="X882" s="24">
        <f t="shared" ref="X882:X899" si="137">3.14/6*Q882*R882*S882*U882</f>
        <v>71.173333333333332</v>
      </c>
      <c r="Y882" s="22">
        <v>1</v>
      </c>
      <c r="Z882" s="24">
        <f t="shared" si="126"/>
        <v>338.15313367704772</v>
      </c>
      <c r="AA882" s="24">
        <f t="shared" si="127"/>
        <v>71.173333333333332</v>
      </c>
      <c r="AJ882" s="21">
        <v>71.173333333333332</v>
      </c>
      <c r="AK882" s="21">
        <v>8.5</v>
      </c>
      <c r="AL882" s="22" t="s">
        <v>161</v>
      </c>
      <c r="AM882" s="22">
        <v>0.16</v>
      </c>
      <c r="AP882" s="22" t="s">
        <v>162</v>
      </c>
      <c r="AQ882" s="22" t="str">
        <f t="shared" si="128"/>
        <v>Nanophytoplankton</v>
      </c>
      <c r="AR882" s="22">
        <v>0</v>
      </c>
      <c r="AS882" s="22">
        <v>0</v>
      </c>
      <c r="AT882" s="22">
        <v>0</v>
      </c>
      <c r="AU882" s="22">
        <v>0</v>
      </c>
      <c r="AV882" s="22">
        <v>0</v>
      </c>
      <c r="AW882" s="22">
        <v>0</v>
      </c>
      <c r="AX882" s="22">
        <v>0</v>
      </c>
      <c r="AY882" s="22">
        <v>1</v>
      </c>
    </row>
    <row r="883" spans="1:51">
      <c r="A883" s="21" t="s">
        <v>2647</v>
      </c>
      <c r="B883" s="22" t="s">
        <v>663</v>
      </c>
      <c r="C883" s="22" t="s">
        <v>2223</v>
      </c>
      <c r="D883" s="22" t="s">
        <v>2224</v>
      </c>
      <c r="E883" s="23" t="s">
        <v>63</v>
      </c>
      <c r="F883" s="23" t="s">
        <v>2225</v>
      </c>
      <c r="G883" s="23" t="s">
        <v>2226</v>
      </c>
      <c r="H883" s="38" t="s">
        <v>2239</v>
      </c>
      <c r="I883" s="22" t="s">
        <v>2644</v>
      </c>
      <c r="J883" s="21" t="s">
        <v>996</v>
      </c>
      <c r="K883" s="21"/>
      <c r="L883" s="21"/>
      <c r="N883" s="22" t="s">
        <v>2648</v>
      </c>
      <c r="O883" s="22" t="s">
        <v>2229</v>
      </c>
      <c r="P883" s="21">
        <v>83670</v>
      </c>
      <c r="Q883" s="21">
        <v>14</v>
      </c>
      <c r="R883" s="21">
        <v>5</v>
      </c>
      <c r="S883" s="21">
        <v>5</v>
      </c>
      <c r="T883" s="21" t="s">
        <v>281</v>
      </c>
      <c r="U883" s="22">
        <v>1</v>
      </c>
      <c r="V883" s="22">
        <v>1</v>
      </c>
      <c r="W883" s="24">
        <f t="shared" si="135"/>
        <v>688.62301324089731</v>
      </c>
      <c r="X883" s="24">
        <f t="shared" si="137"/>
        <v>183.16666666666666</v>
      </c>
      <c r="Y883" s="21">
        <v>4</v>
      </c>
      <c r="Z883" s="24">
        <f t="shared" si="126"/>
        <v>2754.4920529635892</v>
      </c>
      <c r="AA883" s="24">
        <f t="shared" si="127"/>
        <v>732.66666666666663</v>
      </c>
      <c r="AB883" s="21">
        <v>30</v>
      </c>
      <c r="AC883" s="21">
        <v>8</v>
      </c>
      <c r="AD883" s="21">
        <v>8</v>
      </c>
      <c r="AE883" s="21" t="s">
        <v>159</v>
      </c>
      <c r="AF883" s="21">
        <v>0.5</v>
      </c>
      <c r="AG883" s="21">
        <v>1</v>
      </c>
      <c r="AH883" s="24">
        <f>(4*3.14*(((AB883^1.6*AC883^1.6+AB883^1.6*AD883^1.6+AC883^1.6+AD883^1.6)/3)^(1/1.6)))*(1/AG883)</f>
        <v>2345.940185399169</v>
      </c>
      <c r="AI883" s="24">
        <f>3.14/6*AB883*AC883*AD883*AF883</f>
        <v>502.4</v>
      </c>
      <c r="AJ883" s="21">
        <v>1099.5999999999999</v>
      </c>
      <c r="AK883" s="21">
        <v>20</v>
      </c>
      <c r="AL883" s="22" t="s">
        <v>161</v>
      </c>
      <c r="AM883" s="22">
        <v>0.16</v>
      </c>
      <c r="AP883" s="22" t="s">
        <v>230</v>
      </c>
      <c r="AQ883" s="22" t="str">
        <f t="shared" si="128"/>
        <v>Microphytoplankton</v>
      </c>
      <c r="AR883" s="22">
        <v>0</v>
      </c>
      <c r="AS883" s="22">
        <v>0</v>
      </c>
      <c r="AT883" s="22">
        <v>0</v>
      </c>
      <c r="AU883" s="22">
        <v>0</v>
      </c>
      <c r="AV883" s="22">
        <v>0</v>
      </c>
      <c r="AW883" s="22">
        <v>0</v>
      </c>
      <c r="AX883" s="22">
        <v>0</v>
      </c>
      <c r="AY883" s="22">
        <v>1</v>
      </c>
    </row>
    <row r="884" spans="1:51">
      <c r="A884" s="21" t="s">
        <v>2649</v>
      </c>
      <c r="B884" s="22" t="s">
        <v>663</v>
      </c>
      <c r="C884" s="22" t="s">
        <v>2223</v>
      </c>
      <c r="D884" s="22" t="s">
        <v>2224</v>
      </c>
      <c r="E884" s="23" t="s">
        <v>63</v>
      </c>
      <c r="F884" s="23" t="s">
        <v>2225</v>
      </c>
      <c r="G884" s="23" t="s">
        <v>2226</v>
      </c>
      <c r="H884" s="38" t="s">
        <v>2239</v>
      </c>
      <c r="I884" s="22" t="s">
        <v>2644</v>
      </c>
      <c r="J884" s="21" t="s">
        <v>996</v>
      </c>
      <c r="K884" s="21"/>
      <c r="L884" s="21"/>
      <c r="N884" s="22" t="s">
        <v>2650</v>
      </c>
      <c r="O884" s="22" t="s">
        <v>2229</v>
      </c>
      <c r="P884" s="21">
        <v>83671</v>
      </c>
      <c r="Q884" s="21">
        <v>14</v>
      </c>
      <c r="R884" s="21">
        <v>5</v>
      </c>
      <c r="S884" s="21">
        <v>5</v>
      </c>
      <c r="T884" s="21" t="s">
        <v>159</v>
      </c>
      <c r="U884" s="22">
        <v>1</v>
      </c>
      <c r="V884" s="22">
        <v>1</v>
      </c>
      <c r="W884" s="24">
        <f t="shared" si="135"/>
        <v>688.62301324089731</v>
      </c>
      <c r="X884" s="24">
        <f t="shared" si="137"/>
        <v>183.16666666666666</v>
      </c>
      <c r="Y884" s="22">
        <v>1</v>
      </c>
      <c r="Z884" s="24">
        <f t="shared" si="126"/>
        <v>688.62301324089731</v>
      </c>
      <c r="AA884" s="24">
        <f t="shared" si="127"/>
        <v>183.16666666666666</v>
      </c>
      <c r="AB884" s="21"/>
      <c r="AC884" s="21"/>
      <c r="AD884" s="21"/>
      <c r="AE884" s="21"/>
      <c r="AF884" s="21"/>
      <c r="AG884" s="21"/>
      <c r="AH884" s="24"/>
      <c r="AI884" s="24"/>
      <c r="AJ884" s="21">
        <v>183.16666666666666</v>
      </c>
      <c r="AK884" s="21">
        <v>14</v>
      </c>
      <c r="AL884" s="22" t="s">
        <v>161</v>
      </c>
      <c r="AM884" s="22">
        <v>0.16</v>
      </c>
      <c r="AQ884" s="22" t="str">
        <f t="shared" si="128"/>
        <v>Nanophytoplankton</v>
      </c>
      <c r="AR884" s="22">
        <v>0</v>
      </c>
      <c r="AS884" s="22">
        <v>0</v>
      </c>
      <c r="AT884" s="22">
        <v>0</v>
      </c>
      <c r="AU884" s="22">
        <v>0</v>
      </c>
      <c r="AV884" s="22">
        <v>0</v>
      </c>
      <c r="AW884" s="22">
        <v>0</v>
      </c>
      <c r="AX884" s="22">
        <v>0</v>
      </c>
      <c r="AY884" s="22">
        <v>1</v>
      </c>
    </row>
    <row r="885" spans="1:51">
      <c r="A885" s="21" t="s">
        <v>2651</v>
      </c>
      <c r="B885" s="22" t="s">
        <v>663</v>
      </c>
      <c r="C885" s="22" t="s">
        <v>2223</v>
      </c>
      <c r="D885" s="22" t="s">
        <v>2224</v>
      </c>
      <c r="E885" s="23" t="s">
        <v>63</v>
      </c>
      <c r="F885" s="23" t="s">
        <v>2225</v>
      </c>
      <c r="G885" s="23" t="s">
        <v>2226</v>
      </c>
      <c r="H885" s="38" t="s">
        <v>2239</v>
      </c>
      <c r="I885" s="22" t="s">
        <v>2644</v>
      </c>
      <c r="J885" s="21" t="s">
        <v>2652</v>
      </c>
      <c r="K885" s="21"/>
      <c r="L885" s="21"/>
      <c r="N885" s="22" t="s">
        <v>2653</v>
      </c>
      <c r="O885" s="22" t="s">
        <v>2229</v>
      </c>
      <c r="P885" s="21">
        <v>83620</v>
      </c>
      <c r="Q885" s="21">
        <v>22</v>
      </c>
      <c r="R885" s="21">
        <v>15</v>
      </c>
      <c r="S885" s="21">
        <v>15</v>
      </c>
      <c r="T885" s="21" t="s">
        <v>281</v>
      </c>
      <c r="U885" s="22">
        <v>1</v>
      </c>
      <c r="V885" s="22">
        <v>1</v>
      </c>
      <c r="W885" s="24">
        <f t="shared" si="135"/>
        <v>3231.2512734485736</v>
      </c>
      <c r="X885" s="24">
        <f t="shared" si="137"/>
        <v>2590.5000000000005</v>
      </c>
      <c r="Y885" s="22">
        <v>1</v>
      </c>
      <c r="Z885" s="24">
        <f t="shared" si="126"/>
        <v>3231.2512734485736</v>
      </c>
      <c r="AA885" s="24">
        <f t="shared" si="127"/>
        <v>2590.5000000000005</v>
      </c>
      <c r="AB885" s="21"/>
      <c r="AC885" s="21"/>
      <c r="AD885" s="21"/>
      <c r="AE885" s="21"/>
      <c r="AF885" s="21"/>
      <c r="AG885" s="21"/>
      <c r="AH885" s="24"/>
      <c r="AI885" s="24"/>
      <c r="AJ885" s="21">
        <v>2591.8000000000002</v>
      </c>
      <c r="AK885" s="21">
        <v>70</v>
      </c>
      <c r="AL885" s="22" t="s">
        <v>161</v>
      </c>
      <c r="AM885" s="22">
        <v>0.16</v>
      </c>
      <c r="AN885" s="38"/>
      <c r="AP885" s="22" t="s">
        <v>230</v>
      </c>
      <c r="AQ885" s="22" t="str">
        <f t="shared" si="128"/>
        <v>Microphytoplankton</v>
      </c>
      <c r="AR885" s="22">
        <v>0</v>
      </c>
      <c r="AS885" s="22">
        <v>0</v>
      </c>
      <c r="AT885" s="22">
        <v>0</v>
      </c>
      <c r="AU885" s="22">
        <v>0</v>
      </c>
      <c r="AV885" s="22">
        <v>0</v>
      </c>
      <c r="AW885" s="22">
        <v>0</v>
      </c>
      <c r="AX885" s="22">
        <v>0</v>
      </c>
      <c r="AY885" s="22">
        <v>1</v>
      </c>
    </row>
    <row r="886" spans="1:51">
      <c r="A886" s="21" t="s">
        <v>2654</v>
      </c>
      <c r="B886" s="22" t="s">
        <v>663</v>
      </c>
      <c r="C886" s="22" t="s">
        <v>2223</v>
      </c>
      <c r="D886" s="22" t="s">
        <v>2224</v>
      </c>
      <c r="E886" s="23" t="s">
        <v>63</v>
      </c>
      <c r="F886" s="23" t="s">
        <v>2225</v>
      </c>
      <c r="G886" s="23" t="s">
        <v>2226</v>
      </c>
      <c r="H886" s="38" t="s">
        <v>2239</v>
      </c>
      <c r="I886" s="22" t="s">
        <v>2644</v>
      </c>
      <c r="J886" s="21" t="s">
        <v>2655</v>
      </c>
      <c r="K886" s="21"/>
      <c r="L886" s="21"/>
      <c r="N886" s="22" t="s">
        <v>2656</v>
      </c>
      <c r="O886" s="22" t="s">
        <v>2229</v>
      </c>
      <c r="P886" s="21">
        <v>83660</v>
      </c>
      <c r="Q886" s="21">
        <v>38</v>
      </c>
      <c r="R886" s="21">
        <v>30</v>
      </c>
      <c r="S886" s="21">
        <v>30</v>
      </c>
      <c r="T886" s="21" t="s">
        <v>281</v>
      </c>
      <c r="U886" s="22">
        <v>1</v>
      </c>
      <c r="V886" s="22">
        <v>1</v>
      </c>
      <c r="W886" s="24">
        <f t="shared" si="135"/>
        <v>11133.754974131576</v>
      </c>
      <c r="X886" s="24">
        <f t="shared" si="137"/>
        <v>17898</v>
      </c>
      <c r="Y886" s="22">
        <v>1</v>
      </c>
      <c r="Z886" s="24">
        <f t="shared" si="126"/>
        <v>11133.754974131576</v>
      </c>
      <c r="AA886" s="24">
        <f t="shared" si="127"/>
        <v>17898</v>
      </c>
      <c r="AB886" s="21"/>
      <c r="AC886" s="21"/>
      <c r="AD886" s="21"/>
      <c r="AE886" s="21"/>
      <c r="AF886" s="21"/>
      <c r="AG886" s="21"/>
      <c r="AH886" s="24"/>
      <c r="AI886" s="24"/>
      <c r="AJ886" s="21">
        <v>17907.099999999999</v>
      </c>
      <c r="AK886" s="21">
        <v>38</v>
      </c>
      <c r="AL886" s="22" t="s">
        <v>161</v>
      </c>
      <c r="AM886" s="22">
        <v>0.16</v>
      </c>
      <c r="AN886" s="38"/>
      <c r="AP886" s="22" t="s">
        <v>230</v>
      </c>
      <c r="AQ886" s="22" t="str">
        <f t="shared" si="128"/>
        <v>Microphytoplankton</v>
      </c>
      <c r="AR886" s="22">
        <v>0</v>
      </c>
      <c r="AS886" s="22">
        <v>0</v>
      </c>
      <c r="AT886" s="22">
        <v>0</v>
      </c>
      <c r="AU886" s="22">
        <v>0</v>
      </c>
      <c r="AV886" s="22">
        <v>0</v>
      </c>
      <c r="AW886" s="22">
        <v>0</v>
      </c>
      <c r="AX886" s="22">
        <v>0</v>
      </c>
      <c r="AY886" s="22">
        <v>1</v>
      </c>
    </row>
    <row r="887" spans="1:51">
      <c r="A887" s="21" t="s">
        <v>2657</v>
      </c>
      <c r="B887" s="22" t="s">
        <v>663</v>
      </c>
      <c r="C887" s="22" t="s">
        <v>2223</v>
      </c>
      <c r="D887" s="22" t="s">
        <v>2224</v>
      </c>
      <c r="E887" s="23" t="s">
        <v>63</v>
      </c>
      <c r="F887" s="23" t="s">
        <v>2225</v>
      </c>
      <c r="G887" s="23" t="s">
        <v>2226</v>
      </c>
      <c r="H887" s="38" t="s">
        <v>2239</v>
      </c>
      <c r="I887" s="22" t="s">
        <v>2644</v>
      </c>
      <c r="J887" s="21" t="s">
        <v>1219</v>
      </c>
      <c r="K887" s="21"/>
      <c r="L887" s="21"/>
      <c r="N887" s="22" t="s">
        <v>409</v>
      </c>
      <c r="O887" s="22" t="s">
        <v>2229</v>
      </c>
      <c r="P887" s="21">
        <v>83630</v>
      </c>
      <c r="Q887" s="21">
        <v>10</v>
      </c>
      <c r="R887" s="21">
        <v>5</v>
      </c>
      <c r="S887" s="21">
        <v>5</v>
      </c>
      <c r="T887" s="21" t="s">
        <v>281</v>
      </c>
      <c r="U887" s="22">
        <v>1</v>
      </c>
      <c r="V887" s="22">
        <v>1</v>
      </c>
      <c r="W887" s="24">
        <f t="shared" si="135"/>
        <v>495.03567506413054</v>
      </c>
      <c r="X887" s="24">
        <f t="shared" si="137"/>
        <v>130.83333333333334</v>
      </c>
      <c r="Y887" s="22">
        <v>1</v>
      </c>
      <c r="Z887" s="24">
        <f t="shared" si="126"/>
        <v>495.03567506413054</v>
      </c>
      <c r="AA887" s="24">
        <f t="shared" si="127"/>
        <v>130.83333333333334</v>
      </c>
      <c r="AB887" s="21"/>
      <c r="AC887" s="21"/>
      <c r="AD887" s="21"/>
      <c r="AE887" s="21"/>
      <c r="AF887" s="21"/>
      <c r="AG887" s="21"/>
      <c r="AH887" s="24"/>
      <c r="AI887" s="24"/>
      <c r="AJ887" s="21">
        <v>130.9</v>
      </c>
      <c r="AK887" s="21">
        <v>60</v>
      </c>
      <c r="AL887" s="22" t="s">
        <v>161</v>
      </c>
      <c r="AM887" s="22">
        <v>0.16</v>
      </c>
      <c r="AN887" s="38"/>
      <c r="AP887" s="22" t="s">
        <v>162</v>
      </c>
      <c r="AQ887" s="22" t="str">
        <f t="shared" si="128"/>
        <v>Microphytoplankton</v>
      </c>
      <c r="AR887" s="22">
        <v>0</v>
      </c>
      <c r="AS887" s="22">
        <v>0</v>
      </c>
      <c r="AT887" s="22">
        <v>0</v>
      </c>
      <c r="AU887" s="22">
        <v>0</v>
      </c>
      <c r="AV887" s="22">
        <v>0</v>
      </c>
      <c r="AW887" s="22">
        <v>0</v>
      </c>
      <c r="AX887" s="22">
        <v>0</v>
      </c>
      <c r="AY887" s="22">
        <v>1</v>
      </c>
    </row>
    <row r="888" spans="1:51">
      <c r="A888" s="21" t="s">
        <v>2658</v>
      </c>
      <c r="B888" s="22" t="s">
        <v>663</v>
      </c>
      <c r="C888" s="22" t="s">
        <v>2223</v>
      </c>
      <c r="D888" s="22" t="s">
        <v>2224</v>
      </c>
      <c r="E888" s="23" t="s">
        <v>63</v>
      </c>
      <c r="F888" s="23" t="s">
        <v>2225</v>
      </c>
      <c r="G888" s="23" t="s">
        <v>2226</v>
      </c>
      <c r="H888" s="38" t="s">
        <v>2239</v>
      </c>
      <c r="I888" s="22" t="s">
        <v>2644</v>
      </c>
      <c r="J888" s="21" t="s">
        <v>2116</v>
      </c>
      <c r="K888" s="21"/>
      <c r="L888" s="21"/>
      <c r="N888" s="22" t="s">
        <v>2659</v>
      </c>
      <c r="O888" s="22" t="s">
        <v>2229</v>
      </c>
      <c r="P888" s="21">
        <v>83610</v>
      </c>
      <c r="Q888" s="21">
        <v>12</v>
      </c>
      <c r="R888" s="21">
        <v>8</v>
      </c>
      <c r="S888" s="21">
        <v>8</v>
      </c>
      <c r="T888" s="21" t="s">
        <v>281</v>
      </c>
      <c r="U888" s="22">
        <v>1</v>
      </c>
      <c r="V888" s="22">
        <v>1</v>
      </c>
      <c r="W888" s="24">
        <f t="shared" si="135"/>
        <v>946.7812568757372</v>
      </c>
      <c r="X888" s="24">
        <f t="shared" si="137"/>
        <v>401.91999999999996</v>
      </c>
      <c r="Y888" s="22">
        <v>1</v>
      </c>
      <c r="Z888" s="24">
        <f t="shared" si="126"/>
        <v>946.7812568757372</v>
      </c>
      <c r="AA888" s="24">
        <f t="shared" si="127"/>
        <v>401.91999999999996</v>
      </c>
      <c r="AB888" s="21"/>
      <c r="AC888" s="21"/>
      <c r="AD888" s="21"/>
      <c r="AE888" s="21"/>
      <c r="AF888" s="21"/>
      <c r="AG888" s="21"/>
      <c r="AH888" s="24"/>
      <c r="AI888" s="24"/>
      <c r="AJ888" s="21">
        <v>402.1</v>
      </c>
      <c r="AK888" s="21">
        <v>90</v>
      </c>
      <c r="AL888" s="22" t="s">
        <v>161</v>
      </c>
      <c r="AM888" s="22">
        <v>0.16</v>
      </c>
      <c r="AN888" s="38"/>
      <c r="AP888" s="22" t="s">
        <v>162</v>
      </c>
      <c r="AQ888" s="22" t="str">
        <f t="shared" si="128"/>
        <v>Microphytoplankton</v>
      </c>
      <c r="AR888" s="22">
        <v>0</v>
      </c>
      <c r="AS888" s="22">
        <v>0</v>
      </c>
      <c r="AT888" s="22">
        <v>0</v>
      </c>
      <c r="AU888" s="22">
        <v>0</v>
      </c>
      <c r="AV888" s="22">
        <v>0</v>
      </c>
      <c r="AW888" s="22">
        <v>0</v>
      </c>
      <c r="AX888" s="22">
        <v>0</v>
      </c>
      <c r="AY888" s="22">
        <v>1</v>
      </c>
    </row>
    <row r="889" spans="1:51">
      <c r="A889" s="22" t="s">
        <v>2660</v>
      </c>
      <c r="B889" s="22" t="s">
        <v>663</v>
      </c>
      <c r="C889" s="22" t="s">
        <v>2223</v>
      </c>
      <c r="D889" s="22" t="s">
        <v>2224</v>
      </c>
      <c r="E889" s="23" t="s">
        <v>63</v>
      </c>
      <c r="F889" s="23" t="s">
        <v>2225</v>
      </c>
      <c r="G889" s="23" t="s">
        <v>2226</v>
      </c>
      <c r="H889" s="38" t="s">
        <v>2239</v>
      </c>
      <c r="I889" s="22" t="s">
        <v>2644</v>
      </c>
      <c r="J889" s="22" t="s">
        <v>844</v>
      </c>
      <c r="N889" s="22" t="s">
        <v>167</v>
      </c>
      <c r="O889" s="22" t="s">
        <v>2229</v>
      </c>
      <c r="P889" s="21">
        <v>83611</v>
      </c>
      <c r="Q889" s="22">
        <v>8.5</v>
      </c>
      <c r="R889" s="22">
        <v>6</v>
      </c>
      <c r="S889" s="22">
        <v>6</v>
      </c>
      <c r="T889" s="22" t="s">
        <v>159</v>
      </c>
      <c r="U889" s="22">
        <v>1</v>
      </c>
      <c r="V889" s="22">
        <v>1</v>
      </c>
      <c r="W889" s="24">
        <f t="shared" si="135"/>
        <v>507.22970051557144</v>
      </c>
      <c r="X889" s="24">
        <f t="shared" si="137"/>
        <v>160.13999999999999</v>
      </c>
      <c r="Y889" s="22">
        <v>1</v>
      </c>
      <c r="Z889" s="24">
        <f t="shared" si="126"/>
        <v>507.22970051557144</v>
      </c>
      <c r="AA889" s="24">
        <f t="shared" si="127"/>
        <v>160.13999999999999</v>
      </c>
      <c r="AJ889" s="21">
        <v>160.13999999999999</v>
      </c>
      <c r="AK889" s="21">
        <v>8.5</v>
      </c>
      <c r="AL889" s="22" t="s">
        <v>161</v>
      </c>
      <c r="AM889" s="22">
        <v>0.16</v>
      </c>
      <c r="AP889" s="22" t="s">
        <v>162</v>
      </c>
      <c r="AQ889" s="22" t="str">
        <f t="shared" si="128"/>
        <v>Nanophytoplankton</v>
      </c>
      <c r="AR889" s="22">
        <v>0</v>
      </c>
      <c r="AS889" s="22">
        <v>0</v>
      </c>
      <c r="AT889" s="22">
        <v>0</v>
      </c>
      <c r="AU889" s="22">
        <v>0</v>
      </c>
      <c r="AV889" s="22">
        <v>0</v>
      </c>
      <c r="AW889" s="22">
        <v>0</v>
      </c>
      <c r="AX889" s="22">
        <v>0</v>
      </c>
      <c r="AY889" s="22">
        <v>1</v>
      </c>
    </row>
    <row r="890" spans="1:51">
      <c r="A890" s="21" t="s">
        <v>2661</v>
      </c>
      <c r="B890" s="22" t="s">
        <v>663</v>
      </c>
      <c r="C890" s="22" t="s">
        <v>2223</v>
      </c>
      <c r="D890" s="22" t="s">
        <v>2224</v>
      </c>
      <c r="E890" s="23" t="s">
        <v>63</v>
      </c>
      <c r="F890" s="23" t="s">
        <v>2225</v>
      </c>
      <c r="G890" s="23" t="s">
        <v>2226</v>
      </c>
      <c r="H890" s="38" t="s">
        <v>2239</v>
      </c>
      <c r="I890" s="22" t="s">
        <v>2644</v>
      </c>
      <c r="J890" s="21" t="s">
        <v>2662</v>
      </c>
      <c r="K890" s="21"/>
      <c r="L890" s="21"/>
      <c r="N890" s="22" t="s">
        <v>1146</v>
      </c>
      <c r="O890" s="22" t="s">
        <v>2229</v>
      </c>
      <c r="P890" s="21">
        <v>83640</v>
      </c>
      <c r="Q890" s="21">
        <v>10</v>
      </c>
      <c r="R890" s="21">
        <v>5</v>
      </c>
      <c r="S890" s="21">
        <v>5</v>
      </c>
      <c r="T890" s="21" t="s">
        <v>281</v>
      </c>
      <c r="U890" s="22">
        <v>1</v>
      </c>
      <c r="V890" s="22">
        <v>1</v>
      </c>
      <c r="W890" s="24">
        <f t="shared" si="135"/>
        <v>495.03567506413054</v>
      </c>
      <c r="X890" s="24">
        <f t="shared" si="137"/>
        <v>130.83333333333334</v>
      </c>
      <c r="Y890" s="22">
        <v>1</v>
      </c>
      <c r="Z890" s="24">
        <f t="shared" si="126"/>
        <v>495.03567506413054</v>
      </c>
      <c r="AA890" s="24">
        <f t="shared" si="127"/>
        <v>130.83333333333334</v>
      </c>
      <c r="AB890" s="21"/>
      <c r="AC890" s="21"/>
      <c r="AD890" s="21"/>
      <c r="AE890" s="21"/>
      <c r="AF890" s="21"/>
      <c r="AG890" s="21"/>
      <c r="AH890" s="24"/>
      <c r="AI890" s="24"/>
      <c r="AJ890" s="21">
        <v>130.9</v>
      </c>
      <c r="AK890" s="21">
        <v>60</v>
      </c>
      <c r="AL890" s="22" t="s">
        <v>161</v>
      </c>
      <c r="AM890" s="22">
        <v>0.16</v>
      </c>
      <c r="AN890" s="38"/>
      <c r="AP890" s="22" t="s">
        <v>162</v>
      </c>
      <c r="AQ890" s="22" t="str">
        <f t="shared" si="128"/>
        <v>Microphytoplankton</v>
      </c>
      <c r="AR890" s="22">
        <v>0</v>
      </c>
      <c r="AS890" s="22">
        <v>0</v>
      </c>
      <c r="AT890" s="22">
        <v>0</v>
      </c>
      <c r="AU890" s="22">
        <v>0</v>
      </c>
      <c r="AV890" s="22">
        <v>0</v>
      </c>
      <c r="AW890" s="22">
        <v>0</v>
      </c>
      <c r="AX890" s="22">
        <v>0</v>
      </c>
      <c r="AY890" s="22">
        <v>1</v>
      </c>
    </row>
    <row r="891" spans="1:51">
      <c r="A891" s="22" t="s">
        <v>2663</v>
      </c>
      <c r="B891" s="22" t="s">
        <v>663</v>
      </c>
      <c r="C891" s="22" t="s">
        <v>2223</v>
      </c>
      <c r="D891" s="22" t="s">
        <v>2224</v>
      </c>
      <c r="E891" s="23" t="s">
        <v>63</v>
      </c>
      <c r="F891" s="23" t="s">
        <v>2225</v>
      </c>
      <c r="G891" s="23" t="s">
        <v>2226</v>
      </c>
      <c r="H891" s="38" t="s">
        <v>2239</v>
      </c>
      <c r="I891" s="22" t="s">
        <v>2644</v>
      </c>
      <c r="J891" s="22" t="s">
        <v>211</v>
      </c>
      <c r="M891" s="22" t="s">
        <v>1</v>
      </c>
      <c r="N891" s="22" t="s">
        <v>2664</v>
      </c>
      <c r="O891" s="22" t="s">
        <v>2229</v>
      </c>
      <c r="P891" s="21">
        <v>83612</v>
      </c>
      <c r="Q891" s="22">
        <v>10</v>
      </c>
      <c r="R891" s="22">
        <v>8</v>
      </c>
      <c r="S891" s="22">
        <v>8</v>
      </c>
      <c r="T891" s="22" t="s">
        <v>159</v>
      </c>
      <c r="U891" s="22">
        <v>1</v>
      </c>
      <c r="V891" s="22">
        <v>1</v>
      </c>
      <c r="W891" s="24">
        <f t="shared" si="135"/>
        <v>792.05708010260832</v>
      </c>
      <c r="X891" s="24">
        <f t="shared" si="137"/>
        <v>334.93333333333334</v>
      </c>
      <c r="Y891" s="22">
        <v>1</v>
      </c>
      <c r="Z891" s="24">
        <f t="shared" si="126"/>
        <v>792.05708010260832</v>
      </c>
      <c r="AA891" s="24">
        <f t="shared" si="127"/>
        <v>334.93333333333334</v>
      </c>
      <c r="AJ891" s="21">
        <v>334.93333333333334</v>
      </c>
      <c r="AK891" s="21">
        <v>10</v>
      </c>
      <c r="AL891" s="22" t="s">
        <v>161</v>
      </c>
      <c r="AM891" s="22">
        <v>0.16</v>
      </c>
      <c r="AP891" s="22" t="s">
        <v>162</v>
      </c>
      <c r="AQ891" s="22" t="str">
        <f t="shared" si="128"/>
        <v>Nanophytoplankton</v>
      </c>
      <c r="AR891" s="22">
        <v>0</v>
      </c>
      <c r="AS891" s="22">
        <v>0</v>
      </c>
      <c r="AT891" s="22">
        <v>0</v>
      </c>
      <c r="AU891" s="22">
        <v>0</v>
      </c>
      <c r="AV891" s="22">
        <v>0</v>
      </c>
      <c r="AW891" s="22">
        <v>0</v>
      </c>
      <c r="AX891" s="22">
        <v>0</v>
      </c>
      <c r="AY891" s="22">
        <v>1</v>
      </c>
    </row>
    <row r="892" spans="1:51">
      <c r="A892" s="22" t="s">
        <v>2665</v>
      </c>
      <c r="B892" s="22" t="s">
        <v>663</v>
      </c>
      <c r="C892" s="22" t="s">
        <v>2223</v>
      </c>
      <c r="D892" s="22" t="s">
        <v>2224</v>
      </c>
      <c r="E892" s="23" t="s">
        <v>63</v>
      </c>
      <c r="F892" s="23" t="s">
        <v>2225</v>
      </c>
      <c r="G892" s="23" t="s">
        <v>2226</v>
      </c>
      <c r="H892" s="38" t="s">
        <v>2239</v>
      </c>
      <c r="I892" s="22" t="s">
        <v>2644</v>
      </c>
      <c r="J892" s="22" t="s">
        <v>2666</v>
      </c>
      <c r="N892" s="22" t="s">
        <v>167</v>
      </c>
      <c r="O892" s="22" t="s">
        <v>2229</v>
      </c>
      <c r="P892" s="21">
        <v>83613</v>
      </c>
      <c r="Q892" s="22">
        <v>10.5</v>
      </c>
      <c r="R892" s="22">
        <v>6.5</v>
      </c>
      <c r="S892" s="22">
        <v>6.5</v>
      </c>
      <c r="T892" s="22" t="s">
        <v>159</v>
      </c>
      <c r="U892" s="22">
        <v>1</v>
      </c>
      <c r="V892" s="22">
        <v>1</v>
      </c>
      <c r="W892" s="24">
        <f t="shared" si="135"/>
        <v>674.94631179248745</v>
      </c>
      <c r="X892" s="24">
        <f t="shared" si="137"/>
        <v>232.16374999999999</v>
      </c>
      <c r="Y892" s="22">
        <v>1</v>
      </c>
      <c r="Z892" s="24">
        <f t="shared" si="126"/>
        <v>674.94631179248745</v>
      </c>
      <c r="AA892" s="24">
        <f t="shared" si="127"/>
        <v>232.16374999999999</v>
      </c>
      <c r="AJ892" s="21">
        <v>232.16374999999999</v>
      </c>
      <c r="AK892" s="21">
        <v>10.5</v>
      </c>
      <c r="AL892" s="22" t="s">
        <v>161</v>
      </c>
      <c r="AM892" s="22">
        <v>0.16</v>
      </c>
      <c r="AP892" s="22" t="s">
        <v>162</v>
      </c>
      <c r="AQ892" s="22" t="str">
        <f t="shared" si="128"/>
        <v>Nanophytoplankton</v>
      </c>
      <c r="AR892" s="22">
        <v>0</v>
      </c>
      <c r="AS892" s="22">
        <v>0</v>
      </c>
      <c r="AT892" s="22">
        <v>0</v>
      </c>
      <c r="AU892" s="22">
        <v>0</v>
      </c>
      <c r="AV892" s="22">
        <v>0</v>
      </c>
      <c r="AW892" s="22">
        <v>0</v>
      </c>
      <c r="AX892" s="22">
        <v>0</v>
      </c>
      <c r="AY892" s="22">
        <v>1</v>
      </c>
    </row>
    <row r="893" spans="1:51">
      <c r="A893" s="21" t="s">
        <v>2667</v>
      </c>
      <c r="B893" s="22" t="s">
        <v>663</v>
      </c>
      <c r="C893" s="22" t="s">
        <v>2223</v>
      </c>
      <c r="D893" s="22" t="s">
        <v>2224</v>
      </c>
      <c r="E893" s="23" t="s">
        <v>63</v>
      </c>
      <c r="F893" s="23" t="s">
        <v>2225</v>
      </c>
      <c r="G893" s="23" t="s">
        <v>2226</v>
      </c>
      <c r="H893" s="38" t="s">
        <v>2239</v>
      </c>
      <c r="I893" s="22" t="s">
        <v>2644</v>
      </c>
      <c r="J893" s="21" t="s">
        <v>2668</v>
      </c>
      <c r="K893" s="21"/>
      <c r="L893" s="21"/>
      <c r="N893" s="22" t="s">
        <v>2669</v>
      </c>
      <c r="O893" s="22" t="s">
        <v>2229</v>
      </c>
      <c r="P893" s="21">
        <v>83680</v>
      </c>
      <c r="Q893" s="21">
        <v>13</v>
      </c>
      <c r="R893" s="21">
        <v>6</v>
      </c>
      <c r="S893" s="21">
        <v>6</v>
      </c>
      <c r="T893" s="21" t="s">
        <v>281</v>
      </c>
      <c r="U893" s="22">
        <v>1</v>
      </c>
      <c r="V893" s="22">
        <v>1</v>
      </c>
      <c r="W893" s="24">
        <f t="shared" si="135"/>
        <v>768.19489533228591</v>
      </c>
      <c r="X893" s="24">
        <f t="shared" si="137"/>
        <v>244.91999999999996</v>
      </c>
      <c r="Y893" s="22">
        <v>1</v>
      </c>
      <c r="Z893" s="24">
        <f t="shared" si="126"/>
        <v>768.19489533228591</v>
      </c>
      <c r="AA893" s="24">
        <f t="shared" si="127"/>
        <v>244.91999999999996</v>
      </c>
      <c r="AB893" s="21"/>
      <c r="AC893" s="21"/>
      <c r="AD893" s="21"/>
      <c r="AE893" s="21"/>
      <c r="AF893" s="21"/>
      <c r="AG893" s="21"/>
      <c r="AH893" s="24"/>
      <c r="AI893" s="24"/>
      <c r="AJ893" s="21">
        <v>490.1</v>
      </c>
      <c r="AK893" s="21">
        <v>13</v>
      </c>
      <c r="AL893" s="22" t="s">
        <v>161</v>
      </c>
      <c r="AM893" s="22">
        <v>0.16</v>
      </c>
      <c r="AN893" s="38"/>
      <c r="AP893" s="22" t="s">
        <v>162</v>
      </c>
      <c r="AQ893" s="22" t="str">
        <f t="shared" si="128"/>
        <v>Nanophytoplankton</v>
      </c>
      <c r="AR893" s="22">
        <v>0</v>
      </c>
      <c r="AS893" s="22">
        <v>0</v>
      </c>
      <c r="AT893" s="22">
        <v>0</v>
      </c>
      <c r="AU893" s="22">
        <v>0</v>
      </c>
      <c r="AV893" s="22">
        <v>0</v>
      </c>
      <c r="AW893" s="22">
        <v>0</v>
      </c>
      <c r="AX893" s="22">
        <v>0</v>
      </c>
      <c r="AY893" s="22">
        <v>1</v>
      </c>
    </row>
    <row r="894" spans="1:51">
      <c r="A894" s="22" t="s">
        <v>2670</v>
      </c>
      <c r="B894" s="22" t="s">
        <v>663</v>
      </c>
      <c r="C894" s="22" t="s">
        <v>2223</v>
      </c>
      <c r="D894" s="22" t="s">
        <v>2224</v>
      </c>
      <c r="E894" s="23" t="s">
        <v>63</v>
      </c>
      <c r="F894" s="23" t="s">
        <v>2225</v>
      </c>
      <c r="G894" s="23" t="s">
        <v>2226</v>
      </c>
      <c r="H894" s="23" t="s">
        <v>2671</v>
      </c>
      <c r="I894" s="22" t="s">
        <v>2672</v>
      </c>
      <c r="J894" s="22" t="s">
        <v>211</v>
      </c>
      <c r="M894" s="22" t="s">
        <v>1</v>
      </c>
      <c r="N894" s="22" t="s">
        <v>2673</v>
      </c>
      <c r="O894" s="22" t="s">
        <v>2229</v>
      </c>
      <c r="P894" s="21">
        <v>83690</v>
      </c>
      <c r="Q894" s="22">
        <v>10</v>
      </c>
      <c r="R894" s="22">
        <v>6.5</v>
      </c>
      <c r="S894" s="22">
        <v>6.5</v>
      </c>
      <c r="T894" s="22" t="s">
        <v>281</v>
      </c>
      <c r="U894" s="22">
        <v>1</v>
      </c>
      <c r="V894" s="22">
        <v>1</v>
      </c>
      <c r="W894" s="24">
        <f t="shared" si="135"/>
        <v>643.54637758336935</v>
      </c>
      <c r="X894" s="24">
        <f t="shared" si="137"/>
        <v>221.10833333333332</v>
      </c>
      <c r="Y894" s="22">
        <v>4</v>
      </c>
      <c r="Z894" s="24">
        <f t="shared" si="126"/>
        <v>2574.1855103334774</v>
      </c>
      <c r="AA894" s="24">
        <f t="shared" si="127"/>
        <v>884.43333333333328</v>
      </c>
      <c r="AB894" s="22">
        <v>30</v>
      </c>
      <c r="AC894" s="22">
        <v>13</v>
      </c>
      <c r="AD894" s="22">
        <v>13</v>
      </c>
      <c r="AE894" s="22" t="s">
        <v>330</v>
      </c>
      <c r="AF894" s="22">
        <v>0.8</v>
      </c>
      <c r="AG894" s="22">
        <v>1</v>
      </c>
      <c r="AH894" s="25">
        <f>(AB894*AC894*2+AB894*AD894*2+AC894*AD894*2)/AG894</f>
        <v>1898</v>
      </c>
      <c r="AI894" s="25">
        <f>AB894*AC894*AD894*AF894</f>
        <v>4056</v>
      </c>
      <c r="AJ894" s="21">
        <v>884.43333333333328</v>
      </c>
      <c r="AK894" s="21">
        <v>20</v>
      </c>
      <c r="AL894" s="22" t="s">
        <v>161</v>
      </c>
      <c r="AM894" s="22">
        <v>0.16</v>
      </c>
      <c r="AO894" s="22" t="s">
        <v>2282</v>
      </c>
      <c r="AP894" s="22" t="s">
        <v>230</v>
      </c>
      <c r="AQ894" s="22" t="str">
        <f t="shared" si="128"/>
        <v>Microphytoplankton</v>
      </c>
      <c r="AR894" s="22">
        <v>0</v>
      </c>
      <c r="AS894" s="22">
        <v>0</v>
      </c>
      <c r="AT894" s="22">
        <v>0</v>
      </c>
      <c r="AU894" s="22">
        <v>1</v>
      </c>
      <c r="AV894" s="22">
        <v>0</v>
      </c>
      <c r="AW894" s="22">
        <v>0</v>
      </c>
      <c r="AX894" s="22">
        <v>0</v>
      </c>
      <c r="AY894" s="22">
        <v>1</v>
      </c>
    </row>
    <row r="895" spans="1:51">
      <c r="A895" s="21" t="s">
        <v>2674</v>
      </c>
      <c r="B895" s="22" t="s">
        <v>663</v>
      </c>
      <c r="C895" s="22" t="s">
        <v>2223</v>
      </c>
      <c r="D895" s="22" t="s">
        <v>2224</v>
      </c>
      <c r="E895" s="23" t="s">
        <v>63</v>
      </c>
      <c r="F895" s="23" t="s">
        <v>2225</v>
      </c>
      <c r="G895" s="23" t="s">
        <v>2226</v>
      </c>
      <c r="H895" s="38" t="s">
        <v>2576</v>
      </c>
      <c r="I895" s="22" t="s">
        <v>2675</v>
      </c>
      <c r="J895" s="38" t="s">
        <v>2676</v>
      </c>
      <c r="N895" s="22" t="s">
        <v>2677</v>
      </c>
      <c r="O895" s="22" t="s">
        <v>2229</v>
      </c>
      <c r="P895" s="21">
        <v>81817</v>
      </c>
      <c r="Q895" s="21">
        <v>7</v>
      </c>
      <c r="R895" s="21">
        <v>7</v>
      </c>
      <c r="S895" s="21">
        <v>7</v>
      </c>
      <c r="T895" s="21" t="s">
        <v>281</v>
      </c>
      <c r="U895" s="21">
        <v>1</v>
      </c>
      <c r="V895" s="21">
        <v>1</v>
      </c>
      <c r="W895" s="24">
        <f t="shared" si="135"/>
        <v>490.83181458055361</v>
      </c>
      <c r="X895" s="24">
        <f t="shared" si="137"/>
        <v>179.50333333333333</v>
      </c>
      <c r="Y895" s="22">
        <v>1</v>
      </c>
      <c r="Z895" s="24">
        <f t="shared" si="126"/>
        <v>490.83181458055361</v>
      </c>
      <c r="AA895" s="24">
        <f t="shared" si="127"/>
        <v>179.50333333333333</v>
      </c>
      <c r="AJ895" s="21">
        <v>179.50333333333333</v>
      </c>
      <c r="AK895" s="21">
        <v>7</v>
      </c>
      <c r="AL895" s="22" t="s">
        <v>161</v>
      </c>
      <c r="AM895" s="22">
        <v>0.16</v>
      </c>
      <c r="AN895" s="38"/>
      <c r="AO895" s="22" t="s">
        <v>2282</v>
      </c>
      <c r="AP895" s="22" t="s">
        <v>162</v>
      </c>
      <c r="AQ895" s="22" t="str">
        <f t="shared" si="128"/>
        <v>Nanophytoplankton</v>
      </c>
      <c r="AR895" s="22">
        <v>0</v>
      </c>
      <c r="AS895" s="22">
        <v>0</v>
      </c>
      <c r="AT895" s="22">
        <v>0</v>
      </c>
      <c r="AU895" s="22">
        <v>1</v>
      </c>
      <c r="AV895" s="22">
        <v>0</v>
      </c>
      <c r="AW895" s="22">
        <v>0</v>
      </c>
      <c r="AX895" s="22">
        <v>0</v>
      </c>
      <c r="AY895" s="22">
        <v>1</v>
      </c>
    </row>
    <row r="896" spans="1:51">
      <c r="A896" s="21" t="s">
        <v>2678</v>
      </c>
      <c r="B896" s="22" t="s">
        <v>663</v>
      </c>
      <c r="C896" s="22" t="s">
        <v>2223</v>
      </c>
      <c r="D896" s="22" t="s">
        <v>2224</v>
      </c>
      <c r="E896" s="23" t="s">
        <v>63</v>
      </c>
      <c r="F896" s="23" t="s">
        <v>2225</v>
      </c>
      <c r="G896" s="23" t="s">
        <v>2226</v>
      </c>
      <c r="H896" s="38" t="s">
        <v>2576</v>
      </c>
      <c r="I896" s="22" t="s">
        <v>2675</v>
      </c>
      <c r="J896" s="38" t="s">
        <v>2676</v>
      </c>
      <c r="K896" s="38"/>
      <c r="L896" s="38"/>
      <c r="N896" s="22" t="s">
        <v>2679</v>
      </c>
      <c r="O896" s="22" t="s">
        <v>2229</v>
      </c>
      <c r="P896" s="21">
        <v>81810</v>
      </c>
      <c r="Q896" s="21">
        <v>7</v>
      </c>
      <c r="R896" s="21">
        <v>7</v>
      </c>
      <c r="S896" s="21">
        <v>7</v>
      </c>
      <c r="T896" s="21" t="s">
        <v>281</v>
      </c>
      <c r="U896" s="21">
        <v>1</v>
      </c>
      <c r="V896" s="21">
        <v>1</v>
      </c>
      <c r="W896" s="24">
        <f t="shared" si="135"/>
        <v>490.83181458055361</v>
      </c>
      <c r="X896" s="24">
        <f t="shared" si="137"/>
        <v>179.50333333333333</v>
      </c>
      <c r="Y896" s="21">
        <v>32</v>
      </c>
      <c r="Z896" s="24">
        <f t="shared" si="126"/>
        <v>15706.618066577716</v>
      </c>
      <c r="AA896" s="24">
        <f t="shared" si="127"/>
        <v>5744.1066666666666</v>
      </c>
      <c r="AB896" s="21">
        <v>40</v>
      </c>
      <c r="AC896" s="21">
        <v>40</v>
      </c>
      <c r="AD896" s="21">
        <v>40</v>
      </c>
      <c r="AE896" s="21" t="s">
        <v>159</v>
      </c>
      <c r="AF896" s="21">
        <v>0.3</v>
      </c>
      <c r="AG896" s="21">
        <v>1</v>
      </c>
      <c r="AH896" s="24">
        <f>(4*3.14*(((AB896^1.6*AC896^1.6+AB896^1.6*AD896^1.6+AC896^1.6+AD896^1.6)/3)^(1/1.6)))*(1/AG896)</f>
        <v>15624.046118762988</v>
      </c>
      <c r="AI896" s="24">
        <f>3.14/6*AB896*AC896*AD896*AF896</f>
        <v>10048</v>
      </c>
      <c r="AJ896" s="21">
        <v>5747</v>
      </c>
      <c r="AK896" s="21">
        <v>100</v>
      </c>
      <c r="AL896" s="22" t="s">
        <v>161</v>
      </c>
      <c r="AM896" s="22">
        <v>0.16</v>
      </c>
      <c r="AN896" s="38"/>
      <c r="AO896" s="22" t="s">
        <v>2282</v>
      </c>
      <c r="AP896" s="22" t="s">
        <v>162</v>
      </c>
      <c r="AQ896" s="22" t="str">
        <f t="shared" si="128"/>
        <v>Microphytoplankton</v>
      </c>
      <c r="AR896" s="22">
        <v>0</v>
      </c>
      <c r="AS896" s="22">
        <v>0</v>
      </c>
      <c r="AT896" s="22">
        <v>0</v>
      </c>
      <c r="AU896" s="22">
        <v>1</v>
      </c>
      <c r="AV896" s="22">
        <v>0</v>
      </c>
      <c r="AW896" s="22">
        <v>0</v>
      </c>
      <c r="AX896" s="22">
        <v>0</v>
      </c>
      <c r="AY896" s="22">
        <v>1</v>
      </c>
    </row>
    <row r="897" spans="1:57">
      <c r="A897" s="21" t="s">
        <v>2680</v>
      </c>
      <c r="B897" s="22" t="s">
        <v>663</v>
      </c>
      <c r="C897" s="22" t="s">
        <v>2223</v>
      </c>
      <c r="D897" s="22" t="s">
        <v>2224</v>
      </c>
      <c r="E897" s="23" t="s">
        <v>63</v>
      </c>
      <c r="F897" s="23" t="s">
        <v>2225</v>
      </c>
      <c r="G897" s="23" t="s">
        <v>2226</v>
      </c>
      <c r="H897" s="38" t="s">
        <v>2576</v>
      </c>
      <c r="I897" s="22" t="s">
        <v>2675</v>
      </c>
      <c r="J897" s="38" t="s">
        <v>2676</v>
      </c>
      <c r="K897" s="38" t="s">
        <v>184</v>
      </c>
      <c r="L897" s="38" t="s">
        <v>2681</v>
      </c>
      <c r="N897" s="22" t="s">
        <v>2677</v>
      </c>
      <c r="O897" s="22" t="s">
        <v>2229</v>
      </c>
      <c r="P897" s="21">
        <v>81816</v>
      </c>
      <c r="Q897" s="21">
        <v>7</v>
      </c>
      <c r="R897" s="21">
        <v>7</v>
      </c>
      <c r="S897" s="21">
        <v>7</v>
      </c>
      <c r="T897" s="21" t="s">
        <v>281</v>
      </c>
      <c r="U897" s="21">
        <v>1</v>
      </c>
      <c r="V897" s="21">
        <v>1</v>
      </c>
      <c r="W897" s="24">
        <f t="shared" si="135"/>
        <v>490.83181458055361</v>
      </c>
      <c r="X897" s="24">
        <f t="shared" si="137"/>
        <v>179.50333333333333</v>
      </c>
      <c r="Y897" s="21">
        <v>4</v>
      </c>
      <c r="Z897" s="24">
        <f t="shared" si="126"/>
        <v>1963.3272583222144</v>
      </c>
      <c r="AA897" s="24">
        <f t="shared" si="127"/>
        <v>718.01333333333332</v>
      </c>
      <c r="AB897" s="21">
        <v>16</v>
      </c>
      <c r="AC897" s="21">
        <v>16</v>
      </c>
      <c r="AD897" s="21">
        <v>4</v>
      </c>
      <c r="AE897" s="22" t="s">
        <v>330</v>
      </c>
      <c r="AF897" s="21">
        <v>0.5</v>
      </c>
      <c r="AG897" s="21">
        <v>1</v>
      </c>
      <c r="AH897" s="25">
        <f>(AB897*AC897*2+AB897*AD897*2+AC897*AD897*2)/AG897</f>
        <v>768</v>
      </c>
      <c r="AI897" s="25">
        <f>AB897*AC897*AD897*AF897</f>
        <v>512</v>
      </c>
      <c r="AJ897" s="21">
        <v>718.01333333333332</v>
      </c>
      <c r="AK897" s="21">
        <v>50</v>
      </c>
      <c r="AL897" s="22" t="s">
        <v>161</v>
      </c>
      <c r="AM897" s="22">
        <v>0.16</v>
      </c>
      <c r="AN897" s="38"/>
      <c r="AO897" s="22" t="s">
        <v>2282</v>
      </c>
      <c r="AP897" s="22" t="s">
        <v>162</v>
      </c>
      <c r="AQ897" s="22" t="str">
        <f t="shared" si="128"/>
        <v>Microphytoplankton</v>
      </c>
      <c r="AR897" s="22">
        <v>0</v>
      </c>
      <c r="AS897" s="22">
        <v>0</v>
      </c>
      <c r="AT897" s="22">
        <v>0</v>
      </c>
      <c r="AU897" s="22">
        <v>1</v>
      </c>
      <c r="AV897" s="22">
        <v>0</v>
      </c>
      <c r="AW897" s="22">
        <v>0</v>
      </c>
      <c r="AX897" s="22">
        <v>0</v>
      </c>
      <c r="AY897" s="22">
        <v>1</v>
      </c>
    </row>
    <row r="898" spans="1:57">
      <c r="A898" s="21" t="s">
        <v>2682</v>
      </c>
      <c r="B898" s="22" t="s">
        <v>663</v>
      </c>
      <c r="C898" s="22" t="s">
        <v>2223</v>
      </c>
      <c r="D898" s="22" t="s">
        <v>2224</v>
      </c>
      <c r="E898" s="23" t="s">
        <v>63</v>
      </c>
      <c r="F898" s="23" t="s">
        <v>2225</v>
      </c>
      <c r="G898" s="23" t="s">
        <v>2226</v>
      </c>
      <c r="H898" s="38" t="s">
        <v>2576</v>
      </c>
      <c r="I898" s="22" t="s">
        <v>2675</v>
      </c>
      <c r="J898" s="38" t="s">
        <v>2683</v>
      </c>
      <c r="K898" s="38"/>
      <c r="L898" s="38"/>
      <c r="N898" s="22" t="s">
        <v>2684</v>
      </c>
      <c r="O898" s="22" t="s">
        <v>2229</v>
      </c>
      <c r="P898" s="21">
        <v>81815</v>
      </c>
      <c r="Q898" s="21">
        <v>12.5</v>
      </c>
      <c r="R898" s="21">
        <v>12.5</v>
      </c>
      <c r="S898" s="21">
        <v>12.5</v>
      </c>
      <c r="T898" s="21" t="s">
        <v>281</v>
      </c>
      <c r="U898" s="21">
        <v>1</v>
      </c>
      <c r="V898" s="21">
        <v>1</v>
      </c>
      <c r="W898" s="24">
        <f t="shared" si="135"/>
        <v>1539.8633109221721</v>
      </c>
      <c r="X898" s="24">
        <f t="shared" si="137"/>
        <v>1022.1354166666666</v>
      </c>
      <c r="Y898" s="21">
        <v>4</v>
      </c>
      <c r="Z898" s="24">
        <f t="shared" ref="Z898:Z961" si="138">Y898*W898</f>
        <v>6159.4532436886884</v>
      </c>
      <c r="AA898" s="24">
        <f t="shared" ref="AA898:AA961" si="139">Y898*X898</f>
        <v>4088.5416666666665</v>
      </c>
      <c r="AB898" s="21">
        <v>50</v>
      </c>
      <c r="AC898" s="21">
        <v>50</v>
      </c>
      <c r="AD898" s="21">
        <v>50</v>
      </c>
      <c r="AE898" s="21" t="s">
        <v>281</v>
      </c>
      <c r="AF898" s="21">
        <v>0.3</v>
      </c>
      <c r="AG898" s="21">
        <v>0.5</v>
      </c>
      <c r="AH898" s="24">
        <f>(4*3.14*(((AB898^1.6*AC898^1.6+AB898^1.6*AD898^1.6+AC898^1.6+AD898^1.6)/3)^(1/1.6)))*(1/AG898)</f>
        <v>48800.164303302488</v>
      </c>
      <c r="AI898" s="24">
        <f>3.14/6*AB898*AC898*AD898*AF898</f>
        <v>19625</v>
      </c>
      <c r="AJ898" s="21">
        <v>4088</v>
      </c>
      <c r="AK898" s="21">
        <v>50</v>
      </c>
      <c r="AL898" s="22" t="s">
        <v>161</v>
      </c>
      <c r="AM898" s="22">
        <v>0.16</v>
      </c>
      <c r="AN898" s="38"/>
      <c r="AP898" s="22" t="s">
        <v>162</v>
      </c>
      <c r="AQ898" s="22" t="str">
        <f t="shared" ref="AQ898:AQ961" si="140">IF(AND($AK898&lt;20,AJ898&lt;10000),"Nanophytoplankton","Microphytoplankton")</f>
        <v>Microphytoplankton</v>
      </c>
      <c r="AR898" s="22">
        <v>0</v>
      </c>
      <c r="AS898" s="22">
        <v>0</v>
      </c>
      <c r="AT898" s="22">
        <v>0</v>
      </c>
      <c r="AU898" s="22">
        <v>1</v>
      </c>
      <c r="AV898" s="22">
        <v>0</v>
      </c>
      <c r="AW898" s="22">
        <v>0</v>
      </c>
      <c r="AX898" s="22">
        <v>0</v>
      </c>
      <c r="AY898" s="22">
        <v>1</v>
      </c>
    </row>
    <row r="899" spans="1:57">
      <c r="A899" s="21" t="s">
        <v>2685</v>
      </c>
      <c r="B899" s="22" t="s">
        <v>663</v>
      </c>
      <c r="C899" s="22" t="s">
        <v>2223</v>
      </c>
      <c r="D899" s="22" t="s">
        <v>2224</v>
      </c>
      <c r="E899" s="23" t="s">
        <v>63</v>
      </c>
      <c r="F899" s="23" t="s">
        <v>2225</v>
      </c>
      <c r="G899" s="38"/>
      <c r="H899" s="38"/>
      <c r="I899" s="21" t="s">
        <v>2685</v>
      </c>
      <c r="J899" s="38"/>
      <c r="K899" s="38"/>
      <c r="L899" s="38"/>
      <c r="M899" s="22" t="s">
        <v>102</v>
      </c>
      <c r="O899" s="22" t="s">
        <v>2229</v>
      </c>
      <c r="P899" s="21">
        <v>85613</v>
      </c>
      <c r="Q899" s="21">
        <v>20</v>
      </c>
      <c r="R899" s="21">
        <v>20</v>
      </c>
      <c r="S899" s="21">
        <v>10</v>
      </c>
      <c r="T899" s="21" t="s">
        <v>281</v>
      </c>
      <c r="U899" s="21">
        <v>0.6</v>
      </c>
      <c r="V899" s="21">
        <v>0.6</v>
      </c>
      <c r="W899" s="24">
        <f t="shared" si="135"/>
        <v>5061.9707990018487</v>
      </c>
      <c r="X899" s="24">
        <f t="shared" si="137"/>
        <v>1256</v>
      </c>
      <c r="Y899" s="21">
        <v>1</v>
      </c>
      <c r="Z899" s="24">
        <f t="shared" si="138"/>
        <v>5061.9707990018487</v>
      </c>
      <c r="AA899" s="24">
        <f t="shared" si="139"/>
        <v>1256</v>
      </c>
      <c r="AB899" s="21"/>
      <c r="AC899" s="21"/>
      <c r="AD899" s="21"/>
      <c r="AE899" s="21"/>
      <c r="AF899" s="21"/>
      <c r="AG899" s="21"/>
      <c r="AH899" s="24"/>
      <c r="AI899" s="24"/>
      <c r="AJ899" s="21">
        <v>2400</v>
      </c>
      <c r="AK899" s="21">
        <v>20</v>
      </c>
      <c r="AL899" s="22" t="s">
        <v>161</v>
      </c>
      <c r="AM899" s="22">
        <v>0.16</v>
      </c>
      <c r="AN899" s="38"/>
      <c r="AQ899" s="22" t="str">
        <f t="shared" si="140"/>
        <v>Microphytoplankton</v>
      </c>
      <c r="AR899" s="22">
        <v>0</v>
      </c>
      <c r="AS899" s="22">
        <v>0</v>
      </c>
      <c r="AT899" s="22">
        <v>0</v>
      </c>
      <c r="AU899" s="22">
        <v>0</v>
      </c>
      <c r="AV899" s="22">
        <v>0</v>
      </c>
      <c r="AW899" s="22">
        <v>0</v>
      </c>
      <c r="AX899" s="22">
        <v>0</v>
      </c>
      <c r="AY899" s="22">
        <v>1</v>
      </c>
    </row>
    <row r="900" spans="1:57">
      <c r="A900" s="22" t="s">
        <v>2686</v>
      </c>
      <c r="B900" s="22" t="s">
        <v>663</v>
      </c>
      <c r="C900" s="22" t="s">
        <v>2223</v>
      </c>
      <c r="D900" s="22" t="s">
        <v>2224</v>
      </c>
      <c r="E900" s="23" t="s">
        <v>63</v>
      </c>
      <c r="F900" s="23" t="s">
        <v>2225</v>
      </c>
      <c r="G900" s="23" t="s">
        <v>2687</v>
      </c>
      <c r="H900" s="23" t="s">
        <v>2688</v>
      </c>
      <c r="I900" s="23" t="s">
        <v>2689</v>
      </c>
      <c r="J900" s="22" t="s">
        <v>2124</v>
      </c>
      <c r="N900" s="22" t="s">
        <v>2690</v>
      </c>
      <c r="O900" s="22" t="s">
        <v>2229</v>
      </c>
      <c r="P900" s="21">
        <v>85614</v>
      </c>
      <c r="Q900" s="22">
        <v>20</v>
      </c>
      <c r="R900" s="22">
        <v>13.5</v>
      </c>
      <c r="S900" s="22">
        <v>13.5</v>
      </c>
      <c r="T900" s="21" t="s">
        <v>160</v>
      </c>
      <c r="U900" s="22">
        <v>1</v>
      </c>
      <c r="V900" s="22">
        <v>1</v>
      </c>
      <c r="W900" s="24">
        <f>3.14*R900*Q900+2*3.14*(S900/2)^2/V900</f>
        <v>1133.9324999999999</v>
      </c>
      <c r="X900" s="25">
        <f>(3.14/4*R900^2*Q900)*U900</f>
        <v>2861.3249999999998</v>
      </c>
      <c r="Y900" s="22">
        <v>1</v>
      </c>
      <c r="Z900" s="24">
        <f t="shared" si="138"/>
        <v>1133.9324999999999</v>
      </c>
      <c r="AA900" s="24">
        <f t="shared" si="139"/>
        <v>2861.3249999999998</v>
      </c>
      <c r="AJ900" s="21">
        <v>2861.3250000000003</v>
      </c>
      <c r="AK900" s="21">
        <v>20</v>
      </c>
      <c r="AL900" s="22" t="s">
        <v>161</v>
      </c>
      <c r="AM900" s="22">
        <v>0.16</v>
      </c>
      <c r="AQ900" s="22" t="str">
        <f t="shared" si="140"/>
        <v>Microphytoplankton</v>
      </c>
      <c r="AR900" s="22">
        <v>0</v>
      </c>
      <c r="AS900" s="22">
        <v>0</v>
      </c>
      <c r="AT900" s="22">
        <v>0</v>
      </c>
      <c r="AU900" s="22">
        <v>1</v>
      </c>
      <c r="AV900" s="22">
        <v>1</v>
      </c>
      <c r="AW900" s="22">
        <v>0</v>
      </c>
      <c r="AX900" s="22">
        <v>0</v>
      </c>
      <c r="AY900" s="22">
        <v>1</v>
      </c>
    </row>
    <row r="901" spans="1:57">
      <c r="A901" s="21" t="s">
        <v>2691</v>
      </c>
      <c r="B901" s="22" t="s">
        <v>663</v>
      </c>
      <c r="C901" s="22" t="s">
        <v>2223</v>
      </c>
      <c r="D901" s="22" t="s">
        <v>2224</v>
      </c>
      <c r="E901" s="23" t="s">
        <v>63</v>
      </c>
      <c r="F901" s="23" t="s">
        <v>2225</v>
      </c>
      <c r="G901" s="23" t="s">
        <v>2226</v>
      </c>
      <c r="H901" s="22" t="s">
        <v>2253</v>
      </c>
      <c r="I901" s="22" t="s">
        <v>2692</v>
      </c>
      <c r="J901" s="38" t="s">
        <v>2693</v>
      </c>
      <c r="K901" s="38"/>
      <c r="L901" s="38"/>
      <c r="N901" s="22" t="s">
        <v>2694</v>
      </c>
      <c r="O901" s="22" t="s">
        <v>2229</v>
      </c>
      <c r="P901" s="22">
        <v>81754</v>
      </c>
      <c r="Q901" s="22">
        <v>32</v>
      </c>
      <c r="R901" s="22">
        <v>2.4</v>
      </c>
      <c r="S901" s="22">
        <v>2.4</v>
      </c>
      <c r="T901" s="22" t="s">
        <v>281</v>
      </c>
      <c r="U901" s="22">
        <v>0.7</v>
      </c>
      <c r="V901" s="22">
        <v>0.7</v>
      </c>
      <c r="W901" s="24">
        <f t="shared" ref="W901:W924" si="141">(4*3.14*(((Q901^1.6*R901^1.6+Q901^1.6*S901^1.6+R901^1.6+S901^1.6)/3)^(1/1.6)))*(1/V901)</f>
        <v>1072.1461891668425</v>
      </c>
      <c r="X901" s="24">
        <f>3.14/6*Q901*R901*S901*U901</f>
        <v>67.522559999999984</v>
      </c>
      <c r="Y901" s="22">
        <v>1</v>
      </c>
      <c r="Z901" s="24">
        <f t="shared" si="138"/>
        <v>1072.1461891668425</v>
      </c>
      <c r="AA901" s="24">
        <f t="shared" si="139"/>
        <v>67.522559999999984</v>
      </c>
      <c r="AJ901" s="21">
        <v>33.799999999999997</v>
      </c>
      <c r="AK901" s="21">
        <v>32</v>
      </c>
      <c r="AL901" s="22" t="s">
        <v>161</v>
      </c>
      <c r="AM901" s="22">
        <v>0.16</v>
      </c>
      <c r="AN901" s="38" t="s">
        <v>2257</v>
      </c>
      <c r="AO901" s="22" t="s">
        <v>2257</v>
      </c>
      <c r="AP901" s="22" t="s">
        <v>162</v>
      </c>
      <c r="AQ901" s="22" t="str">
        <f t="shared" si="140"/>
        <v>Microphytoplankton</v>
      </c>
      <c r="AR901" s="22">
        <v>0</v>
      </c>
      <c r="AS901" s="22">
        <v>0</v>
      </c>
      <c r="AT901" s="22">
        <v>0</v>
      </c>
      <c r="AU901" s="22">
        <v>0</v>
      </c>
      <c r="AV901" s="22">
        <v>0</v>
      </c>
      <c r="AW901" s="22">
        <v>0</v>
      </c>
      <c r="AX901" s="22">
        <v>0</v>
      </c>
      <c r="AY901" s="22">
        <v>1</v>
      </c>
      <c r="AZ901" s="22">
        <v>0</v>
      </c>
      <c r="BA901" s="22">
        <v>1</v>
      </c>
      <c r="BB901" s="22">
        <v>0</v>
      </c>
      <c r="BC901" s="22">
        <v>1</v>
      </c>
      <c r="BD901" s="22">
        <v>7</v>
      </c>
      <c r="BE901" s="22">
        <v>1</v>
      </c>
    </row>
    <row r="902" spans="1:57">
      <c r="A902" s="21" t="s">
        <v>2695</v>
      </c>
      <c r="B902" s="22" t="s">
        <v>663</v>
      </c>
      <c r="C902" s="22" t="s">
        <v>2223</v>
      </c>
      <c r="D902" s="22" t="s">
        <v>2224</v>
      </c>
      <c r="E902" s="23" t="s">
        <v>63</v>
      </c>
      <c r="F902" s="23" t="s">
        <v>2225</v>
      </c>
      <c r="G902" s="23" t="s">
        <v>2226</v>
      </c>
      <c r="H902" s="22" t="s">
        <v>2253</v>
      </c>
      <c r="I902" s="22" t="s">
        <v>2692</v>
      </c>
      <c r="J902" s="38" t="s">
        <v>2696</v>
      </c>
      <c r="K902" s="38"/>
      <c r="L902" s="38"/>
      <c r="N902" s="22" t="s">
        <v>2697</v>
      </c>
      <c r="O902" s="22" t="s">
        <v>2229</v>
      </c>
      <c r="P902" s="22">
        <v>81790</v>
      </c>
      <c r="Q902" s="22">
        <v>8</v>
      </c>
      <c r="R902" s="22">
        <v>1.9</v>
      </c>
      <c r="S902" s="22">
        <v>1.9</v>
      </c>
      <c r="T902" s="22" t="s">
        <v>281</v>
      </c>
      <c r="U902" s="22">
        <v>0.9</v>
      </c>
      <c r="V902" s="22">
        <v>0.9</v>
      </c>
      <c r="W902" s="24">
        <f t="shared" si="141"/>
        <v>168.30867240783425</v>
      </c>
      <c r="X902" s="24">
        <f>3.14/6*Q902*R902*S902*U902</f>
        <v>13.602479999999998</v>
      </c>
      <c r="Y902" s="22">
        <v>1</v>
      </c>
      <c r="Z902" s="24">
        <f t="shared" si="138"/>
        <v>168.30867240783425</v>
      </c>
      <c r="AA902" s="24">
        <f t="shared" si="139"/>
        <v>13.602479999999998</v>
      </c>
      <c r="AJ902" s="21">
        <v>25</v>
      </c>
      <c r="AK902" s="21">
        <v>8</v>
      </c>
      <c r="AL902" s="22" t="s">
        <v>161</v>
      </c>
      <c r="AM902" s="22">
        <v>0.16</v>
      </c>
      <c r="AN902" s="38" t="s">
        <v>2257</v>
      </c>
      <c r="AO902" s="22" t="s">
        <v>2257</v>
      </c>
      <c r="AP902" s="22" t="s">
        <v>626</v>
      </c>
      <c r="AQ902" s="22" t="str">
        <f t="shared" si="140"/>
        <v>Nanophytoplankton</v>
      </c>
      <c r="AR902" s="22">
        <v>0</v>
      </c>
      <c r="AS902" s="22">
        <v>0</v>
      </c>
      <c r="AT902" s="22">
        <v>0</v>
      </c>
      <c r="AU902" s="22">
        <v>0</v>
      </c>
      <c r="AV902" s="22">
        <v>0</v>
      </c>
      <c r="AW902" s="22">
        <v>0</v>
      </c>
      <c r="AX902" s="22">
        <v>0</v>
      </c>
      <c r="AY902" s="22">
        <v>1</v>
      </c>
      <c r="AZ902" s="22">
        <v>0</v>
      </c>
      <c r="BA902" s="22">
        <v>1</v>
      </c>
      <c r="BB902" s="22">
        <v>0</v>
      </c>
      <c r="BC902" s="22">
        <v>1</v>
      </c>
      <c r="BD902" s="22">
        <v>7</v>
      </c>
      <c r="BE902" s="22">
        <v>1</v>
      </c>
    </row>
    <row r="903" spans="1:57">
      <c r="A903" s="21" t="s">
        <v>2698</v>
      </c>
      <c r="B903" s="22" t="s">
        <v>663</v>
      </c>
      <c r="C903" s="22" t="s">
        <v>2223</v>
      </c>
      <c r="D903" s="22" t="s">
        <v>2224</v>
      </c>
      <c r="E903" s="23" t="s">
        <v>63</v>
      </c>
      <c r="F903" s="23" t="s">
        <v>2225</v>
      </c>
      <c r="G903" s="23" t="s">
        <v>2226</v>
      </c>
      <c r="H903" s="22" t="s">
        <v>2253</v>
      </c>
      <c r="I903" s="22" t="s">
        <v>2692</v>
      </c>
      <c r="J903" s="38" t="s">
        <v>2603</v>
      </c>
      <c r="K903" s="38"/>
      <c r="L903" s="38"/>
      <c r="N903" s="22" t="s">
        <v>2699</v>
      </c>
      <c r="O903" s="22" t="s">
        <v>2229</v>
      </c>
      <c r="P903" s="22">
        <v>81791</v>
      </c>
      <c r="Q903" s="22">
        <v>23.5</v>
      </c>
      <c r="R903" s="22">
        <v>3.1</v>
      </c>
      <c r="S903" s="22">
        <v>3.1</v>
      </c>
      <c r="T903" s="22" t="s">
        <v>874</v>
      </c>
      <c r="U903" s="22">
        <v>0.9</v>
      </c>
      <c r="V903" s="22">
        <v>0.9</v>
      </c>
      <c r="W903" s="24">
        <f t="shared" si="141"/>
        <v>792.23082193102107</v>
      </c>
      <c r="X903" s="24">
        <f>3.14/12*R903*S903*Q903*U903</f>
        <v>53.184142500000007</v>
      </c>
      <c r="Y903" s="22">
        <v>1</v>
      </c>
      <c r="Z903" s="24">
        <f t="shared" si="138"/>
        <v>792.23082193102107</v>
      </c>
      <c r="AA903" s="24">
        <f t="shared" si="139"/>
        <v>53.184142500000007</v>
      </c>
      <c r="AJ903" s="21">
        <v>59.093491666666672</v>
      </c>
      <c r="AK903" s="21">
        <v>23.5</v>
      </c>
      <c r="AL903" s="22" t="s">
        <v>2700</v>
      </c>
      <c r="AM903" s="22">
        <v>0.16</v>
      </c>
      <c r="AN903" s="38" t="s">
        <v>2257</v>
      </c>
      <c r="AO903" s="22" t="s">
        <v>2257</v>
      </c>
      <c r="AP903" s="22" t="s">
        <v>162</v>
      </c>
      <c r="AQ903" s="22" t="str">
        <f t="shared" si="140"/>
        <v>Microphytoplankton</v>
      </c>
      <c r="AR903" s="22">
        <v>0</v>
      </c>
      <c r="AS903" s="22">
        <v>0</v>
      </c>
      <c r="AT903" s="22">
        <v>0</v>
      </c>
      <c r="AU903" s="22">
        <v>0</v>
      </c>
      <c r="AV903" s="22">
        <v>0</v>
      </c>
      <c r="AW903" s="22">
        <v>0</v>
      </c>
      <c r="AX903" s="22">
        <v>0</v>
      </c>
      <c r="AY903" s="22">
        <v>1</v>
      </c>
    </row>
    <row r="904" spans="1:57">
      <c r="A904" s="21" t="s">
        <v>2701</v>
      </c>
      <c r="B904" s="22" t="s">
        <v>663</v>
      </c>
      <c r="C904" s="22" t="s">
        <v>2223</v>
      </c>
      <c r="D904" s="22" t="s">
        <v>2224</v>
      </c>
      <c r="E904" s="23" t="s">
        <v>63</v>
      </c>
      <c r="F904" s="23" t="s">
        <v>2225</v>
      </c>
      <c r="G904" s="23" t="s">
        <v>2226</v>
      </c>
      <c r="H904" s="22" t="s">
        <v>2253</v>
      </c>
      <c r="I904" s="22" t="s">
        <v>2692</v>
      </c>
      <c r="J904" s="38" t="s">
        <v>2702</v>
      </c>
      <c r="K904" s="38"/>
      <c r="L904" s="38"/>
      <c r="N904" s="22" t="s">
        <v>2703</v>
      </c>
      <c r="O904" s="22" t="s">
        <v>2229</v>
      </c>
      <c r="P904" s="21">
        <v>81795</v>
      </c>
      <c r="Q904" s="21">
        <v>21</v>
      </c>
      <c r="R904" s="21">
        <v>2.4</v>
      </c>
      <c r="S904" s="21">
        <v>2.4</v>
      </c>
      <c r="T904" s="21" t="s">
        <v>281</v>
      </c>
      <c r="U904" s="21">
        <v>0.7</v>
      </c>
      <c r="V904" s="21">
        <v>0.7</v>
      </c>
      <c r="W904" s="24">
        <f t="shared" si="141"/>
        <v>705.24076543045101</v>
      </c>
      <c r="X904" s="24">
        <f>3.14/6*Q904*R904*S904*U904</f>
        <v>44.311679999999996</v>
      </c>
      <c r="Y904" s="22">
        <v>1</v>
      </c>
      <c r="Z904" s="24">
        <f t="shared" si="138"/>
        <v>705.24076543045101</v>
      </c>
      <c r="AA904" s="24">
        <f t="shared" si="139"/>
        <v>44.311679999999996</v>
      </c>
      <c r="AB904" s="21"/>
      <c r="AC904" s="21"/>
      <c r="AD904" s="21"/>
      <c r="AE904" s="21"/>
      <c r="AF904" s="21"/>
      <c r="AG904" s="21"/>
      <c r="AH904" s="24"/>
      <c r="AI904" s="24"/>
      <c r="AJ904" s="21">
        <v>66.5</v>
      </c>
      <c r="AK904" s="21">
        <v>21</v>
      </c>
      <c r="AL904" s="22" t="s">
        <v>161</v>
      </c>
      <c r="AM904" s="22">
        <v>0.16</v>
      </c>
      <c r="AN904" s="38" t="s">
        <v>2257</v>
      </c>
      <c r="AO904" s="22" t="s">
        <v>2257</v>
      </c>
      <c r="AP904" s="22" t="s">
        <v>162</v>
      </c>
      <c r="AQ904" s="22" t="str">
        <f t="shared" si="140"/>
        <v>Microphytoplankton</v>
      </c>
      <c r="AR904" s="22">
        <v>0</v>
      </c>
      <c r="AS904" s="22">
        <v>0</v>
      </c>
      <c r="AT904" s="22">
        <v>0</v>
      </c>
      <c r="AU904" s="22">
        <v>0</v>
      </c>
      <c r="AV904" s="22">
        <v>0</v>
      </c>
      <c r="AW904" s="22">
        <v>0</v>
      </c>
      <c r="AX904" s="22">
        <v>0</v>
      </c>
      <c r="AY904" s="22">
        <v>1</v>
      </c>
    </row>
    <row r="905" spans="1:57">
      <c r="A905" s="22" t="s">
        <v>2704</v>
      </c>
      <c r="B905" s="22" t="s">
        <v>663</v>
      </c>
      <c r="C905" s="22" t="s">
        <v>2223</v>
      </c>
      <c r="D905" s="22" t="s">
        <v>2224</v>
      </c>
      <c r="E905" s="23" t="s">
        <v>63</v>
      </c>
      <c r="F905" s="23" t="s">
        <v>2225</v>
      </c>
      <c r="G905" s="23" t="s">
        <v>2226</v>
      </c>
      <c r="H905" s="22" t="s">
        <v>2253</v>
      </c>
      <c r="I905" s="22" t="s">
        <v>2692</v>
      </c>
      <c r="J905" s="22" t="s">
        <v>2705</v>
      </c>
      <c r="N905" s="22" t="s">
        <v>2706</v>
      </c>
      <c r="O905" s="22" t="s">
        <v>2229</v>
      </c>
      <c r="P905" s="22">
        <v>81797</v>
      </c>
      <c r="Q905" s="22">
        <v>11</v>
      </c>
      <c r="R905" s="22">
        <v>5</v>
      </c>
      <c r="S905" s="22">
        <v>5</v>
      </c>
      <c r="T905" s="22" t="s">
        <v>874</v>
      </c>
      <c r="U905" s="22">
        <v>1</v>
      </c>
      <c r="V905" s="22">
        <v>1</v>
      </c>
      <c r="W905" s="24">
        <f t="shared" si="141"/>
        <v>543.35896704279776</v>
      </c>
      <c r="X905" s="24">
        <f>3.14/12*R905*S905*Q905*U905</f>
        <v>71.958333333333343</v>
      </c>
      <c r="Y905" s="22">
        <v>1</v>
      </c>
      <c r="Z905" s="24">
        <f t="shared" si="138"/>
        <v>543.35896704279776</v>
      </c>
      <c r="AA905" s="24">
        <f t="shared" si="139"/>
        <v>71.958333333333343</v>
      </c>
      <c r="AJ905" s="21">
        <v>71.958333333333329</v>
      </c>
      <c r="AK905" s="21">
        <v>11</v>
      </c>
      <c r="AL905" s="22" t="s">
        <v>161</v>
      </c>
      <c r="AM905" s="22">
        <v>0.16</v>
      </c>
      <c r="AN905" s="22" t="s">
        <v>2257</v>
      </c>
      <c r="AO905" s="22" t="s">
        <v>2257</v>
      </c>
      <c r="AP905" s="22" t="s">
        <v>162</v>
      </c>
      <c r="AQ905" s="22" t="str">
        <f t="shared" si="140"/>
        <v>Nanophytoplankton</v>
      </c>
      <c r="AR905" s="22">
        <v>0</v>
      </c>
      <c r="AS905" s="22">
        <v>0</v>
      </c>
      <c r="AT905" s="22">
        <v>0</v>
      </c>
      <c r="AU905" s="22">
        <v>0</v>
      </c>
      <c r="AV905" s="22">
        <v>0</v>
      </c>
      <c r="AW905" s="22">
        <v>0</v>
      </c>
      <c r="AX905" s="22">
        <v>0</v>
      </c>
      <c r="AY905" s="22">
        <v>1</v>
      </c>
    </row>
    <row r="906" spans="1:57">
      <c r="A906" s="22" t="s">
        <v>2707</v>
      </c>
      <c r="B906" s="22" t="s">
        <v>663</v>
      </c>
      <c r="C906" s="22" t="s">
        <v>2223</v>
      </c>
      <c r="D906" s="22" t="s">
        <v>2224</v>
      </c>
      <c r="E906" s="23" t="s">
        <v>63</v>
      </c>
      <c r="F906" s="23" t="s">
        <v>2225</v>
      </c>
      <c r="G906" s="23" t="s">
        <v>2226</v>
      </c>
      <c r="H906" s="22" t="s">
        <v>2253</v>
      </c>
      <c r="I906" s="22" t="s">
        <v>2692</v>
      </c>
      <c r="J906" s="22" t="s">
        <v>2708</v>
      </c>
      <c r="N906" s="22" t="s">
        <v>441</v>
      </c>
      <c r="O906" s="22" t="s">
        <v>2229</v>
      </c>
      <c r="P906" s="22">
        <v>81798</v>
      </c>
      <c r="Q906" s="22">
        <v>35</v>
      </c>
      <c r="R906" s="22">
        <v>3.5</v>
      </c>
      <c r="S906" s="22">
        <v>3.5</v>
      </c>
      <c r="T906" s="22" t="s">
        <v>874</v>
      </c>
      <c r="U906" s="22">
        <v>1</v>
      </c>
      <c r="V906" s="22">
        <v>1</v>
      </c>
      <c r="W906" s="24">
        <f t="shared" si="141"/>
        <v>1196.70140653459</v>
      </c>
      <c r="X906" s="24">
        <f>3.14/12*R906*S906*Q906*U906</f>
        <v>112.18958333333332</v>
      </c>
      <c r="Y906" s="22">
        <v>1</v>
      </c>
      <c r="Z906" s="24">
        <f t="shared" si="138"/>
        <v>1196.70140653459</v>
      </c>
      <c r="AA906" s="24">
        <f t="shared" si="139"/>
        <v>112.18958333333332</v>
      </c>
      <c r="AJ906" s="21">
        <v>112.18958333333332</v>
      </c>
      <c r="AK906" s="21">
        <v>35</v>
      </c>
      <c r="AL906" s="22" t="s">
        <v>161</v>
      </c>
      <c r="AM906" s="22">
        <v>0.16</v>
      </c>
      <c r="AN906" s="22" t="s">
        <v>2257</v>
      </c>
      <c r="AO906" s="22" t="s">
        <v>2257</v>
      </c>
      <c r="AP906" s="22" t="s">
        <v>162</v>
      </c>
      <c r="AQ906" s="22" t="str">
        <f t="shared" si="140"/>
        <v>Microphytoplankton</v>
      </c>
      <c r="AR906" s="22">
        <v>0</v>
      </c>
      <c r="AS906" s="22">
        <v>0</v>
      </c>
      <c r="AT906" s="22">
        <v>0</v>
      </c>
      <c r="AU906" s="22">
        <v>0</v>
      </c>
      <c r="AV906" s="22">
        <v>0</v>
      </c>
      <c r="AW906" s="22">
        <v>0</v>
      </c>
      <c r="AX906" s="22">
        <v>0</v>
      </c>
      <c r="AY906" s="22">
        <v>1</v>
      </c>
    </row>
    <row r="907" spans="1:57">
      <c r="A907" s="21" t="s">
        <v>2709</v>
      </c>
      <c r="B907" s="22" t="s">
        <v>663</v>
      </c>
      <c r="C907" s="22" t="s">
        <v>2223</v>
      </c>
      <c r="D907" s="22" t="s">
        <v>2224</v>
      </c>
      <c r="E907" s="23" t="s">
        <v>63</v>
      </c>
      <c r="F907" s="23" t="s">
        <v>2225</v>
      </c>
      <c r="G907" s="23" t="s">
        <v>2226</v>
      </c>
      <c r="H907" s="22" t="s">
        <v>2253</v>
      </c>
      <c r="I907" s="22" t="s">
        <v>2692</v>
      </c>
      <c r="J907" s="22" t="s">
        <v>227</v>
      </c>
      <c r="N907" s="22" t="s">
        <v>2710</v>
      </c>
      <c r="O907" s="22" t="s">
        <v>2229</v>
      </c>
      <c r="P907" s="21">
        <v>81750</v>
      </c>
      <c r="Q907" s="22">
        <v>70</v>
      </c>
      <c r="R907" s="22">
        <v>3</v>
      </c>
      <c r="S907" s="22">
        <v>3</v>
      </c>
      <c r="T907" s="22" t="s">
        <v>281</v>
      </c>
      <c r="U907" s="22">
        <v>0.6</v>
      </c>
      <c r="V907" s="22">
        <v>0.6</v>
      </c>
      <c r="W907" s="24">
        <f t="shared" si="141"/>
        <v>3414.3145047022253</v>
      </c>
      <c r="X907" s="24">
        <f>3.14/6*Q907*R907*S907*U907</f>
        <v>197.82000000000002</v>
      </c>
      <c r="Y907" s="22">
        <v>1</v>
      </c>
      <c r="Z907" s="24">
        <f t="shared" si="138"/>
        <v>3414.3145047022253</v>
      </c>
      <c r="AA907" s="24">
        <f t="shared" si="139"/>
        <v>197.82000000000002</v>
      </c>
      <c r="AJ907" s="21">
        <v>298.5</v>
      </c>
      <c r="AK907" s="21">
        <v>70</v>
      </c>
      <c r="AL907" s="22" t="s">
        <v>161</v>
      </c>
      <c r="AM907" s="22">
        <v>0.16</v>
      </c>
      <c r="AN907" s="22" t="s">
        <v>2257</v>
      </c>
      <c r="AO907" s="22" t="s">
        <v>2257</v>
      </c>
      <c r="AP907" s="22" t="s">
        <v>162</v>
      </c>
      <c r="AQ907" s="22" t="str">
        <f t="shared" si="140"/>
        <v>Microphytoplankton</v>
      </c>
      <c r="AR907" s="22">
        <v>0</v>
      </c>
      <c r="AS907" s="22">
        <v>0</v>
      </c>
      <c r="AT907" s="22">
        <v>0</v>
      </c>
      <c r="AU907" s="22">
        <v>0</v>
      </c>
      <c r="AV907" s="22">
        <v>0</v>
      </c>
      <c r="AW907" s="22">
        <v>0</v>
      </c>
      <c r="AX907" s="22">
        <v>0</v>
      </c>
      <c r="AY907" s="22">
        <v>1</v>
      </c>
    </row>
    <row r="908" spans="1:57">
      <c r="A908" s="21" t="s">
        <v>2711</v>
      </c>
      <c r="B908" s="22" t="s">
        <v>663</v>
      </c>
      <c r="C908" s="22" t="s">
        <v>2223</v>
      </c>
      <c r="D908" s="22" t="s">
        <v>2224</v>
      </c>
      <c r="E908" s="23" t="s">
        <v>63</v>
      </c>
      <c r="F908" s="23" t="s">
        <v>2225</v>
      </c>
      <c r="G908" s="23" t="s">
        <v>2226</v>
      </c>
      <c r="H908" s="22" t="s">
        <v>2253</v>
      </c>
      <c r="I908" s="22" t="s">
        <v>2692</v>
      </c>
      <c r="J908" s="38" t="s">
        <v>2418</v>
      </c>
      <c r="K908" s="38"/>
      <c r="L908" s="38"/>
      <c r="N908" s="22" t="s">
        <v>441</v>
      </c>
      <c r="O908" s="22" t="s">
        <v>2229</v>
      </c>
      <c r="P908" s="21">
        <v>81796</v>
      </c>
      <c r="Q908" s="22">
        <v>150</v>
      </c>
      <c r="R908" s="22">
        <v>3.5</v>
      </c>
      <c r="S908" s="22">
        <v>3.5</v>
      </c>
      <c r="T908" s="22" t="s">
        <v>281</v>
      </c>
      <c r="U908" s="22">
        <v>0.8</v>
      </c>
      <c r="V908" s="22">
        <v>0.8</v>
      </c>
      <c r="W908" s="24">
        <f t="shared" si="141"/>
        <v>6398.6952090559234</v>
      </c>
      <c r="X908" s="24">
        <f>3.14/6*Q908*R908*S908*U908</f>
        <v>769.30000000000007</v>
      </c>
      <c r="Y908" s="22">
        <v>1</v>
      </c>
      <c r="Z908" s="24">
        <f t="shared" si="138"/>
        <v>6398.6952090559234</v>
      </c>
      <c r="AA908" s="24">
        <f t="shared" si="139"/>
        <v>769.30000000000007</v>
      </c>
      <c r="AJ908" s="21">
        <v>1470</v>
      </c>
      <c r="AK908" s="21">
        <v>150</v>
      </c>
      <c r="AL908" s="22" t="s">
        <v>161</v>
      </c>
      <c r="AM908" s="22">
        <v>0.16</v>
      </c>
      <c r="AN908" s="38" t="s">
        <v>2257</v>
      </c>
      <c r="AO908" s="22" t="s">
        <v>2257</v>
      </c>
      <c r="AP908" s="22" t="s">
        <v>162</v>
      </c>
      <c r="AQ908" s="22" t="str">
        <f t="shared" si="140"/>
        <v>Microphytoplankton</v>
      </c>
      <c r="AR908" s="22">
        <v>0</v>
      </c>
      <c r="AS908" s="22">
        <v>0</v>
      </c>
      <c r="AT908" s="22">
        <v>0</v>
      </c>
      <c r="AU908" s="22">
        <v>0</v>
      </c>
      <c r="AV908" s="22">
        <v>0</v>
      </c>
      <c r="AW908" s="22">
        <v>0</v>
      </c>
      <c r="AX908" s="22">
        <v>0</v>
      </c>
      <c r="AY908" s="22">
        <v>1</v>
      </c>
    </row>
    <row r="909" spans="1:57">
      <c r="A909" s="22" t="s">
        <v>2712</v>
      </c>
      <c r="B909" s="22" t="s">
        <v>663</v>
      </c>
      <c r="C909" s="22" t="s">
        <v>2223</v>
      </c>
      <c r="D909" s="22" t="s">
        <v>2224</v>
      </c>
      <c r="E909" s="23" t="s">
        <v>63</v>
      </c>
      <c r="F909" s="23" t="s">
        <v>2225</v>
      </c>
      <c r="G909" s="23" t="s">
        <v>2226</v>
      </c>
      <c r="H909" s="22" t="s">
        <v>2253</v>
      </c>
      <c r="I909" s="22" t="s">
        <v>2692</v>
      </c>
      <c r="J909" s="22" t="s">
        <v>2175</v>
      </c>
      <c r="N909" s="22" t="s">
        <v>2713</v>
      </c>
      <c r="O909" s="22" t="s">
        <v>2229</v>
      </c>
      <c r="P909" s="21">
        <v>81799</v>
      </c>
      <c r="Q909" s="22">
        <v>55</v>
      </c>
      <c r="R909" s="22">
        <v>3</v>
      </c>
      <c r="S909" s="22">
        <v>3</v>
      </c>
      <c r="T909" s="22" t="s">
        <v>874</v>
      </c>
      <c r="U909" s="22">
        <v>1</v>
      </c>
      <c r="V909" s="22">
        <v>1</v>
      </c>
      <c r="W909" s="24">
        <f t="shared" si="141"/>
        <v>1610.1336396916679</v>
      </c>
      <c r="X909" s="24">
        <f>3.14/12*R909*S909*Q909*U909</f>
        <v>129.52499999999998</v>
      </c>
      <c r="Y909" s="22">
        <v>1</v>
      </c>
      <c r="Z909" s="24">
        <f t="shared" si="138"/>
        <v>1610.1336396916679</v>
      </c>
      <c r="AA909" s="24">
        <f t="shared" si="139"/>
        <v>129.52499999999998</v>
      </c>
      <c r="AJ909" s="21">
        <v>129.52500000000001</v>
      </c>
      <c r="AK909" s="21">
        <v>55</v>
      </c>
      <c r="AL909" s="22" t="s">
        <v>161</v>
      </c>
      <c r="AM909" s="22">
        <v>0.16</v>
      </c>
      <c r="AN909" s="22" t="s">
        <v>2257</v>
      </c>
      <c r="AO909" s="22" t="s">
        <v>2257</v>
      </c>
      <c r="AP909" s="22" t="s">
        <v>162</v>
      </c>
      <c r="AQ909" s="22" t="str">
        <f t="shared" si="140"/>
        <v>Microphytoplankton</v>
      </c>
      <c r="AR909" s="22">
        <v>0</v>
      </c>
      <c r="AS909" s="22">
        <v>0</v>
      </c>
      <c r="AT909" s="22">
        <v>0</v>
      </c>
      <c r="AU909" s="22">
        <v>0</v>
      </c>
      <c r="AV909" s="22">
        <v>0</v>
      </c>
      <c r="AW909" s="22">
        <v>0</v>
      </c>
      <c r="AX909" s="22">
        <v>0</v>
      </c>
      <c r="AY909" s="22">
        <v>1</v>
      </c>
    </row>
    <row r="910" spans="1:57">
      <c r="A910" s="21" t="s">
        <v>2714</v>
      </c>
      <c r="B910" s="22" t="s">
        <v>663</v>
      </c>
      <c r="C910" s="22" t="s">
        <v>2223</v>
      </c>
      <c r="D910" s="22" t="s">
        <v>2224</v>
      </c>
      <c r="E910" s="23" t="s">
        <v>63</v>
      </c>
      <c r="F910" s="23" t="s">
        <v>2225</v>
      </c>
      <c r="G910" s="23" t="s">
        <v>2226</v>
      </c>
      <c r="H910" s="22" t="s">
        <v>2253</v>
      </c>
      <c r="I910" s="22" t="s">
        <v>2692</v>
      </c>
      <c r="J910" s="22" t="s">
        <v>2715</v>
      </c>
      <c r="N910" s="22" t="s">
        <v>2716</v>
      </c>
      <c r="O910" s="22" t="s">
        <v>2229</v>
      </c>
      <c r="P910" s="22">
        <v>81770</v>
      </c>
      <c r="Q910" s="22">
        <v>70</v>
      </c>
      <c r="R910" s="22">
        <v>2.7</v>
      </c>
      <c r="S910" s="22">
        <v>2.7</v>
      </c>
      <c r="T910" s="22" t="s">
        <v>281</v>
      </c>
      <c r="U910" s="22">
        <v>1.2</v>
      </c>
      <c r="V910" s="22">
        <v>1.2</v>
      </c>
      <c r="W910" s="24">
        <f t="shared" si="141"/>
        <v>1536.4415271160024</v>
      </c>
      <c r="X910" s="24">
        <f>3.14/6*Q910*R910*S910*U910</f>
        <v>320.46840000000009</v>
      </c>
      <c r="Y910" s="22">
        <v>1</v>
      </c>
      <c r="Z910" s="24">
        <f t="shared" si="138"/>
        <v>1536.4415271160024</v>
      </c>
      <c r="AA910" s="24">
        <f t="shared" si="139"/>
        <v>320.46840000000009</v>
      </c>
      <c r="AJ910" s="21">
        <v>160.30000000000001</v>
      </c>
      <c r="AK910" s="21">
        <v>70</v>
      </c>
      <c r="AL910" s="22" t="s">
        <v>161</v>
      </c>
      <c r="AM910" s="22">
        <v>0.16</v>
      </c>
      <c r="AN910" s="22" t="s">
        <v>2257</v>
      </c>
      <c r="AO910" s="22" t="s">
        <v>2257</v>
      </c>
      <c r="AP910" s="22" t="s">
        <v>162</v>
      </c>
      <c r="AQ910" s="22" t="str">
        <f t="shared" si="140"/>
        <v>Microphytoplankton</v>
      </c>
      <c r="AR910" s="22">
        <v>0</v>
      </c>
      <c r="AS910" s="22">
        <v>0</v>
      </c>
      <c r="AT910" s="22">
        <v>0</v>
      </c>
      <c r="AU910" s="22">
        <v>0</v>
      </c>
      <c r="AV910" s="22">
        <v>0</v>
      </c>
      <c r="AW910" s="22">
        <v>0</v>
      </c>
      <c r="AX910" s="22">
        <v>0</v>
      </c>
      <c r="AY910" s="22">
        <v>1</v>
      </c>
      <c r="AZ910" s="22">
        <v>0</v>
      </c>
      <c r="BA910" s="22">
        <v>1</v>
      </c>
      <c r="BB910" s="22">
        <v>0</v>
      </c>
      <c r="BC910" s="22">
        <v>1</v>
      </c>
      <c r="BD910" s="22">
        <v>7</v>
      </c>
      <c r="BE910" s="22">
        <v>1</v>
      </c>
    </row>
    <row r="911" spans="1:57">
      <c r="A911" s="21" t="s">
        <v>2717</v>
      </c>
      <c r="B911" s="22" t="s">
        <v>663</v>
      </c>
      <c r="C911" s="22" t="s">
        <v>2223</v>
      </c>
      <c r="D911" s="22" t="s">
        <v>2224</v>
      </c>
      <c r="E911" s="23" t="s">
        <v>63</v>
      </c>
      <c r="F911" s="23" t="s">
        <v>2225</v>
      </c>
      <c r="G911" s="23" t="s">
        <v>2226</v>
      </c>
      <c r="H911" s="22" t="s">
        <v>2253</v>
      </c>
      <c r="I911" s="22" t="s">
        <v>2692</v>
      </c>
      <c r="J911" s="38" t="s">
        <v>428</v>
      </c>
      <c r="K911" s="38"/>
      <c r="L911" s="38"/>
      <c r="N911" s="22" t="s">
        <v>2718</v>
      </c>
      <c r="O911" s="22" t="s">
        <v>2229</v>
      </c>
      <c r="P911" s="21">
        <v>81720</v>
      </c>
      <c r="Q911" s="21">
        <v>15</v>
      </c>
      <c r="R911" s="21">
        <v>4</v>
      </c>
      <c r="S911" s="21">
        <v>4</v>
      </c>
      <c r="T911" s="21" t="s">
        <v>281</v>
      </c>
      <c r="U911" s="21">
        <v>0.7</v>
      </c>
      <c r="V911" s="21">
        <v>0.7</v>
      </c>
      <c r="W911" s="24">
        <f t="shared" si="141"/>
        <v>842.41571633763772</v>
      </c>
      <c r="X911" s="24">
        <f>3.14/6*Q911*R911*S911*U911</f>
        <v>87.919999999999987</v>
      </c>
      <c r="Y911" s="22">
        <v>1</v>
      </c>
      <c r="Z911" s="24">
        <f t="shared" si="138"/>
        <v>842.41571633763772</v>
      </c>
      <c r="AA911" s="24">
        <f t="shared" si="139"/>
        <v>87.919999999999987</v>
      </c>
      <c r="AB911" s="21"/>
      <c r="AC911" s="21"/>
      <c r="AD911" s="21"/>
      <c r="AE911" s="21"/>
      <c r="AF911" s="21"/>
      <c r="AG911" s="21"/>
      <c r="AH911" s="24"/>
      <c r="AI911" s="24"/>
      <c r="AJ911" s="21">
        <v>131.9</v>
      </c>
      <c r="AK911" s="21">
        <v>15</v>
      </c>
      <c r="AL911" s="22" t="s">
        <v>161</v>
      </c>
      <c r="AM911" s="22">
        <v>0.16</v>
      </c>
      <c r="AN911" s="38" t="s">
        <v>2257</v>
      </c>
      <c r="AO911" s="22" t="s">
        <v>2257</v>
      </c>
      <c r="AP911" s="22" t="s">
        <v>162</v>
      </c>
      <c r="AQ911" s="22" t="str">
        <f t="shared" si="140"/>
        <v>Nanophytoplankton</v>
      </c>
      <c r="AR911" s="22">
        <v>0</v>
      </c>
      <c r="AS911" s="22">
        <v>0</v>
      </c>
      <c r="AT911" s="22">
        <v>0</v>
      </c>
      <c r="AU911" s="22">
        <v>0</v>
      </c>
      <c r="AV911" s="22">
        <v>0</v>
      </c>
      <c r="AW911" s="22">
        <v>0</v>
      </c>
      <c r="AX911" s="22">
        <v>0</v>
      </c>
      <c r="AY911" s="22">
        <v>1</v>
      </c>
      <c r="AZ911" s="22">
        <v>0</v>
      </c>
      <c r="BA911" s="22">
        <v>1</v>
      </c>
      <c r="BB911" s="22">
        <v>0</v>
      </c>
      <c r="BC911" s="22">
        <v>1</v>
      </c>
      <c r="BD911" s="22">
        <v>7</v>
      </c>
      <c r="BE911" s="22">
        <v>1</v>
      </c>
    </row>
    <row r="912" spans="1:57">
      <c r="A912" s="21" t="s">
        <v>2719</v>
      </c>
      <c r="B912" s="22" t="s">
        <v>663</v>
      </c>
      <c r="C912" s="22" t="s">
        <v>2223</v>
      </c>
      <c r="D912" s="22" t="s">
        <v>2224</v>
      </c>
      <c r="E912" s="23" t="s">
        <v>63</v>
      </c>
      <c r="F912" s="23" t="s">
        <v>2225</v>
      </c>
      <c r="G912" s="23" t="s">
        <v>2226</v>
      </c>
      <c r="H912" s="22" t="s">
        <v>2253</v>
      </c>
      <c r="I912" s="22" t="s">
        <v>2692</v>
      </c>
      <c r="J912" s="38" t="s">
        <v>2720</v>
      </c>
      <c r="K912" s="38"/>
      <c r="L912" s="38"/>
      <c r="N912" s="22" t="s">
        <v>2721</v>
      </c>
      <c r="O912" s="22" t="s">
        <v>2229</v>
      </c>
      <c r="P912" s="21">
        <v>81760</v>
      </c>
      <c r="Q912" s="21">
        <v>100</v>
      </c>
      <c r="R912" s="21">
        <v>4</v>
      </c>
      <c r="S912" s="21">
        <v>4</v>
      </c>
      <c r="T912" s="21" t="s">
        <v>281</v>
      </c>
      <c r="U912" s="21">
        <v>0.7</v>
      </c>
      <c r="V912" s="21">
        <v>0.7</v>
      </c>
      <c r="W912" s="24">
        <f t="shared" si="141"/>
        <v>5572.7012725453314</v>
      </c>
      <c r="X912" s="24">
        <f>3.14/6*Q912*R912*S912*U912</f>
        <v>586.13333333333321</v>
      </c>
      <c r="Y912" s="22">
        <v>1</v>
      </c>
      <c r="Z912" s="24">
        <f t="shared" si="138"/>
        <v>5572.7012725453314</v>
      </c>
      <c r="AA912" s="24">
        <f t="shared" si="139"/>
        <v>586.13333333333321</v>
      </c>
      <c r="AB912" s="21"/>
      <c r="AC912" s="21"/>
      <c r="AD912" s="21"/>
      <c r="AE912" s="21"/>
      <c r="AF912" s="21"/>
      <c r="AG912" s="21"/>
      <c r="AH912" s="24"/>
      <c r="AI912" s="24"/>
      <c r="AJ912" s="21">
        <v>879.6</v>
      </c>
      <c r="AK912" s="21">
        <v>100</v>
      </c>
      <c r="AL912" s="22" t="s">
        <v>161</v>
      </c>
      <c r="AM912" s="22">
        <v>0.16</v>
      </c>
      <c r="AN912" s="38" t="s">
        <v>2257</v>
      </c>
      <c r="AO912" s="22" t="s">
        <v>2257</v>
      </c>
      <c r="AP912" s="22" t="s">
        <v>162</v>
      </c>
      <c r="AQ912" s="22" t="str">
        <f t="shared" si="140"/>
        <v>Microphytoplankton</v>
      </c>
      <c r="AR912" s="22">
        <v>0</v>
      </c>
      <c r="AS912" s="22">
        <v>0</v>
      </c>
      <c r="AT912" s="22">
        <v>0</v>
      </c>
      <c r="AU912" s="22">
        <v>0</v>
      </c>
      <c r="AV912" s="22">
        <v>0</v>
      </c>
      <c r="AW912" s="22">
        <v>0</v>
      </c>
      <c r="AX912" s="22">
        <v>0</v>
      </c>
      <c r="AY912" s="22">
        <v>1</v>
      </c>
    </row>
    <row r="913" spans="1:57">
      <c r="A913" s="22" t="s">
        <v>2722</v>
      </c>
      <c r="B913" s="22" t="s">
        <v>663</v>
      </c>
      <c r="C913" s="22" t="s">
        <v>2223</v>
      </c>
      <c r="D913" s="22" t="s">
        <v>2224</v>
      </c>
      <c r="E913" s="23" t="s">
        <v>63</v>
      </c>
      <c r="F913" s="23" t="s">
        <v>2225</v>
      </c>
      <c r="G913" s="23" t="s">
        <v>2226</v>
      </c>
      <c r="H913" s="22" t="s">
        <v>2253</v>
      </c>
      <c r="I913" s="22" t="s">
        <v>2692</v>
      </c>
      <c r="J913" s="22" t="s">
        <v>2723</v>
      </c>
      <c r="N913" s="22" t="s">
        <v>2724</v>
      </c>
      <c r="O913" s="22" t="s">
        <v>2229</v>
      </c>
      <c r="P913" s="21">
        <v>81761</v>
      </c>
      <c r="Q913" s="22">
        <v>3.5</v>
      </c>
      <c r="R913" s="22">
        <v>1.7</v>
      </c>
      <c r="S913" s="22">
        <v>1.7</v>
      </c>
      <c r="T913" s="22" t="s">
        <v>874</v>
      </c>
      <c r="U913" s="22">
        <v>1</v>
      </c>
      <c r="V913" s="22">
        <v>1</v>
      </c>
      <c r="W913" s="24">
        <f t="shared" si="141"/>
        <v>62.771050099504329</v>
      </c>
      <c r="X913" s="24">
        <f>3.14/12*R913*S913*Q913*U913</f>
        <v>2.6467583333333331</v>
      </c>
      <c r="Y913" s="22">
        <v>1</v>
      </c>
      <c r="Z913" s="24">
        <f t="shared" si="138"/>
        <v>62.771050099504329</v>
      </c>
      <c r="AA913" s="24">
        <f t="shared" si="139"/>
        <v>2.6467583333333331</v>
      </c>
      <c r="AJ913" s="21">
        <v>2.6467583333333327</v>
      </c>
      <c r="AK913" s="21">
        <v>3.5</v>
      </c>
      <c r="AL913" s="22" t="s">
        <v>161</v>
      </c>
      <c r="AM913" s="22">
        <v>0.16</v>
      </c>
      <c r="AN913" s="22" t="s">
        <v>2257</v>
      </c>
      <c r="AO913" s="22" t="s">
        <v>2257</v>
      </c>
      <c r="AP913" s="22" t="s">
        <v>626</v>
      </c>
      <c r="AQ913" s="22" t="str">
        <f t="shared" si="140"/>
        <v>Nanophytoplankton</v>
      </c>
      <c r="AR913" s="22">
        <v>0</v>
      </c>
      <c r="AS913" s="22">
        <v>0</v>
      </c>
      <c r="AT913" s="22">
        <v>0</v>
      </c>
      <c r="AU913" s="22">
        <v>0</v>
      </c>
      <c r="AV913" s="22">
        <v>0</v>
      </c>
      <c r="AW913" s="22">
        <v>0</v>
      </c>
      <c r="AX913" s="22">
        <v>0</v>
      </c>
      <c r="AY913" s="22">
        <v>1</v>
      </c>
    </row>
    <row r="914" spans="1:57">
      <c r="A914" s="22" t="s">
        <v>2725</v>
      </c>
      <c r="B914" s="22" t="s">
        <v>663</v>
      </c>
      <c r="C914" s="22" t="s">
        <v>2223</v>
      </c>
      <c r="D914" s="22" t="s">
        <v>2224</v>
      </c>
      <c r="E914" s="23" t="s">
        <v>63</v>
      </c>
      <c r="F914" s="23" t="s">
        <v>2225</v>
      </c>
      <c r="G914" s="23" t="s">
        <v>2226</v>
      </c>
      <c r="H914" s="22" t="s">
        <v>2253</v>
      </c>
      <c r="I914" s="22" t="s">
        <v>2692</v>
      </c>
      <c r="J914" s="22" t="s">
        <v>2676</v>
      </c>
      <c r="N914" s="22" t="s">
        <v>2726</v>
      </c>
      <c r="O914" s="22" t="s">
        <v>2229</v>
      </c>
      <c r="P914" s="21">
        <v>81762</v>
      </c>
      <c r="Q914" s="22">
        <v>19</v>
      </c>
      <c r="R914" s="22">
        <v>4.5</v>
      </c>
      <c r="S914" s="22">
        <v>4.5</v>
      </c>
      <c r="T914" s="22" t="s">
        <v>874</v>
      </c>
      <c r="U914" s="22">
        <v>1</v>
      </c>
      <c r="V914" s="22">
        <v>1</v>
      </c>
      <c r="W914" s="24">
        <f t="shared" si="141"/>
        <v>838.16459622801312</v>
      </c>
      <c r="X914" s="24">
        <f>3.14/12*R914*S914*Q914*U914</f>
        <v>100.67625</v>
      </c>
      <c r="Y914" s="22">
        <v>1</v>
      </c>
      <c r="Z914" s="24">
        <f t="shared" si="138"/>
        <v>838.16459622801312</v>
      </c>
      <c r="AA914" s="24">
        <f t="shared" si="139"/>
        <v>100.67625</v>
      </c>
      <c r="AJ914" s="21">
        <v>100.67625</v>
      </c>
      <c r="AK914" s="21">
        <v>19</v>
      </c>
      <c r="AL914" s="22" t="s">
        <v>161</v>
      </c>
      <c r="AM914" s="22">
        <v>0.16</v>
      </c>
      <c r="AN914" s="22" t="s">
        <v>2257</v>
      </c>
      <c r="AO914" s="22" t="s">
        <v>2257</v>
      </c>
      <c r="AP914" s="22" t="s">
        <v>162</v>
      </c>
      <c r="AQ914" s="22" t="str">
        <f t="shared" si="140"/>
        <v>Nanophytoplankton</v>
      </c>
      <c r="AR914" s="22">
        <v>0</v>
      </c>
      <c r="AS914" s="22">
        <v>0</v>
      </c>
      <c r="AT914" s="22">
        <v>0</v>
      </c>
      <c r="AU914" s="22">
        <v>0</v>
      </c>
      <c r="AV914" s="22">
        <v>0</v>
      </c>
      <c r="AW914" s="22">
        <v>0</v>
      </c>
      <c r="AX914" s="22">
        <v>0</v>
      </c>
      <c r="AY914" s="22">
        <v>1</v>
      </c>
    </row>
    <row r="915" spans="1:57">
      <c r="A915" s="22" t="s">
        <v>2727</v>
      </c>
      <c r="B915" s="22" t="s">
        <v>663</v>
      </c>
      <c r="C915" s="22" t="s">
        <v>2223</v>
      </c>
      <c r="D915" s="22" t="s">
        <v>2224</v>
      </c>
      <c r="E915" s="23" t="s">
        <v>63</v>
      </c>
      <c r="F915" s="23" t="s">
        <v>2225</v>
      </c>
      <c r="G915" s="23" t="s">
        <v>2226</v>
      </c>
      <c r="H915" s="22" t="s">
        <v>2253</v>
      </c>
      <c r="I915" s="22" t="s">
        <v>2692</v>
      </c>
      <c r="J915" s="22" t="s">
        <v>2728</v>
      </c>
      <c r="N915" s="22" t="s">
        <v>2729</v>
      </c>
      <c r="O915" s="22" t="s">
        <v>2229</v>
      </c>
      <c r="P915" s="21">
        <v>81763</v>
      </c>
      <c r="Q915" s="22">
        <f>(7+25)/2</f>
        <v>16</v>
      </c>
      <c r="R915" s="22">
        <f>(1+5)/2</f>
        <v>3</v>
      </c>
      <c r="S915" s="22">
        <f>(1+5)/2</f>
        <v>3</v>
      </c>
      <c r="T915" s="22" t="s">
        <v>874</v>
      </c>
      <c r="U915" s="22">
        <v>1</v>
      </c>
      <c r="V915" s="22">
        <v>1</v>
      </c>
      <c r="W915" s="24">
        <f t="shared" si="141"/>
        <v>471.37783161319118</v>
      </c>
      <c r="X915" s="24">
        <f>3.14/12*R915*S915*Q915*U915</f>
        <v>37.679999999999993</v>
      </c>
      <c r="Y915" s="22">
        <v>1</v>
      </c>
      <c r="Z915" s="24">
        <f t="shared" si="138"/>
        <v>471.37783161319118</v>
      </c>
      <c r="AA915" s="24">
        <f t="shared" si="139"/>
        <v>37.679999999999993</v>
      </c>
      <c r="AJ915" s="21">
        <v>37.679999999999993</v>
      </c>
      <c r="AK915" s="21">
        <v>16</v>
      </c>
      <c r="AL915" s="22" t="s">
        <v>161</v>
      </c>
      <c r="AM915" s="22">
        <v>0.16</v>
      </c>
      <c r="AN915" s="22" t="s">
        <v>2257</v>
      </c>
      <c r="AO915" s="22" t="s">
        <v>2257</v>
      </c>
      <c r="AP915" s="22" t="s">
        <v>162</v>
      </c>
      <c r="AQ915" s="22" t="str">
        <f t="shared" si="140"/>
        <v>Nanophytoplankton</v>
      </c>
      <c r="AR915" s="22">
        <v>0</v>
      </c>
      <c r="AS915" s="22">
        <v>0</v>
      </c>
      <c r="AT915" s="22">
        <v>0</v>
      </c>
      <c r="AU915" s="22">
        <v>0</v>
      </c>
      <c r="AV915" s="22">
        <v>0</v>
      </c>
      <c r="AW915" s="22">
        <v>0</v>
      </c>
      <c r="AX915" s="22">
        <v>0</v>
      </c>
      <c r="AY915" s="22">
        <v>1</v>
      </c>
    </row>
    <row r="916" spans="1:57">
      <c r="A916" s="21" t="s">
        <v>2730</v>
      </c>
      <c r="B916" s="22" t="s">
        <v>663</v>
      </c>
      <c r="C916" s="22" t="s">
        <v>2223</v>
      </c>
      <c r="D916" s="22" t="s">
        <v>2224</v>
      </c>
      <c r="E916" s="23" t="s">
        <v>63</v>
      </c>
      <c r="F916" s="23" t="s">
        <v>2225</v>
      </c>
      <c r="G916" s="23" t="s">
        <v>2226</v>
      </c>
      <c r="H916" s="22" t="s">
        <v>2253</v>
      </c>
      <c r="I916" s="22" t="s">
        <v>2692</v>
      </c>
      <c r="J916" s="38" t="s">
        <v>422</v>
      </c>
      <c r="K916" s="38"/>
      <c r="L916" s="38"/>
      <c r="N916" s="22" t="s">
        <v>2299</v>
      </c>
      <c r="O916" s="22" t="s">
        <v>2229</v>
      </c>
      <c r="P916" s="22">
        <v>81780</v>
      </c>
      <c r="Q916" s="21">
        <v>15</v>
      </c>
      <c r="R916" s="21">
        <v>1.6</v>
      </c>
      <c r="S916" s="21">
        <v>1.6</v>
      </c>
      <c r="T916" s="21" t="s">
        <v>281</v>
      </c>
      <c r="U916" s="21">
        <v>0.8</v>
      </c>
      <c r="V916" s="21">
        <v>0.8</v>
      </c>
      <c r="W916" s="24">
        <f t="shared" si="141"/>
        <v>294.8455007181733</v>
      </c>
      <c r="X916" s="24">
        <f>3.14/6*Q916*R916*S916*U916</f>
        <v>16.076800000000002</v>
      </c>
      <c r="Y916" s="22">
        <v>1</v>
      </c>
      <c r="Z916" s="24">
        <f t="shared" si="138"/>
        <v>294.8455007181733</v>
      </c>
      <c r="AA916" s="24">
        <f t="shared" si="139"/>
        <v>16.076800000000002</v>
      </c>
      <c r="AB916" s="21"/>
      <c r="AC916" s="21"/>
      <c r="AD916" s="21"/>
      <c r="AE916" s="21"/>
      <c r="AF916" s="21"/>
      <c r="AG916" s="21"/>
      <c r="AH916" s="24"/>
      <c r="AI916" s="24"/>
      <c r="AJ916" s="21">
        <v>24.1</v>
      </c>
      <c r="AK916" s="21">
        <v>8</v>
      </c>
      <c r="AL916" s="22" t="s">
        <v>161</v>
      </c>
      <c r="AM916" s="22">
        <v>0.16</v>
      </c>
      <c r="AN916" s="38" t="s">
        <v>2257</v>
      </c>
      <c r="AO916" s="22" t="s">
        <v>2257</v>
      </c>
      <c r="AP916" s="22" t="s">
        <v>162</v>
      </c>
      <c r="AQ916" s="22" t="str">
        <f t="shared" si="140"/>
        <v>Nanophytoplankton</v>
      </c>
      <c r="AR916" s="22">
        <v>0</v>
      </c>
      <c r="AS916" s="22">
        <v>0</v>
      </c>
      <c r="AT916" s="22">
        <v>0</v>
      </c>
      <c r="AU916" s="22">
        <v>0</v>
      </c>
      <c r="AV916" s="22">
        <v>0</v>
      </c>
      <c r="AW916" s="22">
        <v>0</v>
      </c>
      <c r="AX916" s="22">
        <v>0</v>
      </c>
      <c r="AY916" s="22">
        <v>1</v>
      </c>
      <c r="AZ916" s="22">
        <v>0</v>
      </c>
      <c r="BA916" s="22">
        <v>1</v>
      </c>
      <c r="BB916" s="22">
        <v>0</v>
      </c>
      <c r="BC916" s="22">
        <v>1</v>
      </c>
      <c r="BD916" s="22">
        <v>7</v>
      </c>
      <c r="BE916" s="22">
        <v>1</v>
      </c>
    </row>
    <row r="917" spans="1:57">
      <c r="A917" s="21" t="s">
        <v>2731</v>
      </c>
      <c r="B917" s="22" t="s">
        <v>663</v>
      </c>
      <c r="C917" s="22" t="s">
        <v>2223</v>
      </c>
      <c r="D917" s="22" t="s">
        <v>2224</v>
      </c>
      <c r="E917" s="23" t="s">
        <v>63</v>
      </c>
      <c r="F917" s="23" t="s">
        <v>2225</v>
      </c>
      <c r="G917" s="23" t="s">
        <v>2226</v>
      </c>
      <c r="H917" s="22" t="s">
        <v>2253</v>
      </c>
      <c r="I917" s="22" t="s">
        <v>2692</v>
      </c>
      <c r="J917" s="38" t="s">
        <v>211</v>
      </c>
      <c r="K917" s="38"/>
      <c r="L917" s="38"/>
      <c r="M917" s="22" t="s">
        <v>1</v>
      </c>
      <c r="N917" s="22" t="s">
        <v>2732</v>
      </c>
      <c r="O917" s="22" t="s">
        <v>2229</v>
      </c>
      <c r="P917" s="21">
        <v>81700</v>
      </c>
      <c r="Q917" s="21">
        <v>25</v>
      </c>
      <c r="R917" s="21">
        <v>2.5</v>
      </c>
      <c r="S917" s="21">
        <v>2.5</v>
      </c>
      <c r="T917" s="21" t="s">
        <v>281</v>
      </c>
      <c r="U917" s="21">
        <v>1.2</v>
      </c>
      <c r="V917" s="21">
        <v>1</v>
      </c>
      <c r="W917" s="24">
        <f t="shared" si="141"/>
        <v>611.47951676261209</v>
      </c>
      <c r="X917" s="24">
        <f>3.14/6*Q917*R917*S917*U917</f>
        <v>98.124999999999972</v>
      </c>
      <c r="Y917" s="22">
        <v>1</v>
      </c>
      <c r="Z917" s="24">
        <f t="shared" si="138"/>
        <v>611.47951676261209</v>
      </c>
      <c r="AA917" s="24">
        <f t="shared" si="139"/>
        <v>98.124999999999972</v>
      </c>
      <c r="AB917" s="21"/>
      <c r="AC917" s="21"/>
      <c r="AD917" s="21"/>
      <c r="AE917" s="21"/>
      <c r="AF917" s="21"/>
      <c r="AG917" s="21"/>
      <c r="AH917" s="24"/>
      <c r="AI917" s="24"/>
      <c r="AJ917" s="21">
        <v>49.1</v>
      </c>
      <c r="AK917" s="21">
        <v>25</v>
      </c>
      <c r="AL917" s="22" t="s">
        <v>161</v>
      </c>
      <c r="AM917" s="22">
        <v>0.16</v>
      </c>
      <c r="AN917" s="38" t="s">
        <v>2257</v>
      </c>
      <c r="AO917" s="22" t="s">
        <v>2257</v>
      </c>
      <c r="AP917" s="22" t="s">
        <v>162</v>
      </c>
      <c r="AQ917" s="22" t="str">
        <f t="shared" si="140"/>
        <v>Microphytoplankton</v>
      </c>
      <c r="AR917" s="22">
        <v>0</v>
      </c>
      <c r="AS917" s="22">
        <v>0</v>
      </c>
      <c r="AT917" s="22">
        <v>0</v>
      </c>
      <c r="AU917" s="22">
        <v>0</v>
      </c>
      <c r="AV917" s="22">
        <v>0</v>
      </c>
      <c r="AW917" s="22">
        <v>0</v>
      </c>
      <c r="AX917" s="22">
        <v>0</v>
      </c>
      <c r="AY917" s="22">
        <v>1</v>
      </c>
      <c r="AZ917" s="22">
        <v>0</v>
      </c>
      <c r="BA917" s="22">
        <v>1</v>
      </c>
      <c r="BB917" s="22">
        <v>0</v>
      </c>
      <c r="BC917" s="22">
        <v>1</v>
      </c>
      <c r="BD917" s="22">
        <v>7</v>
      </c>
      <c r="BE917" s="22">
        <v>1</v>
      </c>
    </row>
    <row r="918" spans="1:57">
      <c r="A918" s="22" t="s">
        <v>2733</v>
      </c>
      <c r="B918" s="22" t="s">
        <v>663</v>
      </c>
      <c r="C918" s="22" t="s">
        <v>2223</v>
      </c>
      <c r="D918" s="22" t="s">
        <v>2224</v>
      </c>
      <c r="E918" s="23" t="s">
        <v>63</v>
      </c>
      <c r="F918" s="23" t="s">
        <v>2225</v>
      </c>
      <c r="G918" s="23" t="s">
        <v>2226</v>
      </c>
      <c r="H918" s="22" t="s">
        <v>2253</v>
      </c>
      <c r="I918" s="22" t="s">
        <v>2692</v>
      </c>
      <c r="J918" s="22" t="s">
        <v>2734</v>
      </c>
      <c r="N918" s="22" t="s">
        <v>2735</v>
      </c>
      <c r="O918" s="22" t="s">
        <v>2229</v>
      </c>
      <c r="P918" s="21">
        <v>81701</v>
      </c>
      <c r="Q918" s="22">
        <v>20.5</v>
      </c>
      <c r="R918" s="22">
        <v>1</v>
      </c>
      <c r="S918" s="22">
        <v>1</v>
      </c>
      <c r="T918" s="22" t="s">
        <v>874</v>
      </c>
      <c r="U918" s="22">
        <v>1</v>
      </c>
      <c r="V918" s="22">
        <v>1</v>
      </c>
      <c r="W918" s="24">
        <f t="shared" si="141"/>
        <v>200.83523596533831</v>
      </c>
      <c r="X918" s="24">
        <f>3.14/12*R918*S918*Q918*U918</f>
        <v>5.3641666666666667</v>
      </c>
      <c r="Y918" s="22">
        <v>1</v>
      </c>
      <c r="Z918" s="24">
        <f t="shared" si="138"/>
        <v>200.83523596533831</v>
      </c>
      <c r="AA918" s="24">
        <f t="shared" si="139"/>
        <v>5.3641666666666667</v>
      </c>
      <c r="AJ918" s="21">
        <v>5.3641666666666667</v>
      </c>
      <c r="AK918" s="21">
        <v>20.5</v>
      </c>
      <c r="AL918" s="22" t="s">
        <v>161</v>
      </c>
      <c r="AM918" s="22">
        <v>0.16</v>
      </c>
      <c r="AN918" s="22" t="s">
        <v>2257</v>
      </c>
      <c r="AO918" s="22" t="s">
        <v>2257</v>
      </c>
      <c r="AP918" s="22" t="s">
        <v>162</v>
      </c>
      <c r="AQ918" s="22" t="str">
        <f t="shared" si="140"/>
        <v>Microphytoplankton</v>
      </c>
      <c r="AR918" s="22">
        <v>0</v>
      </c>
      <c r="AS918" s="22">
        <v>0</v>
      </c>
      <c r="AT918" s="22">
        <v>0</v>
      </c>
      <c r="AU918" s="22">
        <v>0</v>
      </c>
      <c r="AV918" s="22">
        <v>0</v>
      </c>
      <c r="AW918" s="22">
        <v>0</v>
      </c>
      <c r="AX918" s="22">
        <v>0</v>
      </c>
      <c r="AY918" s="22">
        <v>1</v>
      </c>
    </row>
    <row r="919" spans="1:57">
      <c r="A919" s="22" t="s">
        <v>2736</v>
      </c>
      <c r="B919" s="22" t="s">
        <v>663</v>
      </c>
      <c r="C919" s="22" t="s">
        <v>2223</v>
      </c>
      <c r="D919" s="22" t="s">
        <v>2224</v>
      </c>
      <c r="E919" s="23" t="s">
        <v>63</v>
      </c>
      <c r="F919" s="23" t="s">
        <v>2225</v>
      </c>
      <c r="G919" s="23" t="s">
        <v>2226</v>
      </c>
      <c r="H919" s="22" t="s">
        <v>2239</v>
      </c>
      <c r="I919" s="22" t="s">
        <v>2737</v>
      </c>
      <c r="J919" s="22" t="s">
        <v>2738</v>
      </c>
      <c r="N919" s="22" t="s">
        <v>2352</v>
      </c>
      <c r="O919" s="22" t="s">
        <v>2229</v>
      </c>
      <c r="P919" s="21">
        <v>81702</v>
      </c>
      <c r="Q919" s="22">
        <v>2</v>
      </c>
      <c r="R919" s="22">
        <v>2</v>
      </c>
      <c r="S919" s="22">
        <v>2</v>
      </c>
      <c r="T919" s="22" t="s">
        <v>159</v>
      </c>
      <c r="U919" s="22">
        <v>1</v>
      </c>
      <c r="V919" s="22">
        <v>1</v>
      </c>
      <c r="W919" s="24">
        <f t="shared" si="141"/>
        <v>46.59880302207403</v>
      </c>
      <c r="X919" s="24">
        <f t="shared" ref="X919:X924" si="142">3.14/6*Q919*R919*S919*U919</f>
        <v>4.1866666666666665</v>
      </c>
      <c r="Y919" s="22">
        <v>4</v>
      </c>
      <c r="Z919" s="24">
        <f t="shared" si="138"/>
        <v>186.39521208829612</v>
      </c>
      <c r="AA919" s="24">
        <f t="shared" si="139"/>
        <v>16.746666666666666</v>
      </c>
      <c r="AB919" s="22">
        <v>9</v>
      </c>
      <c r="AC919" s="22">
        <v>2</v>
      </c>
      <c r="AD919" s="22">
        <v>2</v>
      </c>
      <c r="AE919" s="22" t="s">
        <v>159</v>
      </c>
      <c r="AF919" s="22">
        <v>0.8</v>
      </c>
      <c r="AG919" s="22">
        <v>0.8</v>
      </c>
      <c r="AH919" s="24">
        <f t="shared" ref="AH919:AH924" si="143">(4*3.14*(((AB919^1.6*AC919^1.6+AB919^1.6*AD919^1.6+AC919^1.6+AD919^1.6)/3)^(1/1.6)))*(1/AG919)</f>
        <v>223.39195674449005</v>
      </c>
      <c r="AI919" s="24">
        <f t="shared" ref="AI919:AI924" si="144">3.14/6*AB919*AC919*AD919*AF919</f>
        <v>15.072000000000001</v>
      </c>
      <c r="AJ919" s="21">
        <v>75.36</v>
      </c>
      <c r="AK919" s="21">
        <v>9</v>
      </c>
      <c r="AL919" s="22" t="s">
        <v>161</v>
      </c>
      <c r="AM919" s="22">
        <v>0.16</v>
      </c>
      <c r="AO919" s="22" t="s">
        <v>2282</v>
      </c>
      <c r="AP919" s="22" t="s">
        <v>230</v>
      </c>
      <c r="AQ919" s="22" t="str">
        <f t="shared" si="140"/>
        <v>Nanophytoplankton</v>
      </c>
      <c r="AR919" s="22">
        <v>0</v>
      </c>
      <c r="AS919" s="22">
        <v>0</v>
      </c>
      <c r="AT919" s="22">
        <v>0</v>
      </c>
      <c r="AU919" s="22">
        <v>1</v>
      </c>
      <c r="AV919" s="22">
        <v>0</v>
      </c>
      <c r="AW919" s="22">
        <v>0</v>
      </c>
      <c r="AX919" s="22">
        <v>0</v>
      </c>
      <c r="AY919" s="22">
        <v>1</v>
      </c>
    </row>
    <row r="920" spans="1:57">
      <c r="A920" s="22" t="s">
        <v>2739</v>
      </c>
      <c r="B920" s="22" t="s">
        <v>663</v>
      </c>
      <c r="C920" s="22" t="s">
        <v>2223</v>
      </c>
      <c r="D920" s="22" t="s">
        <v>2224</v>
      </c>
      <c r="E920" s="23" t="s">
        <v>63</v>
      </c>
      <c r="F920" s="23" t="s">
        <v>2225</v>
      </c>
      <c r="G920" s="23" t="s">
        <v>2226</v>
      </c>
      <c r="H920" s="22" t="s">
        <v>2239</v>
      </c>
      <c r="I920" s="22" t="s">
        <v>2737</v>
      </c>
      <c r="J920" s="22" t="s">
        <v>2740</v>
      </c>
      <c r="N920" s="22" t="s">
        <v>520</v>
      </c>
      <c r="O920" s="22" t="s">
        <v>2229</v>
      </c>
      <c r="P920" s="21">
        <v>81703</v>
      </c>
      <c r="Q920" s="22">
        <v>5.5</v>
      </c>
      <c r="R920" s="22">
        <v>2</v>
      </c>
      <c r="S920" s="22">
        <v>2</v>
      </c>
      <c r="T920" s="22" t="s">
        <v>281</v>
      </c>
      <c r="U920" s="22">
        <v>1</v>
      </c>
      <c r="V920" s="22">
        <v>1</v>
      </c>
      <c r="W920" s="24">
        <f t="shared" si="141"/>
        <v>111.56158033722667</v>
      </c>
      <c r="X920" s="24">
        <f t="shared" si="142"/>
        <v>11.513333333333334</v>
      </c>
      <c r="Y920" s="22">
        <v>2</v>
      </c>
      <c r="Z920" s="24">
        <f t="shared" si="138"/>
        <v>223.12316067445335</v>
      </c>
      <c r="AA920" s="24">
        <f t="shared" si="139"/>
        <v>23.026666666666667</v>
      </c>
      <c r="AB920" s="22">
        <v>11</v>
      </c>
      <c r="AC920" s="22">
        <v>2</v>
      </c>
      <c r="AD920" s="22">
        <v>2</v>
      </c>
      <c r="AE920" s="22" t="s">
        <v>159</v>
      </c>
      <c r="AF920" s="22">
        <v>0.8</v>
      </c>
      <c r="AG920" s="22">
        <v>0.8</v>
      </c>
      <c r="AH920" s="24">
        <f t="shared" si="143"/>
        <v>271.67948352139894</v>
      </c>
      <c r="AI920" s="24">
        <f t="shared" si="144"/>
        <v>18.421333333333333</v>
      </c>
      <c r="AJ920" s="21">
        <v>23.026666666666667</v>
      </c>
      <c r="AK920" s="21">
        <v>11</v>
      </c>
      <c r="AL920" s="22" t="s">
        <v>161</v>
      </c>
      <c r="AM920" s="22">
        <v>0.16</v>
      </c>
      <c r="AO920" s="22" t="s">
        <v>2282</v>
      </c>
      <c r="AP920" s="22" t="s">
        <v>230</v>
      </c>
      <c r="AQ920" s="22" t="str">
        <f t="shared" si="140"/>
        <v>Nanophytoplankton</v>
      </c>
      <c r="AR920" s="22">
        <v>0</v>
      </c>
      <c r="AS920" s="22">
        <v>0</v>
      </c>
      <c r="AT920" s="22">
        <v>0</v>
      </c>
      <c r="AU920" s="22">
        <v>1</v>
      </c>
      <c r="AV920" s="22">
        <v>0</v>
      </c>
      <c r="AW920" s="22">
        <v>0</v>
      </c>
      <c r="AX920" s="22">
        <v>0</v>
      </c>
      <c r="AY920" s="22">
        <v>1</v>
      </c>
    </row>
    <row r="921" spans="1:57">
      <c r="A921" s="21" t="s">
        <v>2741</v>
      </c>
      <c r="B921" s="22" t="s">
        <v>663</v>
      </c>
      <c r="C921" s="22" t="s">
        <v>2223</v>
      </c>
      <c r="D921" s="22" t="s">
        <v>2224</v>
      </c>
      <c r="E921" s="23" t="s">
        <v>63</v>
      </c>
      <c r="F921" s="23" t="s">
        <v>2225</v>
      </c>
      <c r="G921" s="23" t="s">
        <v>2226</v>
      </c>
      <c r="H921" s="22" t="s">
        <v>2239</v>
      </c>
      <c r="I921" s="22" t="s">
        <v>2737</v>
      </c>
      <c r="J921" s="38" t="s">
        <v>2742</v>
      </c>
      <c r="K921" s="38"/>
      <c r="L921" s="38"/>
      <c r="N921" s="22" t="s">
        <v>2743</v>
      </c>
      <c r="O921" s="22" t="s">
        <v>2229</v>
      </c>
      <c r="P921" s="22">
        <v>81311</v>
      </c>
      <c r="Q921" s="21">
        <v>8</v>
      </c>
      <c r="R921" s="21">
        <v>2.5</v>
      </c>
      <c r="S921" s="21">
        <v>2.5</v>
      </c>
      <c r="T921" s="21" t="s">
        <v>159</v>
      </c>
      <c r="U921" s="21">
        <v>1</v>
      </c>
      <c r="V921" s="21">
        <v>1</v>
      </c>
      <c r="W921" s="24">
        <f t="shared" si="141"/>
        <v>199.31290153559314</v>
      </c>
      <c r="X921" s="24">
        <f t="shared" si="142"/>
        <v>26.166666666666668</v>
      </c>
      <c r="Y921" s="21">
        <v>2</v>
      </c>
      <c r="Z921" s="24">
        <f t="shared" si="138"/>
        <v>398.62580307118628</v>
      </c>
      <c r="AA921" s="24">
        <f t="shared" si="139"/>
        <v>52.333333333333336</v>
      </c>
      <c r="AB921" s="21">
        <v>12</v>
      </c>
      <c r="AC921" s="21">
        <v>2.5</v>
      </c>
      <c r="AD921" s="21">
        <v>2.5</v>
      </c>
      <c r="AE921" s="21" t="s">
        <v>159</v>
      </c>
      <c r="AF921" s="22">
        <v>0.8</v>
      </c>
      <c r="AG921" s="22">
        <v>0.8</v>
      </c>
      <c r="AH921" s="24">
        <f t="shared" si="143"/>
        <v>369.83642846708494</v>
      </c>
      <c r="AI921" s="24">
        <f t="shared" si="144"/>
        <v>31.400000000000002</v>
      </c>
      <c r="AJ921" s="21">
        <v>52.4</v>
      </c>
      <c r="AK921" s="21">
        <v>12</v>
      </c>
      <c r="AL921" s="22" t="s">
        <v>161</v>
      </c>
      <c r="AM921" s="22">
        <v>0.16</v>
      </c>
      <c r="AN921" s="38"/>
      <c r="AO921" s="22" t="s">
        <v>2282</v>
      </c>
      <c r="AP921" s="22" t="s">
        <v>230</v>
      </c>
      <c r="AQ921" s="22" t="str">
        <f t="shared" si="140"/>
        <v>Nanophytoplankton</v>
      </c>
      <c r="AR921" s="22">
        <v>0</v>
      </c>
      <c r="AS921" s="22">
        <v>0</v>
      </c>
      <c r="AT921" s="22">
        <v>0</v>
      </c>
      <c r="AU921" s="22">
        <v>1</v>
      </c>
      <c r="AV921" s="22">
        <v>0</v>
      </c>
      <c r="AW921" s="22">
        <v>0</v>
      </c>
      <c r="AX921" s="22">
        <v>0</v>
      </c>
      <c r="AY921" s="22">
        <v>1</v>
      </c>
    </row>
    <row r="922" spans="1:57">
      <c r="A922" s="21" t="s">
        <v>2744</v>
      </c>
      <c r="B922" s="22" t="s">
        <v>663</v>
      </c>
      <c r="C922" s="22" t="s">
        <v>2223</v>
      </c>
      <c r="D922" s="22" t="s">
        <v>2224</v>
      </c>
      <c r="E922" s="23" t="s">
        <v>63</v>
      </c>
      <c r="F922" s="23" t="s">
        <v>2225</v>
      </c>
      <c r="G922" s="23" t="s">
        <v>2226</v>
      </c>
      <c r="H922" s="22" t="s">
        <v>2239</v>
      </c>
      <c r="I922" s="22" t="s">
        <v>2745</v>
      </c>
      <c r="J922" s="22" t="s">
        <v>2746</v>
      </c>
      <c r="N922" s="22" t="s">
        <v>228</v>
      </c>
      <c r="O922" s="22" t="s">
        <v>2229</v>
      </c>
      <c r="P922" s="22">
        <v>81315</v>
      </c>
      <c r="Q922" s="21">
        <v>20</v>
      </c>
      <c r="R922" s="21">
        <v>5</v>
      </c>
      <c r="S922" s="21">
        <v>5</v>
      </c>
      <c r="T922" s="21" t="s">
        <v>159</v>
      </c>
      <c r="U922" s="21">
        <v>1</v>
      </c>
      <c r="V922" s="21">
        <v>1</v>
      </c>
      <c r="W922" s="24">
        <f t="shared" si="141"/>
        <v>979.87905462110689</v>
      </c>
      <c r="X922" s="24">
        <f t="shared" si="142"/>
        <v>261.66666666666669</v>
      </c>
      <c r="Y922" s="21">
        <v>4</v>
      </c>
      <c r="Z922" s="24">
        <f t="shared" si="138"/>
        <v>3919.5162184844276</v>
      </c>
      <c r="AA922" s="24">
        <f t="shared" si="139"/>
        <v>1046.6666666666667</v>
      </c>
      <c r="AB922" s="21">
        <v>40</v>
      </c>
      <c r="AC922" s="21">
        <v>40</v>
      </c>
      <c r="AD922" s="21">
        <v>40</v>
      </c>
      <c r="AE922" s="21" t="s">
        <v>159</v>
      </c>
      <c r="AF922" s="21">
        <v>0.3</v>
      </c>
      <c r="AG922" s="21">
        <v>1</v>
      </c>
      <c r="AH922" s="24">
        <f t="shared" si="143"/>
        <v>15624.046118762988</v>
      </c>
      <c r="AI922" s="24">
        <f t="shared" si="144"/>
        <v>10048</v>
      </c>
      <c r="AJ922" s="21">
        <v>10048</v>
      </c>
      <c r="AK922" s="21">
        <v>40</v>
      </c>
      <c r="AL922" s="22" t="s">
        <v>161</v>
      </c>
      <c r="AM922" s="22">
        <v>0.16</v>
      </c>
      <c r="AO922" s="22" t="s">
        <v>2282</v>
      </c>
      <c r="AP922" s="22" t="s">
        <v>230</v>
      </c>
      <c r="AQ922" s="22" t="str">
        <f t="shared" si="140"/>
        <v>Microphytoplankton</v>
      </c>
      <c r="AR922" s="22">
        <v>0</v>
      </c>
      <c r="AS922" s="22">
        <v>0</v>
      </c>
      <c r="AT922" s="22">
        <v>0</v>
      </c>
      <c r="AU922" s="22">
        <v>1</v>
      </c>
      <c r="AV922" s="22">
        <v>0</v>
      </c>
      <c r="AW922" s="22">
        <v>0</v>
      </c>
      <c r="AX922" s="22">
        <v>0</v>
      </c>
      <c r="AY922" s="22">
        <v>1</v>
      </c>
    </row>
    <row r="923" spans="1:57">
      <c r="A923" s="21" t="s">
        <v>2747</v>
      </c>
      <c r="B923" s="22" t="s">
        <v>663</v>
      </c>
      <c r="C923" s="22" t="s">
        <v>2223</v>
      </c>
      <c r="D923" s="22" t="s">
        <v>2224</v>
      </c>
      <c r="E923" s="23" t="s">
        <v>63</v>
      </c>
      <c r="F923" s="23" t="s">
        <v>2225</v>
      </c>
      <c r="G923" s="23" t="s">
        <v>2226</v>
      </c>
      <c r="H923" s="22" t="s">
        <v>2239</v>
      </c>
      <c r="I923" s="22" t="s">
        <v>2745</v>
      </c>
      <c r="J923" s="22" t="s">
        <v>176</v>
      </c>
      <c r="N923" s="22" t="s">
        <v>2748</v>
      </c>
      <c r="O923" s="22" t="s">
        <v>2229</v>
      </c>
      <c r="P923" s="22">
        <v>81313</v>
      </c>
      <c r="Q923" s="21">
        <v>17.5</v>
      </c>
      <c r="R923" s="21">
        <v>7</v>
      </c>
      <c r="S923" s="21">
        <v>7</v>
      </c>
      <c r="T923" s="21" t="s">
        <v>159</v>
      </c>
      <c r="U923" s="21">
        <v>1</v>
      </c>
      <c r="V923" s="21">
        <v>1</v>
      </c>
      <c r="W923" s="24">
        <f t="shared" si="141"/>
        <v>1201.819821828685</v>
      </c>
      <c r="X923" s="24">
        <f t="shared" si="142"/>
        <v>448.75833333333333</v>
      </c>
      <c r="Y923" s="21">
        <v>4</v>
      </c>
      <c r="Z923" s="24">
        <f t="shared" si="138"/>
        <v>4807.27928731474</v>
      </c>
      <c r="AA923" s="24">
        <f t="shared" si="139"/>
        <v>1795.0333333333333</v>
      </c>
      <c r="AB923" s="21">
        <v>40</v>
      </c>
      <c r="AC923" s="21">
        <v>40</v>
      </c>
      <c r="AD923" s="21">
        <v>40</v>
      </c>
      <c r="AE923" s="21" t="s">
        <v>159</v>
      </c>
      <c r="AF923" s="21">
        <v>0.3</v>
      </c>
      <c r="AG923" s="21">
        <v>1</v>
      </c>
      <c r="AH923" s="24">
        <f t="shared" si="143"/>
        <v>15624.046118762988</v>
      </c>
      <c r="AI923" s="24">
        <f t="shared" si="144"/>
        <v>10048</v>
      </c>
      <c r="AJ923" s="21">
        <v>1795.0333333333333</v>
      </c>
      <c r="AK923" s="21">
        <v>17.5</v>
      </c>
      <c r="AL923" s="22" t="s">
        <v>2512</v>
      </c>
      <c r="AM923" s="22">
        <v>0.16</v>
      </c>
      <c r="AO923" s="22" t="s">
        <v>2282</v>
      </c>
      <c r="AP923" s="22" t="s">
        <v>230</v>
      </c>
      <c r="AQ923" s="22" t="str">
        <f t="shared" si="140"/>
        <v>Nanophytoplankton</v>
      </c>
      <c r="AR923" s="22">
        <v>0</v>
      </c>
      <c r="AS923" s="22">
        <v>0</v>
      </c>
      <c r="AT923" s="22">
        <v>0</v>
      </c>
      <c r="AU923" s="22">
        <v>1</v>
      </c>
      <c r="AV923" s="22">
        <v>0</v>
      </c>
      <c r="AW923" s="22">
        <v>0</v>
      </c>
      <c r="AX923" s="22">
        <v>0</v>
      </c>
      <c r="AY923" s="22">
        <v>1</v>
      </c>
    </row>
    <row r="924" spans="1:57">
      <c r="A924" s="22" t="s">
        <v>2749</v>
      </c>
      <c r="B924" s="22" t="s">
        <v>663</v>
      </c>
      <c r="C924" s="22" t="s">
        <v>2223</v>
      </c>
      <c r="D924" s="22" t="s">
        <v>2224</v>
      </c>
      <c r="E924" s="23" t="s">
        <v>63</v>
      </c>
      <c r="F924" s="23" t="s">
        <v>2225</v>
      </c>
      <c r="G924" s="23" t="s">
        <v>2226</v>
      </c>
      <c r="H924" s="22" t="s">
        <v>2239</v>
      </c>
      <c r="I924" s="22" t="s">
        <v>2745</v>
      </c>
      <c r="J924" s="22" t="s">
        <v>211</v>
      </c>
      <c r="M924" s="22" t="s">
        <v>1</v>
      </c>
      <c r="N924" s="22" t="s">
        <v>228</v>
      </c>
      <c r="O924" s="22" t="s">
        <v>2229</v>
      </c>
      <c r="P924" s="22">
        <v>81314</v>
      </c>
      <c r="Q924" s="22">
        <v>15</v>
      </c>
      <c r="R924" s="22">
        <v>4</v>
      </c>
      <c r="S924" s="22">
        <v>4</v>
      </c>
      <c r="T924" s="21" t="s">
        <v>159</v>
      </c>
      <c r="U924" s="21">
        <v>1</v>
      </c>
      <c r="V924" s="21">
        <v>1</v>
      </c>
      <c r="W924" s="24">
        <f t="shared" si="141"/>
        <v>589.69100143634637</v>
      </c>
      <c r="X924" s="24">
        <f t="shared" si="142"/>
        <v>125.6</v>
      </c>
      <c r="Y924" s="22">
        <v>4</v>
      </c>
      <c r="Z924" s="24">
        <f t="shared" si="138"/>
        <v>2358.7640057453855</v>
      </c>
      <c r="AA924" s="24">
        <f t="shared" si="139"/>
        <v>502.4</v>
      </c>
      <c r="AB924" s="21">
        <v>40</v>
      </c>
      <c r="AC924" s="21">
        <v>40</v>
      </c>
      <c r="AD924" s="21">
        <v>40</v>
      </c>
      <c r="AE924" s="21" t="s">
        <v>159</v>
      </c>
      <c r="AF924" s="21">
        <v>0.3</v>
      </c>
      <c r="AG924" s="21">
        <v>1</v>
      </c>
      <c r="AH924" s="24">
        <f t="shared" si="143"/>
        <v>15624.046118762988</v>
      </c>
      <c r="AI924" s="24">
        <f t="shared" si="144"/>
        <v>10048</v>
      </c>
      <c r="AJ924" s="21">
        <v>502.4</v>
      </c>
      <c r="AK924" s="21">
        <v>15</v>
      </c>
      <c r="AL924" s="22" t="s">
        <v>161</v>
      </c>
      <c r="AM924" s="22">
        <v>0.16</v>
      </c>
      <c r="AO924" s="22" t="s">
        <v>2282</v>
      </c>
      <c r="AP924" s="22" t="s">
        <v>230</v>
      </c>
      <c r="AQ924" s="22" t="str">
        <f t="shared" si="140"/>
        <v>Nanophytoplankton</v>
      </c>
      <c r="AR924" s="22">
        <v>0</v>
      </c>
      <c r="AS924" s="22">
        <v>0</v>
      </c>
      <c r="AT924" s="22">
        <v>0</v>
      </c>
      <c r="AU924" s="22">
        <v>1</v>
      </c>
      <c r="AV924" s="22">
        <v>0</v>
      </c>
      <c r="AW924" s="22">
        <v>0</v>
      </c>
      <c r="AX924" s="22">
        <v>0</v>
      </c>
      <c r="AY924" s="22">
        <v>1</v>
      </c>
    </row>
    <row r="925" spans="1:57">
      <c r="A925" s="21" t="s">
        <v>2750</v>
      </c>
      <c r="B925" s="22" t="s">
        <v>663</v>
      </c>
      <c r="C925" s="22" t="s">
        <v>2223</v>
      </c>
      <c r="D925" s="22" t="s">
        <v>2224</v>
      </c>
      <c r="E925" s="23" t="s">
        <v>63</v>
      </c>
      <c r="F925" s="23" t="s">
        <v>2225</v>
      </c>
      <c r="G925" s="23" t="s">
        <v>2751</v>
      </c>
      <c r="H925" s="23" t="s">
        <v>2752</v>
      </c>
      <c r="I925" s="22" t="s">
        <v>2753</v>
      </c>
      <c r="J925" s="22" t="s">
        <v>2754</v>
      </c>
      <c r="M925" s="22" t="s">
        <v>1</v>
      </c>
      <c r="N925" s="22" t="s">
        <v>2755</v>
      </c>
      <c r="O925" s="22" t="s">
        <v>2229</v>
      </c>
      <c r="P925" s="21">
        <v>83523</v>
      </c>
      <c r="Q925" s="21">
        <v>12</v>
      </c>
      <c r="R925" s="21">
        <v>6</v>
      </c>
      <c r="S925" s="21">
        <v>6</v>
      </c>
      <c r="T925" s="21" t="s">
        <v>160</v>
      </c>
      <c r="U925" s="21">
        <v>1</v>
      </c>
      <c r="V925" s="21">
        <v>1</v>
      </c>
      <c r="W925" s="24">
        <f>3.14*R925*Q925+2*3.14*(S925/2)^2/V925</f>
        <v>282.59999999999997</v>
      </c>
      <c r="X925" s="25">
        <f>(3.14/4*R925^2*Q925)*U925</f>
        <v>339.12</v>
      </c>
      <c r="Y925" s="21">
        <v>8</v>
      </c>
      <c r="Z925" s="24">
        <f t="shared" si="138"/>
        <v>2260.7999999999997</v>
      </c>
      <c r="AA925" s="24">
        <f t="shared" si="139"/>
        <v>2712.96</v>
      </c>
      <c r="AB925" s="21">
        <v>100</v>
      </c>
      <c r="AC925" s="21">
        <v>6</v>
      </c>
      <c r="AD925" s="21">
        <v>6</v>
      </c>
      <c r="AE925" s="21" t="s">
        <v>160</v>
      </c>
      <c r="AF925" s="21">
        <v>1</v>
      </c>
      <c r="AG925" s="21">
        <v>1</v>
      </c>
      <c r="AH925" s="24">
        <f>3.14*AC925*AB925+2*3.14*(AD925/2)^2/AG925</f>
        <v>1940.52</v>
      </c>
      <c r="AI925" s="25">
        <f>(3.14/4*AC925^2*AB925)*AF925</f>
        <v>2826</v>
      </c>
      <c r="AJ925" s="21">
        <v>2827.4</v>
      </c>
      <c r="AK925" s="21">
        <v>100</v>
      </c>
      <c r="AL925" s="22" t="s">
        <v>161</v>
      </c>
      <c r="AM925" s="22">
        <v>0.16</v>
      </c>
      <c r="AQ925" s="22" t="str">
        <f t="shared" si="140"/>
        <v>Microphytoplankton</v>
      </c>
      <c r="AR925" s="22">
        <v>0</v>
      </c>
      <c r="AS925" s="22">
        <v>0</v>
      </c>
      <c r="AT925" s="22">
        <v>0</v>
      </c>
      <c r="AU925" s="22">
        <v>1</v>
      </c>
      <c r="AV925" s="22">
        <v>1</v>
      </c>
      <c r="AW925" s="22">
        <v>0</v>
      </c>
      <c r="AX925" s="22">
        <v>0</v>
      </c>
      <c r="AY925" s="22">
        <v>1</v>
      </c>
    </row>
    <row r="926" spans="1:57">
      <c r="A926" s="21" t="s">
        <v>2756</v>
      </c>
      <c r="B926" s="22" t="s">
        <v>663</v>
      </c>
      <c r="C926" s="22" t="s">
        <v>2223</v>
      </c>
      <c r="D926" s="22" t="s">
        <v>2224</v>
      </c>
      <c r="E926" s="23" t="s">
        <v>63</v>
      </c>
      <c r="F926" s="23" t="s">
        <v>2225</v>
      </c>
      <c r="G926" s="23" t="s">
        <v>2751</v>
      </c>
      <c r="H926" s="23" t="s">
        <v>2752</v>
      </c>
      <c r="I926" s="22" t="s">
        <v>2753</v>
      </c>
      <c r="J926" s="22" t="s">
        <v>211</v>
      </c>
      <c r="K926" s="38"/>
      <c r="L926" s="38"/>
      <c r="M926" s="22" t="s">
        <v>1</v>
      </c>
      <c r="N926" s="22" t="s">
        <v>2757</v>
      </c>
      <c r="O926" s="22" t="s">
        <v>2229</v>
      </c>
      <c r="P926" s="21">
        <v>83521</v>
      </c>
      <c r="Q926" s="21">
        <v>9</v>
      </c>
      <c r="R926" s="21">
        <v>4.5</v>
      </c>
      <c r="S926" s="21">
        <v>4.5</v>
      </c>
      <c r="T926" s="21" t="s">
        <v>160</v>
      </c>
      <c r="U926" s="21">
        <v>1</v>
      </c>
      <c r="V926" s="21">
        <v>1</v>
      </c>
      <c r="W926" s="24">
        <f>3.14*R926*Q926+2*3.14*(S926/2)^2/V926</f>
        <v>158.96250000000001</v>
      </c>
      <c r="X926" s="25">
        <f>(3.14/4*R926^2*Q926)*U926</f>
        <v>143.06625</v>
      </c>
      <c r="Y926" s="21">
        <v>11</v>
      </c>
      <c r="Z926" s="24">
        <f t="shared" si="138"/>
        <v>1748.5875000000001</v>
      </c>
      <c r="AA926" s="24">
        <f t="shared" si="139"/>
        <v>1573.72875</v>
      </c>
      <c r="AB926" s="21">
        <v>100</v>
      </c>
      <c r="AC926" s="21">
        <v>4.5</v>
      </c>
      <c r="AD926" s="21">
        <v>4.5</v>
      </c>
      <c r="AE926" s="21" t="s">
        <v>160</v>
      </c>
      <c r="AF926" s="21">
        <v>1</v>
      </c>
      <c r="AG926" s="21">
        <v>1</v>
      </c>
      <c r="AH926" s="24">
        <f>3.14*AC926*AB926+2*3.14*(AD926/2)^2/AG926</f>
        <v>1444.7925</v>
      </c>
      <c r="AI926" s="25">
        <f>(3.14/4*AC926^2*AB926)*AF926</f>
        <v>1589.625</v>
      </c>
      <c r="AJ926" s="21">
        <v>1590.4</v>
      </c>
      <c r="AK926" s="21">
        <v>100</v>
      </c>
      <c r="AL926" s="22" t="s">
        <v>161</v>
      </c>
      <c r="AM926" s="22">
        <v>0.16</v>
      </c>
      <c r="AN926" s="38"/>
      <c r="AQ926" s="22" t="str">
        <f t="shared" si="140"/>
        <v>Microphytoplankton</v>
      </c>
      <c r="AR926" s="22">
        <v>0</v>
      </c>
      <c r="AS926" s="22">
        <v>0</v>
      </c>
      <c r="AT926" s="22">
        <v>0</v>
      </c>
      <c r="AU926" s="22">
        <v>1</v>
      </c>
      <c r="AV926" s="22">
        <v>1</v>
      </c>
      <c r="AW926" s="22">
        <v>0</v>
      </c>
      <c r="AX926" s="22">
        <v>0</v>
      </c>
      <c r="AY926" s="22">
        <v>1</v>
      </c>
    </row>
    <row r="927" spans="1:57">
      <c r="A927" s="21" t="s">
        <v>2758</v>
      </c>
      <c r="B927" s="22" t="s">
        <v>663</v>
      </c>
      <c r="C927" s="22" t="s">
        <v>2223</v>
      </c>
      <c r="D927" s="22" t="s">
        <v>2224</v>
      </c>
      <c r="E927" s="23" t="s">
        <v>63</v>
      </c>
      <c r="F927" s="23" t="s">
        <v>2225</v>
      </c>
      <c r="G927" s="23" t="s">
        <v>2226</v>
      </c>
      <c r="H927" s="22" t="s">
        <v>2239</v>
      </c>
      <c r="I927" s="22" t="s">
        <v>51</v>
      </c>
      <c r="J927" s="22" t="s">
        <v>2759</v>
      </c>
      <c r="K927" s="38"/>
      <c r="L927" s="38"/>
      <c r="N927" s="22" t="s">
        <v>2760</v>
      </c>
      <c r="O927" s="22" t="s">
        <v>2229</v>
      </c>
      <c r="P927" s="21">
        <v>83527</v>
      </c>
      <c r="Q927" s="22">
        <v>16</v>
      </c>
      <c r="R927" s="22">
        <v>13</v>
      </c>
      <c r="S927" s="22">
        <v>13</v>
      </c>
      <c r="T927" s="22" t="s">
        <v>159</v>
      </c>
      <c r="U927" s="22">
        <v>1</v>
      </c>
      <c r="V927" s="22">
        <v>1</v>
      </c>
      <c r="W927" s="24">
        <f t="shared" ref="W927:W940" si="145">(4*3.14*(((Q927^1.6*R927^1.6+Q927^1.6*S927^1.6+R927^1.6+S927^1.6)/3)^(1/1.6)))*(1/V927)</f>
        <v>2042.6372703238269</v>
      </c>
      <c r="X927" s="24">
        <f t="shared" ref="X927:X937" si="146">3.14/6*Q927*R927*S927*U927</f>
        <v>1415.0933333333332</v>
      </c>
      <c r="Y927" s="22">
        <v>4</v>
      </c>
      <c r="Z927" s="24">
        <f t="shared" si="138"/>
        <v>8170.5490812953076</v>
      </c>
      <c r="AA927" s="24">
        <f t="shared" si="139"/>
        <v>5660.373333333333</v>
      </c>
      <c r="AB927" s="22">
        <v>40</v>
      </c>
      <c r="AC927" s="22">
        <v>30</v>
      </c>
      <c r="AD927" s="22">
        <v>30</v>
      </c>
      <c r="AE927" s="22" t="s">
        <v>159</v>
      </c>
      <c r="AF927" s="22">
        <v>0.4</v>
      </c>
      <c r="AG927" s="22">
        <v>1</v>
      </c>
      <c r="AH927" s="24">
        <f t="shared" ref="AH927:AH932" si="147">(4*3.14*(((AB927^1.6*AC927^1.6+AB927^1.6*AD927^1.6+AC927^1.6+AD927^1.6)/3)^(1/1.6)))*(1/AG927)</f>
        <v>11718.034589072233</v>
      </c>
      <c r="AI927" s="24">
        <f t="shared" ref="AI927:AI932" si="148">3.14/6*AB927*AC927*AD927*AF927</f>
        <v>7536</v>
      </c>
      <c r="AJ927" s="21">
        <v>5660.373333333333</v>
      </c>
      <c r="AK927" s="21">
        <v>40</v>
      </c>
      <c r="AL927" s="22" t="s">
        <v>161</v>
      </c>
      <c r="AM927" s="22">
        <v>0.16</v>
      </c>
      <c r="AN927" s="22" t="s">
        <v>2282</v>
      </c>
      <c r="AO927" s="22" t="s">
        <v>2282</v>
      </c>
      <c r="AP927" s="22" t="s">
        <v>230</v>
      </c>
      <c r="AQ927" s="22" t="str">
        <f t="shared" si="140"/>
        <v>Microphytoplankton</v>
      </c>
      <c r="AR927" s="22">
        <v>0</v>
      </c>
      <c r="AS927" s="22">
        <v>0</v>
      </c>
      <c r="AT927" s="22">
        <v>0</v>
      </c>
      <c r="AU927" s="22">
        <v>0</v>
      </c>
      <c r="AV927" s="22">
        <v>0</v>
      </c>
      <c r="AW927" s="22">
        <v>0</v>
      </c>
      <c r="AX927" s="22">
        <v>0</v>
      </c>
      <c r="AY927" s="22">
        <v>1</v>
      </c>
    </row>
    <row r="928" spans="1:57">
      <c r="A928" s="21" t="s">
        <v>2761</v>
      </c>
      <c r="B928" s="22" t="s">
        <v>663</v>
      </c>
      <c r="C928" s="22" t="s">
        <v>2223</v>
      </c>
      <c r="D928" s="22" t="s">
        <v>2224</v>
      </c>
      <c r="E928" s="23" t="s">
        <v>63</v>
      </c>
      <c r="F928" s="23" t="s">
        <v>2225</v>
      </c>
      <c r="G928" s="23" t="s">
        <v>2226</v>
      </c>
      <c r="H928" s="22" t="s">
        <v>2239</v>
      </c>
      <c r="I928" s="22" t="s">
        <v>51</v>
      </c>
      <c r="J928" s="38" t="s">
        <v>2762</v>
      </c>
      <c r="K928" s="38"/>
      <c r="L928" s="38"/>
      <c r="N928" s="22" t="s">
        <v>2763</v>
      </c>
      <c r="O928" s="22" t="s">
        <v>2229</v>
      </c>
      <c r="P928" s="21">
        <v>81250</v>
      </c>
      <c r="Q928" s="21">
        <v>6.7</v>
      </c>
      <c r="R928" s="21">
        <v>3.5</v>
      </c>
      <c r="S928" s="21">
        <v>3.5</v>
      </c>
      <c r="T928" s="21" t="s">
        <v>159</v>
      </c>
      <c r="U928" s="21">
        <v>1</v>
      </c>
      <c r="V928" s="21">
        <v>1</v>
      </c>
      <c r="W928" s="24">
        <f t="shared" si="145"/>
        <v>235.35138972928968</v>
      </c>
      <c r="X928" s="24">
        <f t="shared" si="146"/>
        <v>42.952583333333337</v>
      </c>
      <c r="Y928" s="21">
        <v>2</v>
      </c>
      <c r="Z928" s="24">
        <f t="shared" si="138"/>
        <v>470.70277945857936</v>
      </c>
      <c r="AA928" s="24">
        <f t="shared" si="139"/>
        <v>85.905166666666673</v>
      </c>
      <c r="AB928" s="21">
        <v>12</v>
      </c>
      <c r="AC928" s="21">
        <v>4</v>
      </c>
      <c r="AD928" s="21">
        <v>4</v>
      </c>
      <c r="AE928" s="21" t="s">
        <v>159</v>
      </c>
      <c r="AF928" s="21">
        <v>0.8</v>
      </c>
      <c r="AG928" s="21">
        <v>1</v>
      </c>
      <c r="AH928" s="24">
        <f t="shared" si="147"/>
        <v>473.39062843786877</v>
      </c>
      <c r="AI928" s="24">
        <f t="shared" si="148"/>
        <v>80.384</v>
      </c>
      <c r="AJ928" s="21">
        <v>86</v>
      </c>
      <c r="AK928" s="21">
        <v>6.7</v>
      </c>
      <c r="AL928" s="22" t="s">
        <v>161</v>
      </c>
      <c r="AM928" s="22">
        <v>0.16</v>
      </c>
      <c r="AN928" s="22" t="s">
        <v>2282</v>
      </c>
      <c r="AO928" s="22" t="s">
        <v>2282</v>
      </c>
      <c r="AP928" s="22" t="s">
        <v>230</v>
      </c>
      <c r="AQ928" s="22" t="str">
        <f t="shared" si="140"/>
        <v>Nanophytoplankton</v>
      </c>
      <c r="AR928" s="22">
        <v>0</v>
      </c>
      <c r="AS928" s="22">
        <v>0</v>
      </c>
      <c r="AT928" s="22">
        <v>0</v>
      </c>
      <c r="AU928" s="22">
        <v>0</v>
      </c>
      <c r="AV928" s="22">
        <v>0</v>
      </c>
      <c r="AW928" s="22">
        <v>0</v>
      </c>
      <c r="AX928" s="22">
        <v>0</v>
      </c>
      <c r="AY928" s="22">
        <v>1</v>
      </c>
    </row>
    <row r="929" spans="1:57">
      <c r="A929" s="21" t="s">
        <v>2764</v>
      </c>
      <c r="B929" s="22" t="s">
        <v>663</v>
      </c>
      <c r="C929" s="22" t="s">
        <v>2223</v>
      </c>
      <c r="D929" s="22" t="s">
        <v>2224</v>
      </c>
      <c r="E929" s="23" t="s">
        <v>63</v>
      </c>
      <c r="F929" s="23" t="s">
        <v>2225</v>
      </c>
      <c r="G929" s="23" t="s">
        <v>2226</v>
      </c>
      <c r="H929" s="22" t="s">
        <v>2239</v>
      </c>
      <c r="I929" s="22" t="s">
        <v>51</v>
      </c>
      <c r="J929" s="38" t="s">
        <v>440</v>
      </c>
      <c r="K929" s="38"/>
      <c r="L929" s="38"/>
      <c r="N929" s="22" t="s">
        <v>2765</v>
      </c>
      <c r="O929" s="22" t="s">
        <v>2229</v>
      </c>
      <c r="P929" s="21">
        <v>81240</v>
      </c>
      <c r="Q929" s="22">
        <v>7</v>
      </c>
      <c r="R929" s="22">
        <v>3</v>
      </c>
      <c r="S929" s="22">
        <v>3</v>
      </c>
      <c r="T929" s="21" t="s">
        <v>159</v>
      </c>
      <c r="U929" s="21">
        <v>1</v>
      </c>
      <c r="V929" s="21">
        <v>1</v>
      </c>
      <c r="W929" s="24">
        <f t="shared" si="145"/>
        <v>210.35649196309433</v>
      </c>
      <c r="X929" s="24">
        <f t="shared" si="146"/>
        <v>32.97</v>
      </c>
      <c r="Y929" s="22">
        <v>4</v>
      </c>
      <c r="Z929" s="24">
        <f t="shared" si="138"/>
        <v>841.42596785237731</v>
      </c>
      <c r="AA929" s="24">
        <f t="shared" si="139"/>
        <v>131.88</v>
      </c>
      <c r="AB929" s="22">
        <v>12</v>
      </c>
      <c r="AC929" s="22">
        <v>7</v>
      </c>
      <c r="AD929" s="22">
        <v>7</v>
      </c>
      <c r="AE929" s="22" t="s">
        <v>159</v>
      </c>
      <c r="AF929" s="22">
        <v>0.7</v>
      </c>
      <c r="AG929" s="22">
        <v>1</v>
      </c>
      <c r="AH929" s="24">
        <f t="shared" si="147"/>
        <v>828.43359976626994</v>
      </c>
      <c r="AI929" s="24">
        <f t="shared" si="148"/>
        <v>215.40399999999997</v>
      </c>
      <c r="AJ929" s="21">
        <v>527.79999999999995</v>
      </c>
      <c r="AK929" s="21">
        <v>12</v>
      </c>
      <c r="AL929" s="22" t="s">
        <v>161</v>
      </c>
      <c r="AM929" s="22">
        <v>0.16</v>
      </c>
      <c r="AN929" s="22" t="s">
        <v>2282</v>
      </c>
      <c r="AO929" s="22" t="s">
        <v>2282</v>
      </c>
      <c r="AP929" s="22" t="s">
        <v>230</v>
      </c>
      <c r="AQ929" s="22" t="str">
        <f t="shared" si="140"/>
        <v>Nanophytoplankton</v>
      </c>
      <c r="AR929" s="22">
        <v>0</v>
      </c>
      <c r="AS929" s="22">
        <v>0</v>
      </c>
      <c r="AT929" s="22">
        <v>0</v>
      </c>
      <c r="AU929" s="22">
        <v>0</v>
      </c>
      <c r="AV929" s="22">
        <v>0</v>
      </c>
      <c r="AW929" s="22">
        <v>0</v>
      </c>
      <c r="AX929" s="22">
        <v>0</v>
      </c>
      <c r="AY929" s="22">
        <v>1</v>
      </c>
    </row>
    <row r="930" spans="1:57">
      <c r="A930" s="21" t="s">
        <v>2766</v>
      </c>
      <c r="B930" s="22" t="s">
        <v>663</v>
      </c>
      <c r="C930" s="22" t="s">
        <v>2223</v>
      </c>
      <c r="D930" s="22" t="s">
        <v>2224</v>
      </c>
      <c r="E930" s="23" t="s">
        <v>63</v>
      </c>
      <c r="F930" s="23" t="s">
        <v>2225</v>
      </c>
      <c r="G930" s="23" t="s">
        <v>2226</v>
      </c>
      <c r="H930" s="22" t="s">
        <v>2239</v>
      </c>
      <c r="I930" s="22" t="s">
        <v>51</v>
      </c>
      <c r="J930" s="38" t="s">
        <v>408</v>
      </c>
      <c r="K930" s="38"/>
      <c r="L930" s="38"/>
      <c r="N930" s="22" t="s">
        <v>409</v>
      </c>
      <c r="O930" s="22" t="s">
        <v>2229</v>
      </c>
      <c r="P930" s="21">
        <v>81210</v>
      </c>
      <c r="Q930" s="22">
        <v>8.5</v>
      </c>
      <c r="R930" s="22">
        <v>4</v>
      </c>
      <c r="S930" s="22">
        <v>4</v>
      </c>
      <c r="T930" s="21" t="s">
        <v>159</v>
      </c>
      <c r="U930" s="21">
        <v>1</v>
      </c>
      <c r="V930" s="21">
        <v>1</v>
      </c>
      <c r="W930" s="24">
        <f t="shared" si="145"/>
        <v>338.15313367704772</v>
      </c>
      <c r="X930" s="24">
        <f t="shared" si="146"/>
        <v>71.173333333333332</v>
      </c>
      <c r="Y930" s="22">
        <v>4</v>
      </c>
      <c r="Z930" s="24">
        <f t="shared" si="138"/>
        <v>1352.6125347081909</v>
      </c>
      <c r="AA930" s="24">
        <f t="shared" si="139"/>
        <v>284.69333333333333</v>
      </c>
      <c r="AB930" s="22">
        <v>30</v>
      </c>
      <c r="AC930" s="22">
        <v>8</v>
      </c>
      <c r="AD930" s="22">
        <v>8</v>
      </c>
      <c r="AE930" s="22" t="s">
        <v>159</v>
      </c>
      <c r="AF930" s="22">
        <v>0.7</v>
      </c>
      <c r="AG930" s="22">
        <v>1</v>
      </c>
      <c r="AH930" s="24">
        <f t="shared" si="147"/>
        <v>2345.940185399169</v>
      </c>
      <c r="AI930" s="24">
        <f t="shared" si="148"/>
        <v>703.3599999999999</v>
      </c>
      <c r="AJ930" s="21">
        <v>284.60000000000002</v>
      </c>
      <c r="AK930" s="21">
        <v>30</v>
      </c>
      <c r="AL930" s="22" t="s">
        <v>161</v>
      </c>
      <c r="AM930" s="22">
        <v>0.16</v>
      </c>
      <c r="AN930" s="22" t="s">
        <v>2282</v>
      </c>
      <c r="AO930" s="22" t="s">
        <v>2282</v>
      </c>
      <c r="AP930" s="22" t="s">
        <v>230</v>
      </c>
      <c r="AQ930" s="22" t="str">
        <f t="shared" si="140"/>
        <v>Microphytoplankton</v>
      </c>
      <c r="AR930" s="22">
        <v>0</v>
      </c>
      <c r="AS930" s="22">
        <v>0</v>
      </c>
      <c r="AT930" s="22">
        <v>0</v>
      </c>
      <c r="AU930" s="22">
        <v>0</v>
      </c>
      <c r="AV930" s="22">
        <v>0</v>
      </c>
      <c r="AW930" s="22">
        <v>0</v>
      </c>
      <c r="AX930" s="22">
        <v>0</v>
      </c>
      <c r="AY930" s="22">
        <v>1</v>
      </c>
      <c r="AZ930" s="22">
        <v>0</v>
      </c>
      <c r="BA930" s="22">
        <v>0</v>
      </c>
      <c r="BB930" s="22">
        <v>0</v>
      </c>
      <c r="BC930" s="22">
        <v>1</v>
      </c>
      <c r="BD930" s="22">
        <v>6</v>
      </c>
      <c r="BE930" s="22">
        <v>3</v>
      </c>
    </row>
    <row r="931" spans="1:57">
      <c r="A931" s="22" t="s">
        <v>2767</v>
      </c>
      <c r="B931" s="22" t="s">
        <v>663</v>
      </c>
      <c r="C931" s="22" t="s">
        <v>2223</v>
      </c>
      <c r="D931" s="22" t="s">
        <v>2224</v>
      </c>
      <c r="E931" s="23" t="s">
        <v>63</v>
      </c>
      <c r="F931" s="23" t="s">
        <v>2225</v>
      </c>
      <c r="G931" s="23" t="s">
        <v>2226</v>
      </c>
      <c r="H931" s="22" t="s">
        <v>2239</v>
      </c>
      <c r="I931" s="22" t="s">
        <v>51</v>
      </c>
      <c r="J931" s="22" t="s">
        <v>844</v>
      </c>
      <c r="N931" s="22" t="s">
        <v>167</v>
      </c>
      <c r="O931" s="22" t="s">
        <v>2229</v>
      </c>
      <c r="P931" s="21">
        <v>81211</v>
      </c>
      <c r="Q931" s="22">
        <v>16</v>
      </c>
      <c r="R931" s="22">
        <v>9</v>
      </c>
      <c r="S931" s="22">
        <v>9</v>
      </c>
      <c r="T931" s="21" t="s">
        <v>159</v>
      </c>
      <c r="U931" s="21">
        <v>1</v>
      </c>
      <c r="V931" s="21">
        <v>1</v>
      </c>
      <c r="W931" s="24">
        <f t="shared" si="145"/>
        <v>1414.133494839574</v>
      </c>
      <c r="X931" s="24">
        <f t="shared" si="146"/>
        <v>678.24</v>
      </c>
      <c r="Y931" s="22">
        <v>4</v>
      </c>
      <c r="Z931" s="24">
        <f t="shared" si="138"/>
        <v>5656.5339793582962</v>
      </c>
      <c r="AA931" s="24">
        <f t="shared" si="139"/>
        <v>2712.96</v>
      </c>
      <c r="AB931" s="22">
        <v>32</v>
      </c>
      <c r="AC931" s="22">
        <v>20</v>
      </c>
      <c r="AD931" s="22">
        <v>20</v>
      </c>
      <c r="AE931" s="22" t="s">
        <v>159</v>
      </c>
      <c r="AF931" s="22">
        <v>0.7</v>
      </c>
      <c r="AG931" s="22">
        <v>1</v>
      </c>
      <c r="AH931" s="24">
        <f t="shared" si="147"/>
        <v>6254.1861034732528</v>
      </c>
      <c r="AI931" s="24">
        <f t="shared" si="148"/>
        <v>4689.0666666666666</v>
      </c>
      <c r="AJ931" s="21">
        <v>678.24</v>
      </c>
      <c r="AK931" s="21">
        <v>32</v>
      </c>
      <c r="AL931" s="22" t="s">
        <v>161</v>
      </c>
      <c r="AM931" s="22">
        <v>0.16</v>
      </c>
      <c r="AN931" s="22" t="s">
        <v>2282</v>
      </c>
      <c r="AO931" s="22" t="s">
        <v>2282</v>
      </c>
      <c r="AP931" s="22" t="s">
        <v>230</v>
      </c>
      <c r="AQ931" s="22" t="str">
        <f t="shared" si="140"/>
        <v>Microphytoplankton</v>
      </c>
      <c r="AR931" s="22">
        <v>0</v>
      </c>
      <c r="AS931" s="22">
        <v>0</v>
      </c>
      <c r="AT931" s="22">
        <v>0</v>
      </c>
      <c r="AU931" s="22">
        <v>0</v>
      </c>
      <c r="AV931" s="22">
        <v>0</v>
      </c>
      <c r="AW931" s="22">
        <v>0</v>
      </c>
      <c r="AX931" s="22">
        <v>0</v>
      </c>
      <c r="AY931" s="22">
        <v>1</v>
      </c>
    </row>
    <row r="932" spans="1:57">
      <c r="A932" s="22" t="s">
        <v>2768</v>
      </c>
      <c r="B932" s="22" t="s">
        <v>663</v>
      </c>
      <c r="C932" s="22" t="s">
        <v>2223</v>
      </c>
      <c r="D932" s="22" t="s">
        <v>2224</v>
      </c>
      <c r="E932" s="23" t="s">
        <v>63</v>
      </c>
      <c r="F932" s="23" t="s">
        <v>2225</v>
      </c>
      <c r="G932" s="23" t="s">
        <v>2226</v>
      </c>
      <c r="H932" s="22" t="s">
        <v>2239</v>
      </c>
      <c r="I932" s="22" t="s">
        <v>51</v>
      </c>
      <c r="J932" s="22" t="s">
        <v>1795</v>
      </c>
      <c r="N932" s="22" t="s">
        <v>2769</v>
      </c>
      <c r="O932" s="22" t="s">
        <v>2229</v>
      </c>
      <c r="P932" s="21">
        <v>81212</v>
      </c>
      <c r="Q932" s="22">
        <v>28</v>
      </c>
      <c r="R932" s="22">
        <v>17</v>
      </c>
      <c r="S932" s="22">
        <v>17</v>
      </c>
      <c r="T932" s="21" t="s">
        <v>159</v>
      </c>
      <c r="U932" s="21">
        <v>1</v>
      </c>
      <c r="V932" s="21">
        <v>1</v>
      </c>
      <c r="W932" s="24">
        <f t="shared" si="145"/>
        <v>4654.2448787351304</v>
      </c>
      <c r="X932" s="24">
        <f t="shared" si="146"/>
        <v>4234.8133333333335</v>
      </c>
      <c r="Y932" s="22">
        <v>2</v>
      </c>
      <c r="Z932" s="24">
        <f t="shared" si="138"/>
        <v>9308.4897574702609</v>
      </c>
      <c r="AA932" s="24">
        <f t="shared" si="139"/>
        <v>8469.626666666667</v>
      </c>
      <c r="AB932" s="22">
        <v>50</v>
      </c>
      <c r="AC932" s="22">
        <v>30</v>
      </c>
      <c r="AD932" s="22">
        <v>30</v>
      </c>
      <c r="AE932" s="22" t="s">
        <v>159</v>
      </c>
      <c r="AF932" s="22">
        <v>0.7</v>
      </c>
      <c r="AG932" s="22">
        <v>1</v>
      </c>
      <c r="AH932" s="24">
        <f t="shared" si="147"/>
        <v>14640.04929099075</v>
      </c>
      <c r="AI932" s="24">
        <f t="shared" si="148"/>
        <v>16484.999999999996</v>
      </c>
      <c r="AJ932" s="21">
        <v>8469.626666666667</v>
      </c>
      <c r="AK932" s="21">
        <v>50</v>
      </c>
      <c r="AL932" s="22" t="s">
        <v>161</v>
      </c>
      <c r="AM932" s="22">
        <v>0.16</v>
      </c>
      <c r="AN932" s="22" t="s">
        <v>2282</v>
      </c>
      <c r="AO932" s="22" t="s">
        <v>2282</v>
      </c>
      <c r="AP932" s="22" t="s">
        <v>230</v>
      </c>
      <c r="AQ932" s="22" t="str">
        <f t="shared" si="140"/>
        <v>Microphytoplankton</v>
      </c>
      <c r="AR932" s="22">
        <v>0</v>
      </c>
      <c r="AS932" s="22">
        <v>0</v>
      </c>
      <c r="AT932" s="22">
        <v>0</v>
      </c>
      <c r="AU932" s="22">
        <v>0</v>
      </c>
      <c r="AV932" s="22">
        <v>0</v>
      </c>
      <c r="AW932" s="22">
        <v>0</v>
      </c>
      <c r="AX932" s="22">
        <v>0</v>
      </c>
      <c r="AY932" s="22">
        <v>1</v>
      </c>
    </row>
    <row r="933" spans="1:57">
      <c r="A933" s="22" t="s">
        <v>2770</v>
      </c>
      <c r="B933" s="22" t="s">
        <v>663</v>
      </c>
      <c r="C933" s="22" t="s">
        <v>2223</v>
      </c>
      <c r="D933" s="22" t="s">
        <v>2224</v>
      </c>
      <c r="E933" s="23" t="s">
        <v>63</v>
      </c>
      <c r="F933" s="23" t="s">
        <v>2225</v>
      </c>
      <c r="G933" s="23" t="s">
        <v>2226</v>
      </c>
      <c r="H933" s="22" t="s">
        <v>2239</v>
      </c>
      <c r="I933" s="22" t="s">
        <v>51</v>
      </c>
      <c r="J933" s="22" t="s">
        <v>1142</v>
      </c>
      <c r="N933" s="22" t="s">
        <v>2771</v>
      </c>
      <c r="O933" s="22" t="s">
        <v>2229</v>
      </c>
      <c r="P933" s="21">
        <v>81213</v>
      </c>
      <c r="Q933" s="22">
        <v>20</v>
      </c>
      <c r="R933" s="22">
        <v>14</v>
      </c>
      <c r="S933" s="22">
        <v>14</v>
      </c>
      <c r="T933" s="21" t="s">
        <v>159</v>
      </c>
      <c r="U933" s="21">
        <v>1</v>
      </c>
      <c r="V933" s="21">
        <v>1</v>
      </c>
      <c r="W933" s="24">
        <f t="shared" si="145"/>
        <v>2743.6613529390993</v>
      </c>
      <c r="X933" s="24">
        <f t="shared" si="146"/>
        <v>2051.4666666666667</v>
      </c>
      <c r="Y933" s="22">
        <v>1</v>
      </c>
      <c r="Z933" s="24">
        <f t="shared" si="138"/>
        <v>2743.6613529390993</v>
      </c>
      <c r="AA933" s="24">
        <f t="shared" si="139"/>
        <v>2051.4666666666667</v>
      </c>
      <c r="AJ933" s="21">
        <v>2051.4666666666662</v>
      </c>
      <c r="AK933" s="21">
        <v>20</v>
      </c>
      <c r="AL933" s="22" t="s">
        <v>161</v>
      </c>
      <c r="AM933" s="22">
        <v>0.16</v>
      </c>
      <c r="AN933" s="22" t="s">
        <v>2282</v>
      </c>
      <c r="AO933" s="22" t="s">
        <v>2282</v>
      </c>
      <c r="AP933" s="22" t="s">
        <v>230</v>
      </c>
      <c r="AQ933" s="22" t="str">
        <f t="shared" si="140"/>
        <v>Microphytoplankton</v>
      </c>
      <c r="AR933" s="22">
        <v>0</v>
      </c>
      <c r="AS933" s="22">
        <v>0</v>
      </c>
      <c r="AT933" s="22">
        <v>0</v>
      </c>
      <c r="AU933" s="22">
        <v>0</v>
      </c>
      <c r="AV933" s="22">
        <v>0</v>
      </c>
      <c r="AW933" s="22">
        <v>0</v>
      </c>
      <c r="AX933" s="22">
        <v>0</v>
      </c>
      <c r="AY933" s="22">
        <v>1</v>
      </c>
    </row>
    <row r="934" spans="1:57">
      <c r="A934" s="21" t="s">
        <v>2772</v>
      </c>
      <c r="B934" s="22" t="s">
        <v>663</v>
      </c>
      <c r="C934" s="22" t="s">
        <v>2223</v>
      </c>
      <c r="D934" s="22" t="s">
        <v>2224</v>
      </c>
      <c r="E934" s="23" t="s">
        <v>63</v>
      </c>
      <c r="F934" s="23" t="s">
        <v>2225</v>
      </c>
      <c r="G934" s="23" t="s">
        <v>2226</v>
      </c>
      <c r="H934" s="22" t="s">
        <v>2239</v>
      </c>
      <c r="I934" s="22" t="s">
        <v>51</v>
      </c>
      <c r="J934" s="38" t="s">
        <v>2773</v>
      </c>
      <c r="K934" s="38"/>
      <c r="L934" s="38"/>
      <c r="N934" s="22" t="s">
        <v>1367</v>
      </c>
      <c r="O934" s="22" t="s">
        <v>2229</v>
      </c>
      <c r="P934" s="21">
        <v>81230</v>
      </c>
      <c r="Q934" s="22">
        <v>6.5</v>
      </c>
      <c r="R934" s="22">
        <v>3</v>
      </c>
      <c r="S934" s="22">
        <v>3</v>
      </c>
      <c r="T934" s="21" t="s">
        <v>159</v>
      </c>
      <c r="U934" s="21">
        <v>1</v>
      </c>
      <c r="V934" s="21">
        <v>1</v>
      </c>
      <c r="W934" s="24">
        <f t="shared" si="145"/>
        <v>195.98439887450738</v>
      </c>
      <c r="X934" s="24">
        <f t="shared" si="146"/>
        <v>30.614999999999995</v>
      </c>
      <c r="Y934" s="22">
        <v>4</v>
      </c>
      <c r="Z934" s="24">
        <f t="shared" si="138"/>
        <v>783.93759549802951</v>
      </c>
      <c r="AA934" s="24">
        <f t="shared" si="139"/>
        <v>122.45999999999998</v>
      </c>
      <c r="AB934" s="22">
        <v>12</v>
      </c>
      <c r="AC934" s="22">
        <v>6</v>
      </c>
      <c r="AD934" s="22">
        <v>6</v>
      </c>
      <c r="AE934" s="22" t="s">
        <v>159</v>
      </c>
      <c r="AF934" s="22">
        <v>0.7</v>
      </c>
      <c r="AG934" s="22">
        <v>1</v>
      </c>
      <c r="AH934" s="24">
        <f>(4*3.14*(((AB934^1.6*AC934^1.6+AB934^1.6*AD934^1.6+AC934^1.6+AD934^1.6)/3)^(1/1.6)))*(1/AG934)</f>
        <v>710.08594265680301</v>
      </c>
      <c r="AI934" s="24">
        <f>3.14/6*AB934*AC934*AD934*AF934</f>
        <v>158.25599999999997</v>
      </c>
      <c r="AJ934" s="21">
        <v>122.5</v>
      </c>
      <c r="AK934" s="21">
        <v>6.5</v>
      </c>
      <c r="AL934" s="22" t="s">
        <v>161</v>
      </c>
      <c r="AM934" s="22">
        <v>0.16</v>
      </c>
      <c r="AN934" s="22" t="s">
        <v>2282</v>
      </c>
      <c r="AO934" s="22" t="s">
        <v>2282</v>
      </c>
      <c r="AP934" s="22" t="s">
        <v>230</v>
      </c>
      <c r="AQ934" s="22" t="str">
        <f t="shared" si="140"/>
        <v>Nanophytoplankton</v>
      </c>
      <c r="AR934" s="22">
        <v>0</v>
      </c>
      <c r="AS934" s="22">
        <v>0</v>
      </c>
      <c r="AT934" s="22">
        <v>0</v>
      </c>
      <c r="AU934" s="22">
        <v>0</v>
      </c>
      <c r="AV934" s="22">
        <v>0</v>
      </c>
      <c r="AW934" s="22">
        <v>0</v>
      </c>
      <c r="AX934" s="22">
        <v>0</v>
      </c>
      <c r="AY934" s="22">
        <v>1</v>
      </c>
    </row>
    <row r="935" spans="1:57">
      <c r="A935" s="21" t="s">
        <v>2774</v>
      </c>
      <c r="B935" s="22" t="s">
        <v>663</v>
      </c>
      <c r="C935" s="22" t="s">
        <v>2223</v>
      </c>
      <c r="D935" s="22" t="s">
        <v>2224</v>
      </c>
      <c r="E935" s="23" t="s">
        <v>63</v>
      </c>
      <c r="F935" s="23" t="s">
        <v>2225</v>
      </c>
      <c r="G935" s="23" t="s">
        <v>2226</v>
      </c>
      <c r="H935" s="22" t="s">
        <v>2239</v>
      </c>
      <c r="I935" s="22" t="s">
        <v>51</v>
      </c>
      <c r="J935" s="22" t="s">
        <v>207</v>
      </c>
      <c r="N935" s="22" t="s">
        <v>2775</v>
      </c>
      <c r="O935" s="22" t="s">
        <v>2229</v>
      </c>
      <c r="P935" s="21">
        <v>81220</v>
      </c>
      <c r="Q935" s="21">
        <v>20</v>
      </c>
      <c r="R935" s="21">
        <v>10</v>
      </c>
      <c r="S935" s="21">
        <v>10</v>
      </c>
      <c r="T935" s="21" t="s">
        <v>159</v>
      </c>
      <c r="U935" s="21">
        <v>1</v>
      </c>
      <c r="V935" s="21">
        <v>1</v>
      </c>
      <c r="W935" s="24">
        <f t="shared" si="145"/>
        <v>1959.7581092422138</v>
      </c>
      <c r="X935" s="24">
        <f t="shared" si="146"/>
        <v>1046.6666666666667</v>
      </c>
      <c r="Y935" s="21">
        <v>1</v>
      </c>
      <c r="Z935" s="24">
        <f t="shared" si="138"/>
        <v>1959.7581092422138</v>
      </c>
      <c r="AA935" s="24">
        <f t="shared" si="139"/>
        <v>1046.6666666666667</v>
      </c>
      <c r="AB935" s="21"/>
      <c r="AC935" s="21"/>
      <c r="AD935" s="21"/>
      <c r="AE935" s="21"/>
      <c r="AF935" s="21"/>
      <c r="AG935" s="21"/>
      <c r="AH935" s="24"/>
      <c r="AI935" s="24"/>
      <c r="AJ935" s="21">
        <v>1047.2</v>
      </c>
      <c r="AK935" s="21">
        <v>20</v>
      </c>
      <c r="AL935" s="22" t="s">
        <v>161</v>
      </c>
      <c r="AM935" s="22">
        <v>0.16</v>
      </c>
      <c r="AN935" s="22" t="s">
        <v>2282</v>
      </c>
      <c r="AO935" s="22" t="s">
        <v>2282</v>
      </c>
      <c r="AP935" s="22" t="s">
        <v>230</v>
      </c>
      <c r="AQ935" s="22" t="str">
        <f t="shared" si="140"/>
        <v>Microphytoplankton</v>
      </c>
      <c r="AR935" s="22">
        <v>0</v>
      </c>
      <c r="AS935" s="22">
        <v>0</v>
      </c>
      <c r="AT935" s="22">
        <v>0</v>
      </c>
      <c r="AU935" s="22">
        <v>0</v>
      </c>
      <c r="AV935" s="22">
        <v>0</v>
      </c>
      <c r="AW935" s="22">
        <v>0</v>
      </c>
      <c r="AX935" s="22">
        <v>0</v>
      </c>
      <c r="AY935" s="22">
        <v>1</v>
      </c>
      <c r="AZ935" s="22">
        <v>0</v>
      </c>
      <c r="BA935" s="22">
        <v>0</v>
      </c>
      <c r="BB935" s="22">
        <v>0</v>
      </c>
      <c r="BC935" s="22">
        <v>1</v>
      </c>
      <c r="BD935" s="22">
        <v>6</v>
      </c>
      <c r="BE935" s="22">
        <v>3</v>
      </c>
    </row>
    <row r="936" spans="1:57">
      <c r="A936" s="21" t="s">
        <v>2776</v>
      </c>
      <c r="B936" s="22" t="s">
        <v>663</v>
      </c>
      <c r="C936" s="22" t="s">
        <v>2223</v>
      </c>
      <c r="D936" s="22" t="s">
        <v>2224</v>
      </c>
      <c r="E936" s="23" t="s">
        <v>63</v>
      </c>
      <c r="F936" s="23" t="s">
        <v>2225</v>
      </c>
      <c r="G936" s="23" t="s">
        <v>2226</v>
      </c>
      <c r="H936" s="22" t="s">
        <v>2239</v>
      </c>
      <c r="I936" s="22" t="s">
        <v>51</v>
      </c>
      <c r="J936" s="22" t="s">
        <v>211</v>
      </c>
      <c r="M936" s="22" t="s">
        <v>1</v>
      </c>
      <c r="N936" s="22" t="s">
        <v>228</v>
      </c>
      <c r="O936" s="22" t="s">
        <v>2229</v>
      </c>
      <c r="P936" s="21">
        <v>81200</v>
      </c>
      <c r="Q936" s="21">
        <v>9</v>
      </c>
      <c r="R936" s="21">
        <v>7</v>
      </c>
      <c r="S936" s="21">
        <v>4</v>
      </c>
      <c r="T936" s="21" t="s">
        <v>159</v>
      </c>
      <c r="U936" s="21">
        <v>1</v>
      </c>
      <c r="V936" s="21">
        <v>1</v>
      </c>
      <c r="W936" s="24">
        <f t="shared" si="145"/>
        <v>502.39493555916505</v>
      </c>
      <c r="X936" s="24">
        <f t="shared" si="146"/>
        <v>131.88</v>
      </c>
      <c r="Y936" s="21">
        <v>1</v>
      </c>
      <c r="Z936" s="24">
        <f t="shared" si="138"/>
        <v>502.39493555916505</v>
      </c>
      <c r="AA936" s="24">
        <f t="shared" si="139"/>
        <v>131.88</v>
      </c>
      <c r="AB936" s="21"/>
      <c r="AC936" s="21"/>
      <c r="AD936" s="21"/>
      <c r="AE936" s="21"/>
      <c r="AF936" s="21"/>
      <c r="AG936" s="21"/>
      <c r="AH936" s="24"/>
      <c r="AI936" s="24"/>
      <c r="AJ936" s="21">
        <v>131.9</v>
      </c>
      <c r="AK936" s="21">
        <v>15</v>
      </c>
      <c r="AL936" s="22" t="s">
        <v>161</v>
      </c>
      <c r="AM936" s="22">
        <v>0.16</v>
      </c>
      <c r="AN936" s="22" t="s">
        <v>2282</v>
      </c>
      <c r="AO936" s="22" t="s">
        <v>2282</v>
      </c>
      <c r="AP936" s="22" t="s">
        <v>230</v>
      </c>
      <c r="AQ936" s="22" t="str">
        <f t="shared" si="140"/>
        <v>Nanophytoplankton</v>
      </c>
      <c r="AR936" s="22">
        <v>0</v>
      </c>
      <c r="AS936" s="22">
        <v>0</v>
      </c>
      <c r="AT936" s="22">
        <v>0</v>
      </c>
      <c r="AU936" s="22">
        <v>0</v>
      </c>
      <c r="AV936" s="22">
        <v>0</v>
      </c>
      <c r="AW936" s="22">
        <v>0</v>
      </c>
      <c r="AX936" s="22">
        <v>0</v>
      </c>
      <c r="AY936" s="22">
        <v>1</v>
      </c>
      <c r="AZ936" s="22">
        <v>0</v>
      </c>
      <c r="BA936" s="22">
        <v>0</v>
      </c>
      <c r="BB936" s="22">
        <v>0</v>
      </c>
      <c r="BC936" s="22">
        <v>1</v>
      </c>
      <c r="BD936" s="22">
        <v>6</v>
      </c>
      <c r="BE936" s="22">
        <v>3</v>
      </c>
    </row>
    <row r="937" spans="1:57">
      <c r="A937" s="21" t="s">
        <v>2777</v>
      </c>
      <c r="B937" s="22" t="s">
        <v>663</v>
      </c>
      <c r="C937" s="22" t="s">
        <v>2223</v>
      </c>
      <c r="D937" s="22" t="s">
        <v>2224</v>
      </c>
      <c r="E937" s="23" t="s">
        <v>63</v>
      </c>
      <c r="F937" s="23" t="s">
        <v>2225</v>
      </c>
      <c r="G937" s="23" t="s">
        <v>2284</v>
      </c>
      <c r="H937" s="23" t="s">
        <v>2534</v>
      </c>
      <c r="I937" s="22" t="s">
        <v>2778</v>
      </c>
      <c r="J937" s="22" t="s">
        <v>2779</v>
      </c>
      <c r="N937" s="22" t="s">
        <v>2003</v>
      </c>
      <c r="O937" s="22" t="s">
        <v>2229</v>
      </c>
      <c r="P937" s="21">
        <v>80610</v>
      </c>
      <c r="Q937" s="21">
        <v>15</v>
      </c>
      <c r="R937" s="21">
        <v>15</v>
      </c>
      <c r="S937" s="21">
        <v>15</v>
      </c>
      <c r="T937" s="21" t="s">
        <v>281</v>
      </c>
      <c r="U937" s="21">
        <v>1</v>
      </c>
      <c r="V937" s="21">
        <v>1</v>
      </c>
      <c r="W937" s="24">
        <f t="shared" si="145"/>
        <v>2211.3412553863004</v>
      </c>
      <c r="X937" s="24">
        <f t="shared" si="146"/>
        <v>1766.25</v>
      </c>
      <c r="Y937" s="21">
        <v>16</v>
      </c>
      <c r="Z937" s="24">
        <f t="shared" si="138"/>
        <v>35381.460086180807</v>
      </c>
      <c r="AA937" s="24">
        <f t="shared" si="139"/>
        <v>28260</v>
      </c>
      <c r="AB937" s="21">
        <v>70</v>
      </c>
      <c r="AC937" s="21">
        <v>70</v>
      </c>
      <c r="AD937" s="21">
        <v>70</v>
      </c>
      <c r="AE937" s="21" t="s">
        <v>246</v>
      </c>
      <c r="AF937" s="22">
        <v>0.7</v>
      </c>
      <c r="AG937" s="21">
        <v>1</v>
      </c>
      <c r="AH937" s="25">
        <f>4*3.14*(AC937/2)*(AB937/2)/AG937</f>
        <v>15386</v>
      </c>
      <c r="AI937" s="25">
        <f>(3.14/6*(AD937*AB937*AC937))*AF937</f>
        <v>125652.33333333331</v>
      </c>
      <c r="AJ937" s="21">
        <v>28274.3</v>
      </c>
      <c r="AK937" s="21">
        <v>70</v>
      </c>
      <c r="AL937" s="22" t="s">
        <v>161</v>
      </c>
      <c r="AM937" s="22">
        <v>0.16</v>
      </c>
      <c r="AN937" s="22" t="s">
        <v>2282</v>
      </c>
      <c r="AO937" s="22" t="s">
        <v>2289</v>
      </c>
      <c r="AP937" s="22" t="s">
        <v>673</v>
      </c>
      <c r="AQ937" s="22" t="str">
        <f t="shared" si="140"/>
        <v>Microphytoplankton</v>
      </c>
      <c r="AR937" s="22">
        <v>1</v>
      </c>
      <c r="AS937" s="22">
        <v>1</v>
      </c>
      <c r="AT937" s="22">
        <v>0</v>
      </c>
      <c r="AU937" s="22">
        <v>1</v>
      </c>
      <c r="AV937" s="22">
        <v>0</v>
      </c>
      <c r="AW937" s="22">
        <v>0</v>
      </c>
      <c r="AX937" s="22">
        <v>0</v>
      </c>
      <c r="AY937" s="22">
        <v>1</v>
      </c>
      <c r="AZ937" s="22">
        <v>0</v>
      </c>
      <c r="BA937" s="22">
        <v>0</v>
      </c>
      <c r="BB937" s="22">
        <v>0</v>
      </c>
      <c r="BC937" s="22">
        <v>1</v>
      </c>
      <c r="BD937" s="22">
        <v>2</v>
      </c>
      <c r="BE937" s="22">
        <v>7</v>
      </c>
    </row>
    <row r="938" spans="1:57">
      <c r="A938" s="21" t="s">
        <v>2780</v>
      </c>
      <c r="B938" s="22" t="s">
        <v>663</v>
      </c>
      <c r="C938" s="22" t="s">
        <v>2223</v>
      </c>
      <c r="D938" s="22" t="s">
        <v>2224</v>
      </c>
      <c r="E938" s="23" t="s">
        <v>63</v>
      </c>
      <c r="F938" s="23" t="s">
        <v>2225</v>
      </c>
      <c r="G938" s="23" t="s">
        <v>2284</v>
      </c>
      <c r="H938" s="23" t="s">
        <v>2534</v>
      </c>
      <c r="I938" s="22" t="s">
        <v>2778</v>
      </c>
      <c r="J938" s="22" t="s">
        <v>2779</v>
      </c>
      <c r="K938" s="22" t="s">
        <v>175</v>
      </c>
      <c r="L938" s="22" t="s">
        <v>530</v>
      </c>
      <c r="N938" s="22" t="s">
        <v>2781</v>
      </c>
      <c r="O938" s="22" t="s">
        <v>2229</v>
      </c>
      <c r="P938" s="21">
        <v>80611</v>
      </c>
      <c r="Q938" s="21">
        <v>15</v>
      </c>
      <c r="R938" s="21">
        <v>15</v>
      </c>
      <c r="S938" s="21">
        <v>15</v>
      </c>
      <c r="T938" s="21" t="s">
        <v>977</v>
      </c>
      <c r="U938" s="21">
        <v>1</v>
      </c>
      <c r="V938" s="21">
        <v>1</v>
      </c>
      <c r="W938" s="24">
        <f t="shared" si="145"/>
        <v>2211.3412553863004</v>
      </c>
      <c r="X938" s="24">
        <f>3.14/12*Q938*R938*S938*U938</f>
        <v>883.125</v>
      </c>
      <c r="Y938" s="21">
        <v>20</v>
      </c>
      <c r="Z938" s="24">
        <f t="shared" si="138"/>
        <v>44226.825107726007</v>
      </c>
      <c r="AA938" s="24">
        <f t="shared" si="139"/>
        <v>17662.5</v>
      </c>
      <c r="AB938" s="21">
        <v>80</v>
      </c>
      <c r="AC938" s="21">
        <v>80</v>
      </c>
      <c r="AD938" s="21">
        <v>80</v>
      </c>
      <c r="AE938" s="21" t="s">
        <v>246</v>
      </c>
      <c r="AF938" s="22">
        <v>0.7</v>
      </c>
      <c r="AG938" s="21">
        <v>1</v>
      </c>
      <c r="AH938" s="25">
        <f>4*3.14*(AC938/2)*(AB938/2)/AG938</f>
        <v>20096</v>
      </c>
      <c r="AI938" s="25">
        <f>(3.14/6*(AD938*AB938*AC938))*AF938</f>
        <v>187562.66666666666</v>
      </c>
      <c r="AJ938" s="21">
        <v>17662.5</v>
      </c>
      <c r="AK938" s="21">
        <v>80</v>
      </c>
      <c r="AL938" s="22" t="s">
        <v>2782</v>
      </c>
      <c r="AM938" s="22">
        <v>0.16</v>
      </c>
      <c r="AN938" s="22" t="s">
        <v>2282</v>
      </c>
      <c r="AO938" s="22" t="s">
        <v>2289</v>
      </c>
      <c r="AP938" s="22" t="s">
        <v>673</v>
      </c>
      <c r="AQ938" s="22" t="str">
        <f t="shared" si="140"/>
        <v>Microphytoplankton</v>
      </c>
      <c r="AR938" s="22">
        <v>1</v>
      </c>
      <c r="AS938" s="22">
        <v>1</v>
      </c>
      <c r="AT938" s="22">
        <v>0</v>
      </c>
      <c r="AU938" s="22">
        <v>1</v>
      </c>
      <c r="AV938" s="22">
        <v>0</v>
      </c>
      <c r="AW938" s="22">
        <v>0</v>
      </c>
      <c r="AX938" s="22">
        <v>0</v>
      </c>
      <c r="AY938" s="22">
        <v>1</v>
      </c>
    </row>
    <row r="939" spans="1:57">
      <c r="A939" s="21" t="s">
        <v>2783</v>
      </c>
      <c r="B939" s="22" t="s">
        <v>663</v>
      </c>
      <c r="C939" s="22" t="s">
        <v>2223</v>
      </c>
      <c r="D939" s="22" t="s">
        <v>2224</v>
      </c>
      <c r="E939" s="23" t="s">
        <v>63</v>
      </c>
      <c r="F939" s="23" t="s">
        <v>2225</v>
      </c>
      <c r="G939" s="23" t="s">
        <v>2284</v>
      </c>
      <c r="H939" s="23" t="s">
        <v>2534</v>
      </c>
      <c r="I939" s="22" t="s">
        <v>2778</v>
      </c>
      <c r="J939" s="22" t="s">
        <v>211</v>
      </c>
      <c r="M939" s="22" t="s">
        <v>1</v>
      </c>
      <c r="N939" s="22" t="s">
        <v>2784</v>
      </c>
      <c r="O939" s="22" t="s">
        <v>2229</v>
      </c>
      <c r="P939" s="21">
        <v>80612</v>
      </c>
      <c r="Q939" s="21">
        <v>6</v>
      </c>
      <c r="R939" s="21">
        <v>6</v>
      </c>
      <c r="S939" s="21">
        <v>6</v>
      </c>
      <c r="T939" s="21" t="s">
        <v>159</v>
      </c>
      <c r="U939" s="21">
        <v>1</v>
      </c>
      <c r="V939" s="21">
        <v>1</v>
      </c>
      <c r="W939" s="24">
        <f t="shared" si="145"/>
        <v>363.28803924381305</v>
      </c>
      <c r="X939" s="24">
        <f>3.14/6*Q939*R939*S939*U939</f>
        <v>113.03999999999998</v>
      </c>
      <c r="Y939" s="21">
        <v>6</v>
      </c>
      <c r="Z939" s="24">
        <f t="shared" si="138"/>
        <v>2179.7282354628783</v>
      </c>
      <c r="AA939" s="24">
        <f t="shared" si="139"/>
        <v>678.2399999999999</v>
      </c>
      <c r="AB939" s="21">
        <v>18</v>
      </c>
      <c r="AC939" s="21">
        <v>18</v>
      </c>
      <c r="AD939" s="21">
        <v>18</v>
      </c>
      <c r="AE939" s="21" t="s">
        <v>246</v>
      </c>
      <c r="AF939" s="22">
        <v>0.7</v>
      </c>
      <c r="AG939" s="21">
        <v>1</v>
      </c>
      <c r="AH939" s="25">
        <f>4*3.14*(AC939/2)*(AB939/2)/AG939</f>
        <v>1017.36</v>
      </c>
      <c r="AI939" s="25">
        <f>(3.14/6*(AD939*AB939*AC939))*AF939</f>
        <v>2136.4559999999997</v>
      </c>
      <c r="AJ939" s="21">
        <v>678.2399999999999</v>
      </c>
      <c r="AK939" s="21">
        <v>18</v>
      </c>
      <c r="AL939" s="22" t="s">
        <v>2785</v>
      </c>
      <c r="AM939" s="22">
        <v>0.16</v>
      </c>
      <c r="AN939" s="22" t="s">
        <v>2282</v>
      </c>
      <c r="AO939" s="22" t="s">
        <v>2289</v>
      </c>
      <c r="AP939" s="22" t="s">
        <v>673</v>
      </c>
      <c r="AQ939" s="22" t="str">
        <f t="shared" si="140"/>
        <v>Nanophytoplankton</v>
      </c>
      <c r="AR939" s="22">
        <v>1</v>
      </c>
      <c r="AS939" s="22">
        <v>1</v>
      </c>
      <c r="AT939" s="22">
        <v>0</v>
      </c>
      <c r="AU939" s="22">
        <v>1</v>
      </c>
      <c r="AV939" s="22">
        <v>0</v>
      </c>
      <c r="AW939" s="22">
        <v>0</v>
      </c>
      <c r="AX939" s="22">
        <v>0</v>
      </c>
      <c r="AY939" s="22">
        <v>1</v>
      </c>
    </row>
    <row r="940" spans="1:57">
      <c r="A940" s="21" t="s">
        <v>2786</v>
      </c>
      <c r="B940" s="22" t="s">
        <v>663</v>
      </c>
      <c r="C940" s="22" t="s">
        <v>2223</v>
      </c>
      <c r="D940" s="22" t="s">
        <v>2224</v>
      </c>
      <c r="E940" s="23" t="s">
        <v>63</v>
      </c>
      <c r="F940" s="23" t="s">
        <v>2225</v>
      </c>
      <c r="G940" s="22" t="s">
        <v>2284</v>
      </c>
      <c r="H940" s="23" t="s">
        <v>2787</v>
      </c>
      <c r="I940" s="22" t="s">
        <v>2788</v>
      </c>
      <c r="J940" s="22" t="s">
        <v>1161</v>
      </c>
      <c r="N940" s="22" t="s">
        <v>2789</v>
      </c>
      <c r="O940" s="22" t="s">
        <v>2229</v>
      </c>
      <c r="P940" s="21">
        <v>85510</v>
      </c>
      <c r="Q940" s="21">
        <v>15</v>
      </c>
      <c r="R940" s="21">
        <v>12</v>
      </c>
      <c r="S940" s="21">
        <v>12</v>
      </c>
      <c r="T940" s="21" t="s">
        <v>281</v>
      </c>
      <c r="U940" s="21">
        <v>1</v>
      </c>
      <c r="V940" s="21">
        <v>1</v>
      </c>
      <c r="W940" s="24">
        <f t="shared" si="145"/>
        <v>1769.0730043090407</v>
      </c>
      <c r="X940" s="24">
        <f>3.14/6*Q940*R940*S940*U940</f>
        <v>1130.3999999999999</v>
      </c>
      <c r="Y940" s="21">
        <v>1</v>
      </c>
      <c r="Z940" s="24">
        <f t="shared" si="138"/>
        <v>1769.0730043090407</v>
      </c>
      <c r="AA940" s="24">
        <f t="shared" si="139"/>
        <v>1130.3999999999999</v>
      </c>
      <c r="AB940" s="21"/>
      <c r="AC940" s="21"/>
      <c r="AD940" s="21"/>
      <c r="AE940" s="21"/>
      <c r="AF940" s="21"/>
      <c r="AG940" s="21"/>
      <c r="AH940" s="24"/>
      <c r="AI940" s="24"/>
      <c r="AJ940" s="21">
        <v>1131</v>
      </c>
      <c r="AK940" s="21">
        <v>15</v>
      </c>
      <c r="AL940" s="22" t="s">
        <v>161</v>
      </c>
      <c r="AM940" s="22">
        <v>0.16</v>
      </c>
      <c r="AP940" s="22" t="s">
        <v>673</v>
      </c>
      <c r="AQ940" s="22" t="str">
        <f t="shared" si="140"/>
        <v>Nanophytoplankton</v>
      </c>
      <c r="AR940" s="22">
        <v>1</v>
      </c>
      <c r="AS940" s="22">
        <v>1</v>
      </c>
      <c r="AT940" s="22">
        <v>0</v>
      </c>
      <c r="AU940" s="22">
        <v>0</v>
      </c>
      <c r="AV940" s="22">
        <v>0</v>
      </c>
      <c r="AW940" s="22">
        <v>0</v>
      </c>
      <c r="AX940" s="22">
        <v>0</v>
      </c>
      <c r="AY940" s="22">
        <v>1</v>
      </c>
    </row>
    <row r="941" spans="1:57">
      <c r="A941" s="21" t="s">
        <v>2790</v>
      </c>
      <c r="B941" s="22" t="s">
        <v>663</v>
      </c>
      <c r="C941" s="22" t="s">
        <v>2223</v>
      </c>
      <c r="D941" s="22" t="s">
        <v>2224</v>
      </c>
      <c r="E941" s="23" t="s">
        <v>63</v>
      </c>
      <c r="F941" s="23" t="s">
        <v>2225</v>
      </c>
      <c r="G941" s="22" t="s">
        <v>2284</v>
      </c>
      <c r="H941" s="23" t="s">
        <v>2791</v>
      </c>
      <c r="I941" s="22" t="s">
        <v>2792</v>
      </c>
      <c r="J941" s="22" t="s">
        <v>2793</v>
      </c>
      <c r="N941" s="22" t="s">
        <v>409</v>
      </c>
      <c r="O941" s="22" t="s">
        <v>2229</v>
      </c>
      <c r="P941" s="21">
        <v>85511</v>
      </c>
      <c r="Q941" s="21">
        <v>7</v>
      </c>
      <c r="R941" s="21">
        <v>1.5</v>
      </c>
      <c r="S941" s="21">
        <v>1.5</v>
      </c>
      <c r="T941" s="21" t="s">
        <v>160</v>
      </c>
      <c r="U941" s="21">
        <v>1</v>
      </c>
      <c r="V941" s="21">
        <v>1</v>
      </c>
      <c r="W941" s="24">
        <f>3.14*R941*Q941+2*3.14*(S941/2)^2/V941</f>
        <v>36.502499999999998</v>
      </c>
      <c r="X941" s="25">
        <f>(3.14/4*R941^2*Q941)*U941</f>
        <v>12.363750000000001</v>
      </c>
      <c r="Y941" s="21">
        <v>1</v>
      </c>
      <c r="Z941" s="24">
        <f t="shared" si="138"/>
        <v>36.502499999999998</v>
      </c>
      <c r="AA941" s="24">
        <f t="shared" si="139"/>
        <v>12.363750000000001</v>
      </c>
      <c r="AB941" s="21"/>
      <c r="AC941" s="21"/>
      <c r="AD941" s="21"/>
      <c r="AE941" s="21"/>
      <c r="AF941" s="21"/>
      <c r="AG941" s="21"/>
      <c r="AH941" s="24"/>
      <c r="AI941" s="24"/>
      <c r="AJ941" s="21">
        <v>12.36375</v>
      </c>
      <c r="AK941" s="21">
        <v>7</v>
      </c>
      <c r="AL941" s="22" t="s">
        <v>161</v>
      </c>
      <c r="AM941" s="22">
        <v>0.16</v>
      </c>
      <c r="AP941" s="22" t="s">
        <v>673</v>
      </c>
      <c r="AQ941" s="22" t="str">
        <f t="shared" si="140"/>
        <v>Nanophytoplankton</v>
      </c>
      <c r="AR941" s="22">
        <v>0</v>
      </c>
      <c r="AS941" s="22">
        <v>0</v>
      </c>
      <c r="AT941" s="22">
        <v>0</v>
      </c>
      <c r="AU941" s="22">
        <v>1</v>
      </c>
      <c r="AV941" s="22">
        <v>1</v>
      </c>
      <c r="AW941" s="22">
        <v>0</v>
      </c>
      <c r="AX941" s="22">
        <v>0</v>
      </c>
      <c r="AY941" s="22">
        <v>1</v>
      </c>
    </row>
    <row r="942" spans="1:57">
      <c r="A942" s="21" t="s">
        <v>2318</v>
      </c>
      <c r="B942" s="22" t="s">
        <v>663</v>
      </c>
      <c r="C942" s="22" t="s">
        <v>2223</v>
      </c>
      <c r="D942" s="22" t="s">
        <v>2224</v>
      </c>
      <c r="E942" s="23" t="s">
        <v>63</v>
      </c>
      <c r="F942" s="23" t="s">
        <v>2225</v>
      </c>
      <c r="G942" s="23" t="s">
        <v>2226</v>
      </c>
      <c r="H942" s="22" t="s">
        <v>2267</v>
      </c>
      <c r="I942" s="22" t="s">
        <v>2320</v>
      </c>
      <c r="J942" s="22" t="s">
        <v>2321</v>
      </c>
      <c r="N942" s="22" t="s">
        <v>2322</v>
      </c>
      <c r="O942" s="22" t="s">
        <v>2229</v>
      </c>
      <c r="P942" s="21">
        <v>82110</v>
      </c>
      <c r="Q942" s="21">
        <v>60</v>
      </c>
      <c r="R942" s="21">
        <v>5.5</v>
      </c>
      <c r="S942" s="21">
        <v>5.5</v>
      </c>
      <c r="T942" s="21" t="s">
        <v>281</v>
      </c>
      <c r="U942" s="21">
        <v>0.7</v>
      </c>
      <c r="V942" s="21">
        <v>0.7</v>
      </c>
      <c r="W942" s="24">
        <f t="shared" ref="W942:W954" si="149">(4*3.14*(((Q942^1.6*R942^1.6+Q942^1.6*S942^1.6+R942^1.6+S942^1.6)/3)^(1/1.6)))*(1/V942)</f>
        <v>4599.769175226229</v>
      </c>
      <c r="X942" s="24">
        <f t="shared" ref="X942:X954" si="150">3.14/6*Q942*R942*S942*U942</f>
        <v>664.89499999999987</v>
      </c>
      <c r="Y942" s="21">
        <v>1</v>
      </c>
      <c r="Z942" s="24">
        <f t="shared" si="138"/>
        <v>4599.769175226229</v>
      </c>
      <c r="AA942" s="24">
        <f t="shared" si="139"/>
        <v>664.89499999999987</v>
      </c>
      <c r="AB942" s="21"/>
      <c r="AC942" s="21"/>
      <c r="AD942" s="21"/>
      <c r="AE942" s="21"/>
      <c r="AF942" s="21"/>
      <c r="AG942" s="21"/>
      <c r="AH942" s="24"/>
      <c r="AI942" s="24"/>
      <c r="AJ942" s="21">
        <v>665.2</v>
      </c>
      <c r="AK942" s="21">
        <v>60</v>
      </c>
      <c r="AL942" s="22" t="s">
        <v>161</v>
      </c>
      <c r="AM942" s="22">
        <v>0.16</v>
      </c>
      <c r="AQ942" s="22" t="str">
        <f t="shared" si="140"/>
        <v>Microphytoplankton</v>
      </c>
      <c r="AR942" s="22">
        <v>0</v>
      </c>
      <c r="AS942" s="22">
        <v>0</v>
      </c>
      <c r="AT942" s="22">
        <v>0</v>
      </c>
      <c r="AU942" s="22">
        <v>0</v>
      </c>
      <c r="AV942" s="22">
        <v>0</v>
      </c>
      <c r="AW942" s="22">
        <v>0</v>
      </c>
      <c r="AX942" s="22">
        <v>0</v>
      </c>
      <c r="AY942" s="22">
        <v>1</v>
      </c>
    </row>
    <row r="943" spans="1:57">
      <c r="A943" s="21" t="s">
        <v>2794</v>
      </c>
      <c r="B943" s="22" t="s">
        <v>663</v>
      </c>
      <c r="C943" s="22" t="s">
        <v>2223</v>
      </c>
      <c r="D943" s="22" t="s">
        <v>2224</v>
      </c>
      <c r="E943" s="23" t="s">
        <v>63</v>
      </c>
      <c r="F943" s="23" t="s">
        <v>2225</v>
      </c>
      <c r="G943" s="23" t="s">
        <v>2226</v>
      </c>
      <c r="H943" s="22" t="s">
        <v>2267</v>
      </c>
      <c r="I943" s="22" t="s">
        <v>2320</v>
      </c>
      <c r="J943" s="22" t="s">
        <v>2795</v>
      </c>
      <c r="N943" s="22" t="s">
        <v>2796</v>
      </c>
      <c r="O943" s="22" t="s">
        <v>2229</v>
      </c>
      <c r="P943" s="21">
        <v>82120</v>
      </c>
      <c r="Q943" s="21">
        <v>25</v>
      </c>
      <c r="R943" s="21">
        <v>4</v>
      </c>
      <c r="S943" s="21">
        <v>4</v>
      </c>
      <c r="T943" s="21" t="s">
        <v>281</v>
      </c>
      <c r="U943" s="21">
        <v>1</v>
      </c>
      <c r="V943" s="21">
        <v>1</v>
      </c>
      <c r="W943" s="24">
        <f t="shared" si="149"/>
        <v>978.36722682017933</v>
      </c>
      <c r="X943" s="24">
        <f t="shared" si="150"/>
        <v>209.33333333333331</v>
      </c>
      <c r="Y943" s="21">
        <v>1</v>
      </c>
      <c r="Z943" s="24">
        <f t="shared" si="138"/>
        <v>978.36722682017933</v>
      </c>
      <c r="AA943" s="24">
        <f t="shared" si="139"/>
        <v>209.33333333333331</v>
      </c>
      <c r="AB943" s="21"/>
      <c r="AC943" s="21"/>
      <c r="AD943" s="21"/>
      <c r="AE943" s="21"/>
      <c r="AF943" s="21"/>
      <c r="AG943" s="21"/>
      <c r="AH943" s="24"/>
      <c r="AI943" s="24"/>
      <c r="AJ943" s="21">
        <v>104.7</v>
      </c>
      <c r="AK943" s="21">
        <v>25</v>
      </c>
      <c r="AL943" s="22" t="s">
        <v>161</v>
      </c>
      <c r="AM943" s="22">
        <v>0.16</v>
      </c>
      <c r="AP943" s="22" t="s">
        <v>626</v>
      </c>
      <c r="AQ943" s="22" t="str">
        <f t="shared" si="140"/>
        <v>Microphytoplankton</v>
      </c>
      <c r="AR943" s="22">
        <v>0</v>
      </c>
      <c r="AS943" s="22">
        <v>0</v>
      </c>
      <c r="AT943" s="22">
        <v>0</v>
      </c>
      <c r="AU943" s="22">
        <v>0</v>
      </c>
      <c r="AV943" s="22">
        <v>0</v>
      </c>
      <c r="AW943" s="22">
        <v>0</v>
      </c>
      <c r="AX943" s="22">
        <v>0</v>
      </c>
      <c r="AY943" s="22">
        <v>1</v>
      </c>
    </row>
    <row r="944" spans="1:57">
      <c r="A944" s="21" t="s">
        <v>2797</v>
      </c>
      <c r="B944" s="22" t="s">
        <v>663</v>
      </c>
      <c r="C944" s="22" t="s">
        <v>2223</v>
      </c>
      <c r="D944" s="22" t="s">
        <v>2224</v>
      </c>
      <c r="E944" s="23" t="s">
        <v>63</v>
      </c>
      <c r="F944" s="23" t="s">
        <v>2225</v>
      </c>
      <c r="G944" s="23" t="s">
        <v>2296</v>
      </c>
      <c r="H944" s="23" t="s">
        <v>2798</v>
      </c>
      <c r="I944" s="22" t="s">
        <v>2799</v>
      </c>
      <c r="J944" s="22" t="s">
        <v>2800</v>
      </c>
      <c r="N944" s="22" t="s">
        <v>2801</v>
      </c>
      <c r="O944" s="22" t="s">
        <v>2229</v>
      </c>
      <c r="P944" s="21">
        <v>84110</v>
      </c>
      <c r="Q944" s="21">
        <v>7</v>
      </c>
      <c r="R944" s="21">
        <v>7</v>
      </c>
      <c r="S944" s="21">
        <v>7</v>
      </c>
      <c r="T944" s="21" t="s">
        <v>281</v>
      </c>
      <c r="U944" s="21">
        <v>1</v>
      </c>
      <c r="V944" s="21">
        <v>1</v>
      </c>
      <c r="W944" s="24">
        <f t="shared" si="149"/>
        <v>490.83181458055361</v>
      </c>
      <c r="X944" s="24">
        <f t="shared" si="150"/>
        <v>179.50333333333333</v>
      </c>
      <c r="Y944" s="21">
        <v>1</v>
      </c>
      <c r="Z944" s="24">
        <f t="shared" si="138"/>
        <v>490.83181458055361</v>
      </c>
      <c r="AA944" s="24">
        <f t="shared" si="139"/>
        <v>179.50333333333333</v>
      </c>
      <c r="AB944" s="21">
        <v>140</v>
      </c>
      <c r="AC944" s="21">
        <v>140</v>
      </c>
      <c r="AD944" s="21">
        <v>140</v>
      </c>
      <c r="AE944" s="21" t="s">
        <v>246</v>
      </c>
      <c r="AF944" s="21">
        <v>0.2</v>
      </c>
      <c r="AG944" s="21">
        <v>1</v>
      </c>
      <c r="AH944" s="25">
        <f>4*3.14*(AC944/2)*(AB944/2)/AG944</f>
        <v>61544</v>
      </c>
      <c r="AI944" s="25">
        <f>(3.14/6*(AD944*AB944*AC944))*AF944</f>
        <v>287205.33333333331</v>
      </c>
      <c r="AJ944" s="21">
        <v>2873.5</v>
      </c>
      <c r="AK944" s="21">
        <v>140</v>
      </c>
      <c r="AL944" s="22" t="s">
        <v>161</v>
      </c>
      <c r="AM944" s="22">
        <v>0.16</v>
      </c>
      <c r="AQ944" s="22" t="str">
        <f t="shared" si="140"/>
        <v>Microphytoplankton</v>
      </c>
      <c r="AR944" s="22">
        <v>0</v>
      </c>
      <c r="AS944" s="22">
        <v>0</v>
      </c>
      <c r="AT944" s="22">
        <v>0</v>
      </c>
      <c r="AU944" s="22">
        <v>1</v>
      </c>
      <c r="AV944" s="22">
        <v>0</v>
      </c>
      <c r="AW944" s="22">
        <v>0</v>
      </c>
      <c r="AX944" s="22">
        <v>0</v>
      </c>
      <c r="AY944" s="22">
        <v>1</v>
      </c>
    </row>
    <row r="945" spans="1:57">
      <c r="A945" s="22" t="s">
        <v>2802</v>
      </c>
      <c r="B945" s="22" t="s">
        <v>663</v>
      </c>
      <c r="C945" s="22" t="s">
        <v>2223</v>
      </c>
      <c r="D945" s="22" t="s">
        <v>2224</v>
      </c>
      <c r="E945" s="23" t="s">
        <v>63</v>
      </c>
      <c r="F945" s="23" t="s">
        <v>2225</v>
      </c>
      <c r="G945" s="23" t="s">
        <v>2226</v>
      </c>
      <c r="H945" s="22" t="s">
        <v>2319</v>
      </c>
      <c r="I945" s="22" t="s">
        <v>52</v>
      </c>
      <c r="J945" s="22" t="s">
        <v>2803</v>
      </c>
      <c r="N945" s="22" t="s">
        <v>501</v>
      </c>
      <c r="O945" s="22" t="s">
        <v>2229</v>
      </c>
      <c r="P945" s="22">
        <v>82712</v>
      </c>
      <c r="Q945" s="22">
        <v>14.5</v>
      </c>
      <c r="R945" s="22">
        <v>18</v>
      </c>
      <c r="S945" s="22">
        <v>4</v>
      </c>
      <c r="T945" s="22" t="s">
        <v>281</v>
      </c>
      <c r="U945" s="22">
        <v>0.4</v>
      </c>
      <c r="V945" s="22">
        <v>0.4</v>
      </c>
      <c r="W945" s="24">
        <f t="shared" si="149"/>
        <v>4390.65659422306</v>
      </c>
      <c r="X945" s="24">
        <f t="shared" si="150"/>
        <v>218.54400000000001</v>
      </c>
      <c r="Y945" s="22">
        <v>16</v>
      </c>
      <c r="Z945" s="24">
        <f t="shared" si="138"/>
        <v>70250.50550756896</v>
      </c>
      <c r="AA945" s="24">
        <f t="shared" si="139"/>
        <v>3496.7040000000002</v>
      </c>
      <c r="AB945" s="22">
        <v>72</v>
      </c>
      <c r="AC945" s="22">
        <v>72</v>
      </c>
      <c r="AD945" s="22">
        <v>4</v>
      </c>
      <c r="AE945" s="21" t="s">
        <v>160</v>
      </c>
      <c r="AF945" s="22">
        <v>0.3</v>
      </c>
      <c r="AG945" s="22">
        <v>1</v>
      </c>
      <c r="AH945" s="24">
        <f t="shared" ref="AH945:AH952" si="151">3.14*AC945*AB945+2*3.14*(AD945/2)^2/AG945</f>
        <v>16302.880000000001</v>
      </c>
      <c r="AI945" s="25">
        <f t="shared" ref="AI945:AI952" si="152">(3.14/4*AC945^2*AB945)*AF945</f>
        <v>87899.903999999995</v>
      </c>
      <c r="AJ945" s="21">
        <v>8741.76</v>
      </c>
      <c r="AK945" s="21">
        <v>72</v>
      </c>
      <c r="AL945" s="22" t="s">
        <v>161</v>
      </c>
      <c r="AM945" s="22">
        <v>0.16</v>
      </c>
      <c r="AN945" s="22" t="s">
        <v>1364</v>
      </c>
      <c r="AO945" s="22" t="s">
        <v>1364</v>
      </c>
      <c r="AP945" s="22" t="s">
        <v>162</v>
      </c>
      <c r="AQ945" s="22" t="str">
        <f t="shared" si="140"/>
        <v>Microphytoplankton</v>
      </c>
      <c r="AR945" s="22">
        <v>0</v>
      </c>
      <c r="AS945" s="22">
        <v>0</v>
      </c>
      <c r="AT945" s="22">
        <v>0</v>
      </c>
      <c r="AU945" s="22">
        <v>1</v>
      </c>
      <c r="AV945" s="22">
        <v>0</v>
      </c>
      <c r="AW945" s="22">
        <v>0</v>
      </c>
      <c r="AX945" s="22">
        <v>0</v>
      </c>
      <c r="AY945" s="22">
        <v>1</v>
      </c>
    </row>
    <row r="946" spans="1:57" ht="12.75" customHeight="1">
      <c r="A946" s="21" t="s">
        <v>2804</v>
      </c>
      <c r="B946" s="22" t="s">
        <v>663</v>
      </c>
      <c r="C946" s="22" t="s">
        <v>2223</v>
      </c>
      <c r="D946" s="22" t="s">
        <v>2224</v>
      </c>
      <c r="E946" s="23" t="s">
        <v>63</v>
      </c>
      <c r="F946" s="23" t="s">
        <v>2225</v>
      </c>
      <c r="G946" s="23" t="s">
        <v>2226</v>
      </c>
      <c r="H946" s="22" t="s">
        <v>2319</v>
      </c>
      <c r="I946" s="22" t="s">
        <v>52</v>
      </c>
      <c r="J946" s="21" t="s">
        <v>2805</v>
      </c>
      <c r="K946" s="21"/>
      <c r="L946" s="21"/>
      <c r="N946" s="22" t="s">
        <v>2806</v>
      </c>
      <c r="O946" s="22" t="s">
        <v>2229</v>
      </c>
      <c r="P946" s="21">
        <v>82710</v>
      </c>
      <c r="Q946" s="21">
        <v>8</v>
      </c>
      <c r="R946" s="21">
        <v>6</v>
      </c>
      <c r="S946" s="21">
        <v>4</v>
      </c>
      <c r="T946" s="22" t="s">
        <v>281</v>
      </c>
      <c r="U946" s="22">
        <v>0.4</v>
      </c>
      <c r="V946" s="22">
        <v>0.4</v>
      </c>
      <c r="W946" s="24">
        <f t="shared" si="149"/>
        <v>1008.5030143627755</v>
      </c>
      <c r="X946" s="24">
        <f t="shared" si="150"/>
        <v>40.192</v>
      </c>
      <c r="Y946" s="21">
        <v>64</v>
      </c>
      <c r="Z946" s="24">
        <f t="shared" si="138"/>
        <v>64544.192919217632</v>
      </c>
      <c r="AA946" s="24">
        <f t="shared" si="139"/>
        <v>2572.288</v>
      </c>
      <c r="AB946" s="21">
        <v>150</v>
      </c>
      <c r="AC946" s="21">
        <v>150</v>
      </c>
      <c r="AD946" s="21">
        <v>4</v>
      </c>
      <c r="AE946" s="21" t="s">
        <v>160</v>
      </c>
      <c r="AF946" s="22">
        <v>0.3</v>
      </c>
      <c r="AG946" s="22">
        <v>1</v>
      </c>
      <c r="AH946" s="24">
        <f t="shared" si="151"/>
        <v>70675.12</v>
      </c>
      <c r="AI946" s="25">
        <f t="shared" si="152"/>
        <v>794812.5</v>
      </c>
      <c r="AJ946" s="21">
        <v>6430.7199999999993</v>
      </c>
      <c r="AK946" s="21">
        <v>150</v>
      </c>
      <c r="AL946" s="22" t="s">
        <v>161</v>
      </c>
      <c r="AM946" s="22">
        <v>0.16</v>
      </c>
      <c r="AN946" s="22" t="s">
        <v>1364</v>
      </c>
      <c r="AO946" s="22" t="s">
        <v>1364</v>
      </c>
      <c r="AP946" s="22" t="s">
        <v>162</v>
      </c>
      <c r="AQ946" s="22" t="str">
        <f t="shared" si="140"/>
        <v>Microphytoplankton</v>
      </c>
      <c r="AR946" s="22">
        <v>0</v>
      </c>
      <c r="AS946" s="22">
        <v>0</v>
      </c>
      <c r="AT946" s="22">
        <v>0</v>
      </c>
      <c r="AU946" s="22">
        <v>1</v>
      </c>
      <c r="AV946" s="22">
        <v>0</v>
      </c>
      <c r="AW946" s="22">
        <v>0</v>
      </c>
      <c r="AX946" s="22">
        <v>0</v>
      </c>
      <c r="AY946" s="22">
        <v>1</v>
      </c>
      <c r="AZ946" s="22">
        <v>0</v>
      </c>
      <c r="BA946" s="22">
        <v>0</v>
      </c>
      <c r="BB946" s="22">
        <v>0</v>
      </c>
      <c r="BC946" s="22">
        <v>1</v>
      </c>
      <c r="BD946" s="22">
        <v>7</v>
      </c>
      <c r="BE946" s="22">
        <v>2</v>
      </c>
    </row>
    <row r="947" spans="1:57">
      <c r="A947" s="21" t="s">
        <v>2807</v>
      </c>
      <c r="B947" s="22" t="s">
        <v>663</v>
      </c>
      <c r="C947" s="22" t="s">
        <v>2223</v>
      </c>
      <c r="D947" s="22" t="s">
        <v>2224</v>
      </c>
      <c r="E947" s="23" t="s">
        <v>63</v>
      </c>
      <c r="F947" s="23" t="s">
        <v>2225</v>
      </c>
      <c r="G947" s="23" t="s">
        <v>2226</v>
      </c>
      <c r="H947" s="22" t="s">
        <v>2319</v>
      </c>
      <c r="I947" s="22" t="s">
        <v>52</v>
      </c>
      <c r="J947" s="21" t="s">
        <v>2805</v>
      </c>
      <c r="K947" s="21" t="s">
        <v>175</v>
      </c>
      <c r="L947" s="21" t="s">
        <v>2808</v>
      </c>
      <c r="N947" s="22" t="s">
        <v>2809</v>
      </c>
      <c r="O947" s="22" t="s">
        <v>2229</v>
      </c>
      <c r="P947" s="21">
        <v>82711</v>
      </c>
      <c r="Q947" s="21">
        <v>8</v>
      </c>
      <c r="R947" s="21">
        <v>6</v>
      </c>
      <c r="S947" s="21">
        <v>4</v>
      </c>
      <c r="T947" s="22" t="s">
        <v>281</v>
      </c>
      <c r="U947" s="22">
        <v>0.4</v>
      </c>
      <c r="V947" s="22">
        <v>0.4</v>
      </c>
      <c r="W947" s="24">
        <f t="shared" si="149"/>
        <v>1008.5030143627755</v>
      </c>
      <c r="X947" s="24">
        <f t="shared" si="150"/>
        <v>40.192</v>
      </c>
      <c r="Y947" s="21">
        <v>64</v>
      </c>
      <c r="Z947" s="24">
        <f t="shared" si="138"/>
        <v>64544.192919217632</v>
      </c>
      <c r="AA947" s="24">
        <f t="shared" si="139"/>
        <v>2572.288</v>
      </c>
      <c r="AB947" s="21">
        <v>200</v>
      </c>
      <c r="AC947" s="21">
        <v>200</v>
      </c>
      <c r="AD947" s="21">
        <v>4</v>
      </c>
      <c r="AE947" s="21" t="s">
        <v>160</v>
      </c>
      <c r="AF947" s="22">
        <v>0.3</v>
      </c>
      <c r="AG947" s="22">
        <v>1</v>
      </c>
      <c r="AH947" s="24">
        <f t="shared" si="151"/>
        <v>125625.12</v>
      </c>
      <c r="AI947" s="25">
        <f t="shared" si="152"/>
        <v>1884000</v>
      </c>
      <c r="AJ947" s="21">
        <v>6430.7199999999993</v>
      </c>
      <c r="AK947" s="21">
        <v>200</v>
      </c>
      <c r="AL947" s="22" t="s">
        <v>161</v>
      </c>
      <c r="AM947" s="22">
        <v>0.16</v>
      </c>
      <c r="AN947" s="22" t="s">
        <v>1364</v>
      </c>
      <c r="AO947" s="22" t="s">
        <v>1364</v>
      </c>
      <c r="AP947" s="22" t="s">
        <v>162</v>
      </c>
      <c r="AQ947" s="22" t="str">
        <f t="shared" si="140"/>
        <v>Microphytoplankton</v>
      </c>
      <c r="AR947" s="22">
        <v>0</v>
      </c>
      <c r="AS947" s="22">
        <v>0</v>
      </c>
      <c r="AT947" s="22">
        <v>0</v>
      </c>
      <c r="AU947" s="22">
        <v>1</v>
      </c>
      <c r="AV947" s="22">
        <v>0</v>
      </c>
      <c r="AW947" s="22">
        <v>0</v>
      </c>
      <c r="AX947" s="22">
        <v>0</v>
      </c>
      <c r="AY947" s="22">
        <v>1</v>
      </c>
    </row>
    <row r="948" spans="1:57">
      <c r="A948" s="21" t="s">
        <v>2810</v>
      </c>
      <c r="B948" s="22" t="s">
        <v>663</v>
      </c>
      <c r="C948" s="22" t="s">
        <v>2223</v>
      </c>
      <c r="D948" s="22" t="s">
        <v>2224</v>
      </c>
      <c r="E948" s="23" t="s">
        <v>63</v>
      </c>
      <c r="F948" s="23" t="s">
        <v>2225</v>
      </c>
      <c r="G948" s="23" t="s">
        <v>2226</v>
      </c>
      <c r="H948" s="22" t="s">
        <v>2319</v>
      </c>
      <c r="I948" s="22" t="s">
        <v>52</v>
      </c>
      <c r="J948" s="21" t="s">
        <v>493</v>
      </c>
      <c r="K948" s="21"/>
      <c r="L948" s="21"/>
      <c r="N948" s="22" t="s">
        <v>2811</v>
      </c>
      <c r="O948" s="22" t="s">
        <v>2229</v>
      </c>
      <c r="P948" s="21">
        <v>82720</v>
      </c>
      <c r="Q948" s="21">
        <v>17</v>
      </c>
      <c r="R948" s="21">
        <v>17</v>
      </c>
      <c r="S948" s="21">
        <v>4</v>
      </c>
      <c r="T948" s="22" t="s">
        <v>281</v>
      </c>
      <c r="U948" s="22">
        <v>0.4</v>
      </c>
      <c r="V948" s="22">
        <v>0.4</v>
      </c>
      <c r="W948" s="24">
        <f t="shared" si="149"/>
        <v>4876.3210833879484</v>
      </c>
      <c r="X948" s="24">
        <f t="shared" si="150"/>
        <v>241.98933333333335</v>
      </c>
      <c r="Y948" s="21">
        <v>64</v>
      </c>
      <c r="Z948" s="24">
        <f t="shared" si="138"/>
        <v>312084.5493368287</v>
      </c>
      <c r="AA948" s="24">
        <f t="shared" si="139"/>
        <v>15487.317333333334</v>
      </c>
      <c r="AB948" s="21">
        <v>100</v>
      </c>
      <c r="AC948" s="21">
        <v>100</v>
      </c>
      <c r="AD948" s="21">
        <v>15</v>
      </c>
      <c r="AE948" s="21" t="s">
        <v>160</v>
      </c>
      <c r="AF948" s="22">
        <v>0.3</v>
      </c>
      <c r="AG948" s="22">
        <v>1</v>
      </c>
      <c r="AH948" s="24">
        <f t="shared" si="151"/>
        <v>31753.25</v>
      </c>
      <c r="AI948" s="25">
        <f t="shared" si="152"/>
        <v>235500</v>
      </c>
      <c r="AJ948" s="21">
        <v>23550</v>
      </c>
      <c r="AK948" s="21">
        <v>100</v>
      </c>
      <c r="AL948" s="22" t="s">
        <v>161</v>
      </c>
      <c r="AM948" s="22">
        <v>0.16</v>
      </c>
      <c r="AN948" s="22" t="s">
        <v>1364</v>
      </c>
      <c r="AO948" s="22" t="s">
        <v>1364</v>
      </c>
      <c r="AP948" s="22" t="s">
        <v>162</v>
      </c>
      <c r="AQ948" s="22" t="str">
        <f t="shared" si="140"/>
        <v>Microphytoplankton</v>
      </c>
      <c r="AR948" s="22">
        <v>0</v>
      </c>
      <c r="AS948" s="22">
        <v>0</v>
      </c>
      <c r="AT948" s="22">
        <v>0</v>
      </c>
      <c r="AU948" s="22">
        <v>1</v>
      </c>
      <c r="AV948" s="22">
        <v>0</v>
      </c>
      <c r="AW948" s="22">
        <v>0</v>
      </c>
      <c r="AX948" s="22">
        <v>0</v>
      </c>
      <c r="AY948" s="22">
        <v>1</v>
      </c>
      <c r="AZ948" s="22">
        <v>0</v>
      </c>
      <c r="BA948" s="22">
        <v>0</v>
      </c>
      <c r="BB948" s="22">
        <v>0</v>
      </c>
      <c r="BC948" s="22">
        <v>0</v>
      </c>
      <c r="BD948" s="22">
        <v>3</v>
      </c>
      <c r="BE948" s="22">
        <v>7</v>
      </c>
    </row>
    <row r="949" spans="1:57">
      <c r="A949" s="22" t="s">
        <v>2812</v>
      </c>
      <c r="B949" s="22" t="s">
        <v>663</v>
      </c>
      <c r="C949" s="22" t="s">
        <v>2223</v>
      </c>
      <c r="D949" s="22" t="s">
        <v>2224</v>
      </c>
      <c r="E949" s="23" t="s">
        <v>63</v>
      </c>
      <c r="F949" s="23" t="s">
        <v>2225</v>
      </c>
      <c r="G949" s="23" t="s">
        <v>2226</v>
      </c>
      <c r="H949" s="22" t="s">
        <v>2319</v>
      </c>
      <c r="I949" s="22" t="s">
        <v>52</v>
      </c>
      <c r="J949" s="22" t="s">
        <v>493</v>
      </c>
      <c r="K949" s="22" t="s">
        <v>175</v>
      </c>
      <c r="L949" s="22" t="s">
        <v>2233</v>
      </c>
      <c r="N949" s="22" t="s">
        <v>2765</v>
      </c>
      <c r="O949" s="22" t="s">
        <v>2229</v>
      </c>
      <c r="P949" s="21">
        <v>82721</v>
      </c>
      <c r="Q949" s="22">
        <v>17</v>
      </c>
      <c r="R949" s="22">
        <v>17</v>
      </c>
      <c r="S949" s="22">
        <v>4</v>
      </c>
      <c r="T949" s="22" t="s">
        <v>281</v>
      </c>
      <c r="U949" s="22">
        <v>0.4</v>
      </c>
      <c r="V949" s="22">
        <v>0.4</v>
      </c>
      <c r="W949" s="24">
        <f t="shared" si="149"/>
        <v>4876.3210833879484</v>
      </c>
      <c r="X949" s="24">
        <f t="shared" si="150"/>
        <v>241.98933333333335</v>
      </c>
      <c r="Y949" s="22">
        <v>36</v>
      </c>
      <c r="Z949" s="24">
        <f t="shared" si="138"/>
        <v>175547.55900196615</v>
      </c>
      <c r="AA949" s="24">
        <f t="shared" si="139"/>
        <v>8711.616</v>
      </c>
      <c r="AB949" s="22">
        <v>102</v>
      </c>
      <c r="AC949" s="22">
        <v>102</v>
      </c>
      <c r="AD949" s="22">
        <v>4</v>
      </c>
      <c r="AE949" s="21" t="s">
        <v>160</v>
      </c>
      <c r="AF949" s="22">
        <v>0.3</v>
      </c>
      <c r="AG949" s="22">
        <v>1</v>
      </c>
      <c r="AH949" s="24">
        <f t="shared" si="151"/>
        <v>32693.68</v>
      </c>
      <c r="AI949" s="25">
        <f t="shared" si="152"/>
        <v>249914.484</v>
      </c>
      <c r="AJ949" s="21">
        <v>21779.040000000001</v>
      </c>
      <c r="AK949" s="21">
        <v>102</v>
      </c>
      <c r="AL949" s="22" t="s">
        <v>161</v>
      </c>
      <c r="AM949" s="22">
        <v>0.16</v>
      </c>
      <c r="AN949" s="22" t="s">
        <v>1364</v>
      </c>
      <c r="AO949" s="22" t="s">
        <v>1364</v>
      </c>
      <c r="AP949" s="22" t="s">
        <v>162</v>
      </c>
      <c r="AQ949" s="22" t="str">
        <f t="shared" si="140"/>
        <v>Microphytoplankton</v>
      </c>
      <c r="AR949" s="22">
        <v>0</v>
      </c>
      <c r="AS949" s="22">
        <v>0</v>
      </c>
      <c r="AT949" s="22">
        <v>0</v>
      </c>
      <c r="AU949" s="22">
        <v>1</v>
      </c>
      <c r="AV949" s="22">
        <v>0</v>
      </c>
      <c r="AW949" s="22">
        <v>0</v>
      </c>
      <c r="AX949" s="22">
        <v>0</v>
      </c>
      <c r="AY949" s="22">
        <v>1</v>
      </c>
    </row>
    <row r="950" spans="1:57">
      <c r="A950" s="21" t="s">
        <v>2813</v>
      </c>
      <c r="B950" s="22" t="s">
        <v>663</v>
      </c>
      <c r="C950" s="22" t="s">
        <v>2223</v>
      </c>
      <c r="D950" s="22" t="s">
        <v>2224</v>
      </c>
      <c r="E950" s="23" t="s">
        <v>63</v>
      </c>
      <c r="F950" s="23" t="s">
        <v>2225</v>
      </c>
      <c r="G950" s="23" t="s">
        <v>2226</v>
      </c>
      <c r="H950" s="22" t="s">
        <v>2319</v>
      </c>
      <c r="I950" s="22" t="s">
        <v>52</v>
      </c>
      <c r="J950" s="21" t="s">
        <v>2814</v>
      </c>
      <c r="K950" s="21"/>
      <c r="L950" s="21"/>
      <c r="N950" s="22" t="s">
        <v>501</v>
      </c>
      <c r="O950" s="22" t="s">
        <v>2229</v>
      </c>
      <c r="P950" s="21">
        <v>82740</v>
      </c>
      <c r="Q950" s="21">
        <v>15</v>
      </c>
      <c r="R950" s="21">
        <v>10</v>
      </c>
      <c r="S950" s="22">
        <v>4</v>
      </c>
      <c r="T950" s="22" t="s">
        <v>281</v>
      </c>
      <c r="U950" s="22">
        <v>0.4</v>
      </c>
      <c r="V950" s="22">
        <v>0.4</v>
      </c>
      <c r="W950" s="24">
        <f t="shared" si="149"/>
        <v>2721.0404887055779</v>
      </c>
      <c r="X950" s="24">
        <f t="shared" si="150"/>
        <v>125.60000000000001</v>
      </c>
      <c r="Y950" s="21">
        <v>64</v>
      </c>
      <c r="Z950" s="24">
        <f t="shared" si="138"/>
        <v>174146.59127715699</v>
      </c>
      <c r="AA950" s="24">
        <f t="shared" si="139"/>
        <v>8038.4000000000005</v>
      </c>
      <c r="AB950" s="21">
        <v>100</v>
      </c>
      <c r="AC950" s="21">
        <v>100</v>
      </c>
      <c r="AD950" s="21">
        <v>4</v>
      </c>
      <c r="AE950" s="21" t="s">
        <v>160</v>
      </c>
      <c r="AF950" s="22">
        <v>0.3</v>
      </c>
      <c r="AG950" s="22">
        <v>1</v>
      </c>
      <c r="AH950" s="24">
        <f t="shared" si="151"/>
        <v>31425.119999999999</v>
      </c>
      <c r="AI950" s="25">
        <f t="shared" si="152"/>
        <v>235500</v>
      </c>
      <c r="AJ950" s="21">
        <v>23550</v>
      </c>
      <c r="AK950" s="21">
        <v>100</v>
      </c>
      <c r="AL950" s="22" t="s">
        <v>161</v>
      </c>
      <c r="AM950" s="22">
        <v>0.16</v>
      </c>
      <c r="AN950" s="22" t="s">
        <v>1364</v>
      </c>
      <c r="AO950" s="22" t="s">
        <v>1364</v>
      </c>
      <c r="AP950" s="22" t="s">
        <v>162</v>
      </c>
      <c r="AQ950" s="22" t="str">
        <f t="shared" si="140"/>
        <v>Microphytoplankton</v>
      </c>
      <c r="AR950" s="22">
        <v>0</v>
      </c>
      <c r="AS950" s="22">
        <v>0</v>
      </c>
      <c r="AT950" s="22">
        <v>0</v>
      </c>
      <c r="AU950" s="22">
        <v>1</v>
      </c>
      <c r="AV950" s="22">
        <v>0</v>
      </c>
      <c r="AW950" s="22">
        <v>0</v>
      </c>
      <c r="AX950" s="22">
        <v>0</v>
      </c>
      <c r="AY950" s="22">
        <v>1</v>
      </c>
      <c r="AZ950" s="22">
        <v>0</v>
      </c>
      <c r="BA950" s="22">
        <v>0</v>
      </c>
      <c r="BB950" s="22">
        <v>0</v>
      </c>
      <c r="BC950" s="22">
        <v>1</v>
      </c>
      <c r="BD950" s="22">
        <v>6</v>
      </c>
      <c r="BE950" s="22">
        <v>3</v>
      </c>
    </row>
    <row r="951" spans="1:57">
      <c r="A951" s="22" t="s">
        <v>2815</v>
      </c>
      <c r="B951" s="22" t="s">
        <v>663</v>
      </c>
      <c r="C951" s="22" t="s">
        <v>2223</v>
      </c>
      <c r="D951" s="22" t="s">
        <v>2224</v>
      </c>
      <c r="E951" s="23" t="s">
        <v>63</v>
      </c>
      <c r="F951" s="23" t="s">
        <v>2225</v>
      </c>
      <c r="G951" s="23" t="s">
        <v>2226</v>
      </c>
      <c r="H951" s="22" t="s">
        <v>2319</v>
      </c>
      <c r="I951" s="22" t="s">
        <v>52</v>
      </c>
      <c r="J951" s="22" t="s">
        <v>2816</v>
      </c>
      <c r="K951" s="22" t="s">
        <v>175</v>
      </c>
      <c r="L951" s="22" t="s">
        <v>2817</v>
      </c>
      <c r="N951" s="22" t="s">
        <v>2818</v>
      </c>
      <c r="O951" s="22" t="s">
        <v>2229</v>
      </c>
      <c r="P951" s="21">
        <v>82741</v>
      </c>
      <c r="Q951" s="22">
        <v>23</v>
      </c>
      <c r="R951" s="22">
        <v>21</v>
      </c>
      <c r="S951" s="22">
        <v>4</v>
      </c>
      <c r="T951" s="22" t="s">
        <v>281</v>
      </c>
      <c r="U951" s="22">
        <v>0.4</v>
      </c>
      <c r="V951" s="22">
        <v>0.4</v>
      </c>
      <c r="W951" s="24">
        <f t="shared" si="149"/>
        <v>7997.2730012965421</v>
      </c>
      <c r="X951" s="24">
        <f t="shared" si="150"/>
        <v>404.43200000000002</v>
      </c>
      <c r="Y951" s="22">
        <v>16</v>
      </c>
      <c r="Z951" s="24">
        <f t="shared" si="138"/>
        <v>127956.36802074467</v>
      </c>
      <c r="AA951" s="24">
        <f t="shared" si="139"/>
        <v>6470.9120000000003</v>
      </c>
      <c r="AB951" s="22">
        <v>92</v>
      </c>
      <c r="AC951" s="22">
        <v>92</v>
      </c>
      <c r="AD951" s="22">
        <v>4</v>
      </c>
      <c r="AE951" s="21" t="s">
        <v>160</v>
      </c>
      <c r="AF951" s="22">
        <v>0.3</v>
      </c>
      <c r="AG951" s="22">
        <v>1</v>
      </c>
      <c r="AH951" s="24">
        <f t="shared" si="151"/>
        <v>26602.079999999998</v>
      </c>
      <c r="AI951" s="25">
        <f t="shared" si="152"/>
        <v>183381.024</v>
      </c>
      <c r="AJ951" s="21">
        <v>16177.279999999999</v>
      </c>
      <c r="AK951" s="21">
        <v>92</v>
      </c>
      <c r="AL951" s="22" t="s">
        <v>161</v>
      </c>
      <c r="AM951" s="22">
        <v>0.16</v>
      </c>
      <c r="AN951" s="22" t="s">
        <v>1364</v>
      </c>
      <c r="AO951" s="22" t="s">
        <v>1364</v>
      </c>
      <c r="AP951" s="22" t="s">
        <v>162</v>
      </c>
      <c r="AQ951" s="22" t="str">
        <f t="shared" si="140"/>
        <v>Microphytoplankton</v>
      </c>
      <c r="AR951" s="22">
        <v>0</v>
      </c>
      <c r="AS951" s="22">
        <v>0</v>
      </c>
      <c r="AT951" s="22">
        <v>0</v>
      </c>
      <c r="AU951" s="22">
        <v>1</v>
      </c>
      <c r="AV951" s="22">
        <v>0</v>
      </c>
      <c r="AW951" s="22">
        <v>0</v>
      </c>
      <c r="AX951" s="22">
        <v>0</v>
      </c>
      <c r="AY951" s="22">
        <v>1</v>
      </c>
    </row>
    <row r="952" spans="1:57">
      <c r="A952" s="21" t="s">
        <v>2819</v>
      </c>
      <c r="B952" s="22" t="s">
        <v>663</v>
      </c>
      <c r="C952" s="22" t="s">
        <v>2223</v>
      </c>
      <c r="D952" s="22" t="s">
        <v>2224</v>
      </c>
      <c r="E952" s="23" t="s">
        <v>63</v>
      </c>
      <c r="F952" s="23" t="s">
        <v>2225</v>
      </c>
      <c r="G952" s="23" t="s">
        <v>2226</v>
      </c>
      <c r="H952" s="22" t="s">
        <v>2319</v>
      </c>
      <c r="I952" s="22" t="s">
        <v>52</v>
      </c>
      <c r="J952" s="21" t="s">
        <v>2820</v>
      </c>
      <c r="K952" s="21"/>
      <c r="L952" s="21"/>
      <c r="N952" s="22" t="s">
        <v>2821</v>
      </c>
      <c r="O952" s="22" t="s">
        <v>2229</v>
      </c>
      <c r="P952" s="21">
        <v>82730</v>
      </c>
      <c r="Q952" s="21">
        <v>20</v>
      </c>
      <c r="R952" s="21">
        <v>20</v>
      </c>
      <c r="S952" s="21">
        <v>5</v>
      </c>
      <c r="T952" s="22" t="s">
        <v>281</v>
      </c>
      <c r="U952" s="22">
        <v>0.4</v>
      </c>
      <c r="V952" s="22">
        <v>0.4</v>
      </c>
      <c r="W952" s="24">
        <f t="shared" si="149"/>
        <v>6777.4542590359179</v>
      </c>
      <c r="X952" s="24">
        <f t="shared" si="150"/>
        <v>418.66666666666674</v>
      </c>
      <c r="Y952" s="21">
        <v>8</v>
      </c>
      <c r="Z952" s="24">
        <f t="shared" si="138"/>
        <v>54219.634072287343</v>
      </c>
      <c r="AA952" s="24">
        <f t="shared" si="139"/>
        <v>3349.3333333333339</v>
      </c>
      <c r="AB952" s="21">
        <v>20</v>
      </c>
      <c r="AC952" s="21">
        <v>20</v>
      </c>
      <c r="AD952" s="21">
        <v>5</v>
      </c>
      <c r="AE952" s="21" t="s">
        <v>160</v>
      </c>
      <c r="AF952" s="22">
        <v>0.3</v>
      </c>
      <c r="AG952" s="22">
        <v>1</v>
      </c>
      <c r="AH952" s="24">
        <f t="shared" si="151"/>
        <v>1295.25</v>
      </c>
      <c r="AI952" s="25">
        <f t="shared" si="152"/>
        <v>1884</v>
      </c>
      <c r="AJ952" s="21">
        <v>732.66666666666663</v>
      </c>
      <c r="AK952" s="21">
        <v>20</v>
      </c>
      <c r="AL952" s="22" t="s">
        <v>161</v>
      </c>
      <c r="AM952" s="22">
        <v>0.16</v>
      </c>
      <c r="AN952" s="22" t="s">
        <v>1364</v>
      </c>
      <c r="AO952" s="22" t="s">
        <v>1364</v>
      </c>
      <c r="AP952" s="22" t="s">
        <v>162</v>
      </c>
      <c r="AQ952" s="22" t="str">
        <f t="shared" si="140"/>
        <v>Microphytoplankton</v>
      </c>
      <c r="AR952" s="22">
        <v>0</v>
      </c>
      <c r="AS952" s="22">
        <v>0</v>
      </c>
      <c r="AT952" s="22">
        <v>0</v>
      </c>
      <c r="AU952" s="22">
        <v>1</v>
      </c>
      <c r="AV952" s="22">
        <v>0</v>
      </c>
      <c r="AW952" s="22">
        <v>0</v>
      </c>
      <c r="AX952" s="22">
        <v>0</v>
      </c>
      <c r="AY952" s="22">
        <v>1</v>
      </c>
      <c r="AZ952" s="22">
        <v>0</v>
      </c>
      <c r="BA952" s="22">
        <v>0</v>
      </c>
      <c r="BB952" s="22">
        <v>0</v>
      </c>
      <c r="BC952" s="22">
        <v>1</v>
      </c>
      <c r="BD952" s="22">
        <v>6</v>
      </c>
      <c r="BE952" s="22">
        <v>3</v>
      </c>
    </row>
    <row r="953" spans="1:57">
      <c r="A953" s="40" t="s">
        <v>2822</v>
      </c>
      <c r="B953" s="22" t="s">
        <v>663</v>
      </c>
      <c r="C953" s="22" t="s">
        <v>2223</v>
      </c>
      <c r="D953" s="22" t="s">
        <v>2224</v>
      </c>
      <c r="E953" s="23" t="s">
        <v>63</v>
      </c>
      <c r="F953" s="23" t="s">
        <v>2225</v>
      </c>
      <c r="G953" s="23" t="s">
        <v>2284</v>
      </c>
      <c r="H953" s="23" t="s">
        <v>2407</v>
      </c>
      <c r="I953" s="22" t="s">
        <v>2823</v>
      </c>
      <c r="J953" s="38" t="s">
        <v>2824</v>
      </c>
      <c r="K953" s="38"/>
      <c r="L953" s="38"/>
      <c r="N953" s="22" t="s">
        <v>409</v>
      </c>
      <c r="O953" s="22" t="s">
        <v>2229</v>
      </c>
      <c r="P953" s="21">
        <v>80310</v>
      </c>
      <c r="Q953" s="21">
        <v>15</v>
      </c>
      <c r="R953" s="21">
        <v>15</v>
      </c>
      <c r="S953" s="21">
        <v>7</v>
      </c>
      <c r="T953" s="22" t="s">
        <v>281</v>
      </c>
      <c r="U953" s="21">
        <v>0.5</v>
      </c>
      <c r="V953" s="21">
        <v>0.5</v>
      </c>
      <c r="W953" s="24">
        <f t="shared" si="149"/>
        <v>3371.2774895864322</v>
      </c>
      <c r="X953" s="24">
        <f t="shared" si="150"/>
        <v>412.125</v>
      </c>
      <c r="Y953" s="21">
        <v>1</v>
      </c>
      <c r="Z953" s="24">
        <f t="shared" si="138"/>
        <v>3371.2774895864322</v>
      </c>
      <c r="AA953" s="24">
        <f t="shared" si="139"/>
        <v>412.125</v>
      </c>
      <c r="AB953" s="21"/>
      <c r="AC953" s="21"/>
      <c r="AD953" s="21"/>
      <c r="AE953" s="21"/>
      <c r="AF953" s="21"/>
      <c r="AG953" s="21"/>
      <c r="AH953" s="24"/>
      <c r="AI953" s="24"/>
      <c r="AJ953" s="21">
        <v>412.3</v>
      </c>
      <c r="AK953" s="21">
        <v>16.5</v>
      </c>
      <c r="AL953" s="22" t="s">
        <v>161</v>
      </c>
      <c r="AM953" s="22">
        <v>0.16</v>
      </c>
      <c r="AN953" s="38"/>
      <c r="AO953" s="22" t="s">
        <v>2825</v>
      </c>
      <c r="AP953" s="22" t="s">
        <v>673</v>
      </c>
      <c r="AQ953" s="22" t="str">
        <f t="shared" si="140"/>
        <v>Nanophytoplankton</v>
      </c>
      <c r="AR953" s="22">
        <v>1</v>
      </c>
      <c r="AS953" s="22">
        <v>1</v>
      </c>
      <c r="AT953" s="22">
        <v>0</v>
      </c>
      <c r="AU953" s="38">
        <v>0</v>
      </c>
      <c r="AV953" s="38">
        <v>0</v>
      </c>
      <c r="AW953" s="22">
        <v>0</v>
      </c>
      <c r="AX953" s="22">
        <v>0</v>
      </c>
      <c r="AY953" s="22">
        <v>1</v>
      </c>
      <c r="AZ953" s="22">
        <v>0</v>
      </c>
      <c r="BA953" s="22">
        <v>0</v>
      </c>
      <c r="BB953" s="22">
        <v>1</v>
      </c>
      <c r="BC953" s="22">
        <v>2</v>
      </c>
      <c r="BD953" s="22">
        <v>6</v>
      </c>
      <c r="BE953" s="22">
        <v>1</v>
      </c>
    </row>
    <row r="954" spans="1:57">
      <c r="A954" s="21" t="s">
        <v>2826</v>
      </c>
      <c r="B954" s="22" t="s">
        <v>663</v>
      </c>
      <c r="C954" s="22" t="s">
        <v>2223</v>
      </c>
      <c r="D954" s="22" t="s">
        <v>2224</v>
      </c>
      <c r="E954" s="23" t="s">
        <v>63</v>
      </c>
      <c r="F954" s="23" t="s">
        <v>2225</v>
      </c>
      <c r="G954" s="23" t="s">
        <v>2284</v>
      </c>
      <c r="H954" s="23" t="s">
        <v>2407</v>
      </c>
      <c r="I954" s="22" t="s">
        <v>2823</v>
      </c>
      <c r="J954" s="38" t="s">
        <v>2827</v>
      </c>
      <c r="K954" s="38"/>
      <c r="L954" s="38"/>
      <c r="N954" s="22" t="s">
        <v>2828</v>
      </c>
      <c r="O954" s="22" t="s">
        <v>2229</v>
      </c>
      <c r="P954" s="21">
        <v>80311</v>
      </c>
      <c r="Q954" s="21">
        <v>17</v>
      </c>
      <c r="R954" s="21">
        <v>17</v>
      </c>
      <c r="S954" s="21">
        <v>7</v>
      </c>
      <c r="T954" s="22" t="s">
        <v>159</v>
      </c>
      <c r="U954" s="21">
        <v>1</v>
      </c>
      <c r="V954" s="21">
        <v>1</v>
      </c>
      <c r="W954" s="24">
        <f t="shared" si="149"/>
        <v>2105.5634307927198</v>
      </c>
      <c r="X954" s="24">
        <f t="shared" si="150"/>
        <v>1058.7033333333334</v>
      </c>
      <c r="Y954" s="21">
        <v>1</v>
      </c>
      <c r="Z954" s="24">
        <f t="shared" si="138"/>
        <v>2105.5634307927198</v>
      </c>
      <c r="AA954" s="24">
        <f t="shared" si="139"/>
        <v>1058.7033333333334</v>
      </c>
      <c r="AB954" s="21"/>
      <c r="AC954" s="21"/>
      <c r="AD954" s="21"/>
      <c r="AE954" s="21"/>
      <c r="AF954" s="21"/>
      <c r="AG954" s="21"/>
      <c r="AH954" s="24"/>
      <c r="AI954" s="24"/>
      <c r="AJ954" s="21">
        <v>1058.7033333333334</v>
      </c>
      <c r="AK954" s="21">
        <v>17</v>
      </c>
      <c r="AL954" s="22" t="s">
        <v>161</v>
      </c>
      <c r="AM954" s="22">
        <v>0.16</v>
      </c>
      <c r="AN954" s="38"/>
      <c r="AO954" s="22" t="s">
        <v>2825</v>
      </c>
      <c r="AP954" s="22" t="s">
        <v>673</v>
      </c>
      <c r="AQ954" s="22" t="str">
        <f t="shared" si="140"/>
        <v>Nanophytoplankton</v>
      </c>
      <c r="AR954" s="22">
        <v>1</v>
      </c>
      <c r="AS954" s="22">
        <v>1</v>
      </c>
      <c r="AT954" s="22">
        <v>0</v>
      </c>
      <c r="AU954" s="38">
        <v>0</v>
      </c>
      <c r="AV954" s="38">
        <v>0</v>
      </c>
      <c r="AW954" s="22">
        <v>0</v>
      </c>
      <c r="AX954" s="22">
        <v>0</v>
      </c>
      <c r="AY954" s="22">
        <v>1</v>
      </c>
    </row>
    <row r="955" spans="1:57">
      <c r="A955" s="21" t="s">
        <v>2829</v>
      </c>
      <c r="B955" s="22" t="s">
        <v>663</v>
      </c>
      <c r="C955" s="22" t="s">
        <v>2223</v>
      </c>
      <c r="D955" s="22" t="s">
        <v>2224</v>
      </c>
      <c r="E955" s="23" t="s">
        <v>63</v>
      </c>
      <c r="F955" s="23" t="s">
        <v>2370</v>
      </c>
      <c r="G955" s="23" t="s">
        <v>2371</v>
      </c>
      <c r="H955" s="23" t="s">
        <v>2372</v>
      </c>
      <c r="I955" s="22" t="s">
        <v>2830</v>
      </c>
      <c r="J955" s="22" t="s">
        <v>2461</v>
      </c>
      <c r="N955" s="22" t="s">
        <v>2459</v>
      </c>
      <c r="O955" s="22" t="s">
        <v>2229</v>
      </c>
      <c r="P955" s="21">
        <v>86600</v>
      </c>
      <c r="Q955" s="21">
        <v>6</v>
      </c>
      <c r="R955" s="21">
        <v>3.2</v>
      </c>
      <c r="S955" s="21">
        <v>3.2</v>
      </c>
      <c r="T955" s="21" t="s">
        <v>160</v>
      </c>
      <c r="U955" s="21">
        <v>1</v>
      </c>
      <c r="V955" s="21">
        <v>1</v>
      </c>
      <c r="W955" s="24">
        <f>3.14*R955*Q955+2*3.14*(S955/2)^2/V955</f>
        <v>76.364800000000017</v>
      </c>
      <c r="X955" s="25">
        <f>(3.14/4*R955^2*Q955)*U955</f>
        <v>48.230400000000003</v>
      </c>
      <c r="Y955" s="21">
        <v>8</v>
      </c>
      <c r="Z955" s="24">
        <f t="shared" si="138"/>
        <v>610.91840000000013</v>
      </c>
      <c r="AA955" s="24">
        <f t="shared" si="139"/>
        <v>385.84320000000002</v>
      </c>
      <c r="AB955" s="21">
        <v>50</v>
      </c>
      <c r="AC955" s="21">
        <v>3.2</v>
      </c>
      <c r="AD955" s="21">
        <v>3.2</v>
      </c>
      <c r="AE955" s="21" t="s">
        <v>160</v>
      </c>
      <c r="AF955" s="21">
        <v>1</v>
      </c>
      <c r="AG955" s="22">
        <v>1</v>
      </c>
      <c r="AH955" s="24">
        <f>3.14*AC955*AB955+2*3.14*(AD955/2)^2/AG955</f>
        <v>518.47680000000014</v>
      </c>
      <c r="AI955" s="25">
        <f>(3.14/4*AC955^2*AB955)*AF955</f>
        <v>401.92000000000007</v>
      </c>
      <c r="AJ955" s="21">
        <v>402</v>
      </c>
      <c r="AK955" s="21">
        <v>50</v>
      </c>
      <c r="AL955" s="22" t="s">
        <v>2831</v>
      </c>
      <c r="AM955" s="22">
        <v>0.16</v>
      </c>
      <c r="AO955" s="22" t="s">
        <v>1357</v>
      </c>
      <c r="AQ955" s="22" t="str">
        <f t="shared" si="140"/>
        <v>Microphytoplankton</v>
      </c>
      <c r="AR955" s="22">
        <v>0</v>
      </c>
      <c r="AS955" s="22">
        <v>0</v>
      </c>
      <c r="AT955" s="22">
        <v>0</v>
      </c>
      <c r="AU955" s="22">
        <v>1</v>
      </c>
      <c r="AV955" s="22">
        <v>1</v>
      </c>
      <c r="AW955" s="22">
        <v>0</v>
      </c>
      <c r="AX955" s="22">
        <v>0</v>
      </c>
      <c r="AY955" s="22">
        <v>1</v>
      </c>
    </row>
    <row r="956" spans="1:57">
      <c r="A956" s="21" t="s">
        <v>2832</v>
      </c>
      <c r="B956" s="22" t="s">
        <v>663</v>
      </c>
      <c r="C956" s="22" t="s">
        <v>2223</v>
      </c>
      <c r="D956" s="22" t="s">
        <v>2224</v>
      </c>
      <c r="E956" s="23" t="s">
        <v>63</v>
      </c>
      <c r="F956" s="23" t="s">
        <v>2225</v>
      </c>
      <c r="G956" s="23" t="s">
        <v>2226</v>
      </c>
      <c r="H956" s="22" t="s">
        <v>2311</v>
      </c>
      <c r="I956" s="22" t="s">
        <v>2833</v>
      </c>
      <c r="J956" s="22" t="s">
        <v>2527</v>
      </c>
      <c r="N956" s="22" t="s">
        <v>2834</v>
      </c>
      <c r="O956" s="22" t="s">
        <v>2229</v>
      </c>
      <c r="P956" s="21">
        <v>85420</v>
      </c>
      <c r="Q956" s="21">
        <v>10</v>
      </c>
      <c r="R956" s="21">
        <v>10</v>
      </c>
      <c r="S956" s="21">
        <v>10</v>
      </c>
      <c r="T956" s="21" t="s">
        <v>281</v>
      </c>
      <c r="U956" s="21">
        <v>1</v>
      </c>
      <c r="V956" s="21">
        <v>1</v>
      </c>
      <c r="W956" s="24">
        <f>(4*3.14*(((Q956^1.6*R956^1.6+Q956^1.6*S956^1.6+R956^1.6+S956^1.6)/3)^(1/1.6)))*(1/V956)</f>
        <v>990.0713501282612</v>
      </c>
      <c r="X956" s="24">
        <f>3.14/6*Q956*R956*S956*U956</f>
        <v>523.33333333333337</v>
      </c>
      <c r="Y956" s="21">
        <v>1</v>
      </c>
      <c r="Z956" s="24">
        <f t="shared" si="138"/>
        <v>990.0713501282612</v>
      </c>
      <c r="AA956" s="24">
        <f t="shared" si="139"/>
        <v>523.33333333333337</v>
      </c>
      <c r="AB956" s="21"/>
      <c r="AC956" s="21"/>
      <c r="AD956" s="21"/>
      <c r="AE956" s="21"/>
      <c r="AF956" s="21"/>
      <c r="AG956" s="21"/>
      <c r="AH956" s="24"/>
      <c r="AI956" s="24"/>
      <c r="AJ956" s="21">
        <v>523.6</v>
      </c>
      <c r="AK956" s="21">
        <v>20</v>
      </c>
      <c r="AL956" s="22" t="s">
        <v>161</v>
      </c>
      <c r="AM956" s="22">
        <v>0.16</v>
      </c>
      <c r="AO956" s="22" t="s">
        <v>2282</v>
      </c>
      <c r="AQ956" s="22" t="str">
        <f t="shared" si="140"/>
        <v>Microphytoplankton</v>
      </c>
      <c r="AR956" s="22">
        <v>0</v>
      </c>
      <c r="AS956" s="22">
        <v>0</v>
      </c>
      <c r="AT956" s="22">
        <v>0</v>
      </c>
      <c r="AU956" s="22">
        <v>0</v>
      </c>
      <c r="AV956" s="22">
        <v>0</v>
      </c>
      <c r="AW956" s="22">
        <v>0</v>
      </c>
      <c r="AX956" s="22">
        <v>0</v>
      </c>
      <c r="AY956" s="22">
        <v>1</v>
      </c>
    </row>
    <row r="957" spans="1:57">
      <c r="A957" s="22" t="s">
        <v>2835</v>
      </c>
      <c r="B957" s="22" t="s">
        <v>663</v>
      </c>
      <c r="C957" s="22" t="s">
        <v>2223</v>
      </c>
      <c r="D957" s="22" t="s">
        <v>2224</v>
      </c>
      <c r="E957" s="23" t="s">
        <v>63</v>
      </c>
      <c r="F957" s="23" t="s">
        <v>2225</v>
      </c>
      <c r="G957" s="23" t="s">
        <v>2226</v>
      </c>
      <c r="H957" s="23" t="s">
        <v>2239</v>
      </c>
      <c r="I957" s="23" t="s">
        <v>2836</v>
      </c>
      <c r="J957" s="22" t="s">
        <v>2837</v>
      </c>
      <c r="N957" s="22" t="s">
        <v>2838</v>
      </c>
      <c r="O957" s="22" t="s">
        <v>2229</v>
      </c>
      <c r="P957" s="21">
        <v>81301</v>
      </c>
      <c r="Q957" s="22">
        <v>9.5</v>
      </c>
      <c r="R957" s="22">
        <v>9.5</v>
      </c>
      <c r="S957" s="22">
        <v>9.5</v>
      </c>
      <c r="T957" s="22" t="s">
        <v>330</v>
      </c>
      <c r="U957" s="22">
        <v>1</v>
      </c>
      <c r="V957" s="22">
        <v>1</v>
      </c>
      <c r="W957" s="25">
        <f>(Q957*R957*2+Q957*S957*2+R957*S957*2)/V957</f>
        <v>541.5</v>
      </c>
      <c r="X957" s="25">
        <f>Q957*R957*S957*U957</f>
        <v>857.375</v>
      </c>
      <c r="Y957" s="22">
        <v>1</v>
      </c>
      <c r="Z957" s="24">
        <f t="shared" si="138"/>
        <v>541.5</v>
      </c>
      <c r="AA957" s="24">
        <f t="shared" si="139"/>
        <v>857.375</v>
      </c>
      <c r="AJ957" s="21">
        <v>0</v>
      </c>
      <c r="AK957" s="21">
        <v>9.5</v>
      </c>
      <c r="AL957" s="22" t="s">
        <v>161</v>
      </c>
      <c r="AM957" s="22">
        <v>0.16</v>
      </c>
      <c r="AQ957" s="22" t="str">
        <f t="shared" si="140"/>
        <v>Nanophytoplankton</v>
      </c>
      <c r="AR957" s="22">
        <v>0</v>
      </c>
      <c r="AS957" s="22">
        <v>0</v>
      </c>
      <c r="AT957" s="22">
        <v>0</v>
      </c>
      <c r="AU957" s="22">
        <v>0</v>
      </c>
      <c r="AV957" s="22">
        <v>0</v>
      </c>
      <c r="AW957" s="22">
        <v>0</v>
      </c>
      <c r="AX957" s="22">
        <v>0</v>
      </c>
      <c r="AY957" s="22">
        <v>1</v>
      </c>
    </row>
    <row r="958" spans="1:57">
      <c r="A958" s="22" t="s">
        <v>2839</v>
      </c>
      <c r="B958" s="22" t="s">
        <v>663</v>
      </c>
      <c r="C958" s="22" t="s">
        <v>2223</v>
      </c>
      <c r="D958" s="22" t="s">
        <v>2224</v>
      </c>
      <c r="E958" s="23" t="s">
        <v>63</v>
      </c>
      <c r="F958" s="23" t="s">
        <v>2840</v>
      </c>
      <c r="G958" s="23" t="s">
        <v>2841</v>
      </c>
      <c r="H958" s="23" t="s">
        <v>2842</v>
      </c>
      <c r="I958" s="23" t="s">
        <v>2843</v>
      </c>
      <c r="J958" s="22" t="s">
        <v>2446</v>
      </c>
      <c r="N958" s="22" t="s">
        <v>2844</v>
      </c>
      <c r="O958" s="22" t="s">
        <v>2229</v>
      </c>
      <c r="P958" s="21">
        <v>81302</v>
      </c>
      <c r="Q958" s="22">
        <v>8</v>
      </c>
      <c r="R958" s="22">
        <v>8</v>
      </c>
      <c r="S958" s="22">
        <v>8</v>
      </c>
      <c r="T958" s="21" t="s">
        <v>246</v>
      </c>
      <c r="U958" s="22">
        <v>1</v>
      </c>
      <c r="V958" s="22">
        <v>1</v>
      </c>
      <c r="W958" s="25">
        <f>4*3.14*(R958/2)*(Q958/2)/V958</f>
        <v>200.96</v>
      </c>
      <c r="X958" s="25">
        <f>(3.14/6*(Q958*S958*R958))*U958</f>
        <v>267.94666666666666</v>
      </c>
      <c r="Y958" s="22">
        <v>1</v>
      </c>
      <c r="Z958" s="24">
        <f t="shared" si="138"/>
        <v>200.96</v>
      </c>
      <c r="AA958" s="24">
        <f t="shared" si="139"/>
        <v>267.94666666666666</v>
      </c>
      <c r="AJ958" s="21">
        <v>267.94666666666666</v>
      </c>
      <c r="AK958" s="21">
        <v>8</v>
      </c>
      <c r="AL958" s="22" t="s">
        <v>161</v>
      </c>
      <c r="AM958" s="22">
        <v>0.16</v>
      </c>
      <c r="AQ958" s="22" t="str">
        <f t="shared" si="140"/>
        <v>Nanophytoplankton</v>
      </c>
      <c r="AR958" s="22">
        <v>0</v>
      </c>
      <c r="AS958" s="22">
        <v>0</v>
      </c>
      <c r="AT958" s="22">
        <v>0</v>
      </c>
      <c r="AU958" s="22">
        <v>0</v>
      </c>
      <c r="AV958" s="22">
        <v>0</v>
      </c>
      <c r="AW958" s="22">
        <v>0</v>
      </c>
      <c r="AX958" s="22">
        <v>0</v>
      </c>
      <c r="AY958" s="22">
        <v>1</v>
      </c>
    </row>
    <row r="959" spans="1:57">
      <c r="A959" s="21" t="s">
        <v>2845</v>
      </c>
      <c r="B959" s="22" t="s">
        <v>663</v>
      </c>
      <c r="C959" s="22" t="s">
        <v>2223</v>
      </c>
      <c r="D959" s="22" t="s">
        <v>2224</v>
      </c>
      <c r="E959" s="23" t="s">
        <v>63</v>
      </c>
      <c r="F959" s="23" t="s">
        <v>2225</v>
      </c>
      <c r="G959" s="23" t="s">
        <v>2296</v>
      </c>
      <c r="H959" s="23" t="s">
        <v>2297</v>
      </c>
      <c r="I959" s="22" t="s">
        <v>2846</v>
      </c>
      <c r="J959" s="22" t="s">
        <v>2847</v>
      </c>
      <c r="N959" s="22" t="s">
        <v>989</v>
      </c>
      <c r="O959" s="22" t="s">
        <v>2229</v>
      </c>
      <c r="P959" s="21">
        <v>80710</v>
      </c>
      <c r="Q959" s="21">
        <v>9</v>
      </c>
      <c r="R959" s="21">
        <v>9</v>
      </c>
      <c r="S959" s="21">
        <v>9</v>
      </c>
      <c r="T959" s="21" t="s">
        <v>246</v>
      </c>
      <c r="U959" s="21">
        <v>1</v>
      </c>
      <c r="V959" s="21">
        <v>1</v>
      </c>
      <c r="W959" s="25">
        <f>4*3.14*(R959/2)*(Q959/2)/V959</f>
        <v>254.34</v>
      </c>
      <c r="X959" s="25">
        <f>(3.14/6*(Q959*S959*R959))*U959</f>
        <v>381.51</v>
      </c>
      <c r="Y959" s="21">
        <v>32</v>
      </c>
      <c r="Z959" s="24">
        <f t="shared" si="138"/>
        <v>8138.88</v>
      </c>
      <c r="AA959" s="24">
        <f t="shared" si="139"/>
        <v>12208.32</v>
      </c>
      <c r="AB959" s="21">
        <v>80</v>
      </c>
      <c r="AC959" s="21">
        <v>80</v>
      </c>
      <c r="AD959" s="21">
        <v>80</v>
      </c>
      <c r="AE959" s="21" t="s">
        <v>246</v>
      </c>
      <c r="AF959" s="21">
        <v>0.1</v>
      </c>
      <c r="AG959" s="21">
        <v>1</v>
      </c>
      <c r="AH959" s="25">
        <f>4*3.14*(AC959/2)*(AB959/2)/AG959</f>
        <v>20096</v>
      </c>
      <c r="AI959" s="25">
        <f>(3.14/6*(AD959*AB959*AC959))*AF959</f>
        <v>26794.666666666672</v>
      </c>
      <c r="AJ959" s="21">
        <v>12214.5</v>
      </c>
      <c r="AK959" s="21">
        <v>100</v>
      </c>
      <c r="AL959" s="22" t="s">
        <v>161</v>
      </c>
      <c r="AM959" s="22">
        <v>0.16</v>
      </c>
      <c r="AN959" s="22" t="s">
        <v>2282</v>
      </c>
      <c r="AO959" s="22" t="s">
        <v>2282</v>
      </c>
      <c r="AP959" s="22" t="s">
        <v>230</v>
      </c>
      <c r="AQ959" s="22" t="str">
        <f t="shared" si="140"/>
        <v>Microphytoplankton</v>
      </c>
      <c r="AR959" s="22">
        <v>0</v>
      </c>
      <c r="AS959" s="22">
        <v>0</v>
      </c>
      <c r="AT959" s="22">
        <v>0</v>
      </c>
      <c r="AU959" s="22">
        <v>1</v>
      </c>
      <c r="AV959" s="22">
        <v>0</v>
      </c>
      <c r="AW959" s="22">
        <v>0</v>
      </c>
      <c r="AX959" s="22">
        <v>0</v>
      </c>
      <c r="AY959" s="22">
        <v>1</v>
      </c>
    </row>
    <row r="960" spans="1:57">
      <c r="A960" s="22" t="s">
        <v>2848</v>
      </c>
      <c r="B960" s="22" t="s">
        <v>663</v>
      </c>
      <c r="C960" s="22" t="s">
        <v>2223</v>
      </c>
      <c r="D960" s="22" t="s">
        <v>2224</v>
      </c>
      <c r="E960" s="23" t="s">
        <v>63</v>
      </c>
      <c r="F960" s="23" t="s">
        <v>2225</v>
      </c>
      <c r="G960" s="23" t="s">
        <v>2284</v>
      </c>
      <c r="H960" s="23" t="s">
        <v>2407</v>
      </c>
      <c r="I960" s="22" t="s">
        <v>2849</v>
      </c>
      <c r="J960" s="22" t="s">
        <v>2850</v>
      </c>
      <c r="N960" s="22" t="s">
        <v>167</v>
      </c>
      <c r="O960" s="22" t="s">
        <v>2229</v>
      </c>
      <c r="P960" s="21">
        <v>80315</v>
      </c>
      <c r="Q960" s="22">
        <v>29.5</v>
      </c>
      <c r="R960" s="22">
        <v>28</v>
      </c>
      <c r="S960" s="22">
        <v>12</v>
      </c>
      <c r="T960" s="22" t="s">
        <v>159</v>
      </c>
      <c r="U960" s="22">
        <v>1</v>
      </c>
      <c r="V960" s="22">
        <v>1</v>
      </c>
      <c r="W960" s="24">
        <f t="shared" ref="W960:W971" si="153">(4*3.14*(((Q960^1.6*R960^1.6+Q960^1.6*S960^1.6+R960^1.6+S960^1.6)/3)^(1/1.6)))*(1/V960)</f>
        <v>6042.6199095790344</v>
      </c>
      <c r="X960" s="24">
        <f t="shared" ref="X960:X971" si="154">3.14/6*Q960*R960*S960*U960</f>
        <v>5187.28</v>
      </c>
      <c r="Y960" s="22">
        <v>1</v>
      </c>
      <c r="Z960" s="24">
        <f t="shared" si="138"/>
        <v>6042.6199095790344</v>
      </c>
      <c r="AA960" s="24">
        <f t="shared" si="139"/>
        <v>5187.28</v>
      </c>
      <c r="AJ960" s="21">
        <v>5187.28</v>
      </c>
      <c r="AK960" s="21">
        <v>29.5</v>
      </c>
      <c r="AL960" s="22" t="s">
        <v>161</v>
      </c>
      <c r="AM960" s="22">
        <v>0.16</v>
      </c>
      <c r="AO960" s="22" t="s">
        <v>830</v>
      </c>
      <c r="AP960" s="22" t="s">
        <v>673</v>
      </c>
      <c r="AQ960" s="22" t="str">
        <f t="shared" si="140"/>
        <v>Microphytoplankton</v>
      </c>
      <c r="AR960" s="22">
        <v>1</v>
      </c>
      <c r="AS960" s="22">
        <v>1</v>
      </c>
      <c r="AT960" s="22">
        <v>0</v>
      </c>
      <c r="AU960" s="22">
        <v>0</v>
      </c>
      <c r="AV960" s="22">
        <v>0</v>
      </c>
      <c r="AW960" s="22">
        <v>0</v>
      </c>
      <c r="AX960" s="22">
        <v>0</v>
      </c>
      <c r="AY960" s="22">
        <v>1</v>
      </c>
    </row>
    <row r="961" spans="1:57">
      <c r="A961" s="22" t="s">
        <v>2851</v>
      </c>
      <c r="B961" s="22" t="s">
        <v>663</v>
      </c>
      <c r="C961" s="22" t="s">
        <v>2223</v>
      </c>
      <c r="D961" s="22" t="s">
        <v>2224</v>
      </c>
      <c r="E961" s="23" t="s">
        <v>63</v>
      </c>
      <c r="F961" s="23" t="s">
        <v>2225</v>
      </c>
      <c r="G961" s="23" t="s">
        <v>2284</v>
      </c>
      <c r="H961" s="23" t="s">
        <v>2407</v>
      </c>
      <c r="I961" s="22" t="s">
        <v>2849</v>
      </c>
      <c r="J961" s="22" t="s">
        <v>2852</v>
      </c>
      <c r="N961" s="22" t="s">
        <v>167</v>
      </c>
      <c r="O961" s="22" t="s">
        <v>2229</v>
      </c>
      <c r="P961" s="21">
        <v>80316</v>
      </c>
      <c r="Q961" s="22">
        <v>15</v>
      </c>
      <c r="R961" s="22">
        <v>15</v>
      </c>
      <c r="S961" s="22">
        <v>7</v>
      </c>
      <c r="T961" s="22" t="s">
        <v>159</v>
      </c>
      <c r="U961" s="22">
        <v>1</v>
      </c>
      <c r="V961" s="22">
        <v>1</v>
      </c>
      <c r="W961" s="24">
        <f t="shared" si="153"/>
        <v>1685.6387447932161</v>
      </c>
      <c r="X961" s="24">
        <f t="shared" si="154"/>
        <v>824.25</v>
      </c>
      <c r="Y961" s="22">
        <v>1</v>
      </c>
      <c r="Z961" s="24">
        <f t="shared" si="138"/>
        <v>1685.6387447932161</v>
      </c>
      <c r="AA961" s="24">
        <f t="shared" si="139"/>
        <v>824.25</v>
      </c>
      <c r="AJ961" s="21">
        <v>824.25</v>
      </c>
      <c r="AK961" s="21">
        <v>15</v>
      </c>
      <c r="AL961" s="22" t="s">
        <v>161</v>
      </c>
      <c r="AM961" s="22">
        <v>0.16</v>
      </c>
      <c r="AO961" s="22" t="s">
        <v>830</v>
      </c>
      <c r="AP961" s="22" t="s">
        <v>673</v>
      </c>
      <c r="AQ961" s="22" t="str">
        <f t="shared" si="140"/>
        <v>Nanophytoplankton</v>
      </c>
      <c r="AR961" s="22">
        <v>1</v>
      </c>
      <c r="AS961" s="22">
        <v>1</v>
      </c>
      <c r="AT961" s="22">
        <v>0</v>
      </c>
      <c r="AU961" s="22">
        <v>0</v>
      </c>
      <c r="AV961" s="22">
        <v>0</v>
      </c>
      <c r="AW961" s="22">
        <v>0</v>
      </c>
      <c r="AX961" s="22">
        <v>0</v>
      </c>
      <c r="AY961" s="22">
        <v>1</v>
      </c>
    </row>
    <row r="962" spans="1:57">
      <c r="A962" s="22" t="s">
        <v>2853</v>
      </c>
      <c r="B962" s="22" t="s">
        <v>663</v>
      </c>
      <c r="C962" s="22" t="s">
        <v>2223</v>
      </c>
      <c r="D962" s="22" t="s">
        <v>2224</v>
      </c>
      <c r="E962" s="23" t="s">
        <v>63</v>
      </c>
      <c r="F962" s="23" t="s">
        <v>2225</v>
      </c>
      <c r="G962" s="23" t="s">
        <v>2284</v>
      </c>
      <c r="H962" s="23" t="s">
        <v>2407</v>
      </c>
      <c r="I962" s="22" t="s">
        <v>2849</v>
      </c>
      <c r="J962" s="22" t="s">
        <v>2854</v>
      </c>
      <c r="N962" s="22" t="s">
        <v>167</v>
      </c>
      <c r="O962" s="22" t="s">
        <v>2229</v>
      </c>
      <c r="P962" s="21">
        <v>80317</v>
      </c>
      <c r="Q962" s="22">
        <v>12.5</v>
      </c>
      <c r="R962" s="22">
        <v>11</v>
      </c>
      <c r="S962" s="22">
        <v>6.5</v>
      </c>
      <c r="T962" s="22" t="s">
        <v>159</v>
      </c>
      <c r="U962" s="22">
        <v>1</v>
      </c>
      <c r="V962" s="22">
        <v>1</v>
      </c>
      <c r="W962" s="24">
        <f t="shared" si="153"/>
        <v>1099.2274073831343</v>
      </c>
      <c r="X962" s="24">
        <f t="shared" si="154"/>
        <v>467.72916666666663</v>
      </c>
      <c r="Y962" s="22">
        <v>1</v>
      </c>
      <c r="Z962" s="24">
        <f t="shared" ref="Z962:Z1025" si="155">Y962*W962</f>
        <v>1099.2274073831343</v>
      </c>
      <c r="AA962" s="24">
        <f t="shared" ref="AA962:AA1025" si="156">Y962*X962</f>
        <v>467.72916666666663</v>
      </c>
      <c r="AJ962" s="21">
        <v>467.72916666666663</v>
      </c>
      <c r="AK962" s="21">
        <v>12.5</v>
      </c>
      <c r="AL962" s="22" t="s">
        <v>161</v>
      </c>
      <c r="AM962" s="22">
        <v>0.16</v>
      </c>
      <c r="AO962" s="22" t="s">
        <v>830</v>
      </c>
      <c r="AP962" s="22" t="s">
        <v>673</v>
      </c>
      <c r="AQ962" s="22" t="str">
        <f t="shared" ref="AQ962:AQ1025" si="157">IF(AND($AK962&lt;20,AJ962&lt;10000),"Nanophytoplankton","Microphytoplankton")</f>
        <v>Nanophytoplankton</v>
      </c>
      <c r="AR962" s="22">
        <v>1</v>
      </c>
      <c r="AS962" s="22">
        <v>1</v>
      </c>
      <c r="AT962" s="22">
        <v>0</v>
      </c>
      <c r="AU962" s="22">
        <v>0</v>
      </c>
      <c r="AV962" s="22">
        <v>0</v>
      </c>
      <c r="AW962" s="22">
        <v>0</v>
      </c>
      <c r="AX962" s="22">
        <v>0</v>
      </c>
      <c r="AY962" s="22">
        <v>1</v>
      </c>
    </row>
    <row r="963" spans="1:57">
      <c r="A963" s="22" t="s">
        <v>2855</v>
      </c>
      <c r="B963" s="22" t="s">
        <v>663</v>
      </c>
      <c r="C963" s="22" t="s">
        <v>2223</v>
      </c>
      <c r="D963" s="22" t="s">
        <v>2224</v>
      </c>
      <c r="E963" s="23" t="s">
        <v>63</v>
      </c>
      <c r="F963" s="23" t="s">
        <v>2225</v>
      </c>
      <c r="G963" s="23" t="s">
        <v>2284</v>
      </c>
      <c r="H963" s="23" t="s">
        <v>2407</v>
      </c>
      <c r="I963" s="22" t="s">
        <v>2849</v>
      </c>
      <c r="J963" s="22" t="s">
        <v>2856</v>
      </c>
      <c r="N963" s="22" t="s">
        <v>2857</v>
      </c>
      <c r="O963" s="22" t="s">
        <v>2229</v>
      </c>
      <c r="P963" s="21">
        <v>80318</v>
      </c>
      <c r="Q963" s="22">
        <v>12</v>
      </c>
      <c r="R963" s="22">
        <v>10</v>
      </c>
      <c r="S963" s="22">
        <v>7</v>
      </c>
      <c r="T963" s="22" t="s">
        <v>159</v>
      </c>
      <c r="U963" s="22">
        <v>1</v>
      </c>
      <c r="V963" s="22">
        <v>1</v>
      </c>
      <c r="W963" s="24">
        <f t="shared" si="153"/>
        <v>1015.3408186825433</v>
      </c>
      <c r="X963" s="24">
        <f t="shared" si="154"/>
        <v>439.59999999999997</v>
      </c>
      <c r="Y963" s="22">
        <v>1</v>
      </c>
      <c r="Z963" s="24">
        <f t="shared" si="155"/>
        <v>1015.3408186825433</v>
      </c>
      <c r="AA963" s="24">
        <f t="shared" si="156"/>
        <v>439.59999999999997</v>
      </c>
      <c r="AJ963" s="21">
        <v>439.59999999999997</v>
      </c>
      <c r="AK963" s="21">
        <v>12</v>
      </c>
      <c r="AL963" s="22" t="s">
        <v>161</v>
      </c>
      <c r="AM963" s="22">
        <v>0.16</v>
      </c>
      <c r="AO963" s="22" t="s">
        <v>830</v>
      </c>
      <c r="AP963" s="22" t="s">
        <v>673</v>
      </c>
      <c r="AQ963" s="22" t="str">
        <f t="shared" si="157"/>
        <v>Nanophytoplankton</v>
      </c>
      <c r="AR963" s="22">
        <v>1</v>
      </c>
      <c r="AS963" s="22">
        <v>1</v>
      </c>
      <c r="AT963" s="22">
        <v>0</v>
      </c>
      <c r="AU963" s="22">
        <v>0</v>
      </c>
      <c r="AV963" s="22">
        <v>0</v>
      </c>
      <c r="AW963" s="22">
        <v>0</v>
      </c>
      <c r="AX963" s="22">
        <v>0</v>
      </c>
      <c r="AY963" s="22">
        <v>1</v>
      </c>
    </row>
    <row r="964" spans="1:57">
      <c r="A964" s="22" t="s">
        <v>2858</v>
      </c>
      <c r="B964" s="22" t="s">
        <v>663</v>
      </c>
      <c r="C964" s="22" t="s">
        <v>2223</v>
      </c>
      <c r="D964" s="22" t="s">
        <v>2224</v>
      </c>
      <c r="E964" s="23" t="s">
        <v>63</v>
      </c>
      <c r="F964" s="23" t="s">
        <v>2859</v>
      </c>
      <c r="G964" s="23" t="s">
        <v>2860</v>
      </c>
      <c r="H964" s="41" t="s">
        <v>2861</v>
      </c>
      <c r="I964" s="22" t="s">
        <v>2862</v>
      </c>
      <c r="J964" s="22" t="s">
        <v>2863</v>
      </c>
      <c r="N964" s="22" t="s">
        <v>2864</v>
      </c>
      <c r="O964" s="22" t="s">
        <v>2229</v>
      </c>
      <c r="P964" s="21">
        <v>80320</v>
      </c>
      <c r="Q964" s="22">
        <v>12</v>
      </c>
      <c r="R964" s="22">
        <v>8</v>
      </c>
      <c r="S964" s="22">
        <v>8</v>
      </c>
      <c r="T964" s="22" t="s">
        <v>159</v>
      </c>
      <c r="U964" s="22">
        <v>0.8</v>
      </c>
      <c r="V964" s="22">
        <v>0.8</v>
      </c>
      <c r="W964" s="24">
        <f t="shared" si="153"/>
        <v>1183.4765710946715</v>
      </c>
      <c r="X964" s="24">
        <f t="shared" si="154"/>
        <v>321.536</v>
      </c>
      <c r="Y964" s="22">
        <v>1</v>
      </c>
      <c r="Z964" s="24">
        <f t="shared" si="155"/>
        <v>1183.4765710946715</v>
      </c>
      <c r="AA964" s="24">
        <f t="shared" si="156"/>
        <v>321.536</v>
      </c>
      <c r="AJ964" s="21">
        <v>321.536</v>
      </c>
      <c r="AK964" s="21">
        <v>12</v>
      </c>
      <c r="AL964" s="22" t="s">
        <v>161</v>
      </c>
      <c r="AM964" s="22">
        <v>0.16</v>
      </c>
      <c r="AQ964" s="22" t="str">
        <f t="shared" si="157"/>
        <v>Nanophytoplankton</v>
      </c>
      <c r="AR964" s="22">
        <v>1</v>
      </c>
      <c r="AS964" s="22">
        <v>1</v>
      </c>
      <c r="AT964" s="22">
        <v>0</v>
      </c>
      <c r="AU964" s="22">
        <v>0</v>
      </c>
      <c r="AV964" s="22">
        <v>0</v>
      </c>
      <c r="AW964" s="22">
        <v>0</v>
      </c>
      <c r="AX964" s="22">
        <v>0</v>
      </c>
      <c r="AY964" s="22">
        <v>1</v>
      </c>
    </row>
    <row r="965" spans="1:57">
      <c r="A965" s="22" t="s">
        <v>2865</v>
      </c>
      <c r="B965" s="22" t="s">
        <v>663</v>
      </c>
      <c r="C965" s="22" t="s">
        <v>2223</v>
      </c>
      <c r="D965" s="22" t="s">
        <v>2224</v>
      </c>
      <c r="E965" s="23" t="s">
        <v>63</v>
      </c>
      <c r="F965" s="23" t="s">
        <v>2859</v>
      </c>
      <c r="G965" s="23" t="s">
        <v>2860</v>
      </c>
      <c r="H965" s="41" t="s">
        <v>2861</v>
      </c>
      <c r="I965" s="22" t="s">
        <v>2862</v>
      </c>
      <c r="J965" s="22" t="s">
        <v>2866</v>
      </c>
      <c r="N965" s="22" t="s">
        <v>2867</v>
      </c>
      <c r="O965" s="22" t="s">
        <v>2229</v>
      </c>
      <c r="P965" s="21">
        <v>80319</v>
      </c>
      <c r="Q965" s="22">
        <v>5</v>
      </c>
      <c r="R965" s="22">
        <v>5</v>
      </c>
      <c r="S965" s="22">
        <v>5</v>
      </c>
      <c r="T965" s="22" t="s">
        <v>159</v>
      </c>
      <c r="U965" s="22">
        <v>0.9</v>
      </c>
      <c r="V965" s="22">
        <v>0.9</v>
      </c>
      <c r="W965" s="24">
        <f t="shared" si="153"/>
        <v>283.49776461079017</v>
      </c>
      <c r="X965" s="24">
        <f t="shared" si="154"/>
        <v>58.875000000000007</v>
      </c>
      <c r="Y965" s="22">
        <v>1</v>
      </c>
      <c r="Z965" s="24">
        <f t="shared" si="155"/>
        <v>283.49776461079017</v>
      </c>
      <c r="AA965" s="24">
        <f t="shared" si="156"/>
        <v>58.875000000000007</v>
      </c>
      <c r="AJ965" s="21">
        <v>58.875000000000007</v>
      </c>
      <c r="AK965" s="21">
        <v>5</v>
      </c>
      <c r="AL965" s="22" t="s">
        <v>2868</v>
      </c>
      <c r="AM965" s="22">
        <v>0.16</v>
      </c>
      <c r="AP965" s="22" t="s">
        <v>673</v>
      </c>
      <c r="AQ965" s="22" t="str">
        <f t="shared" si="157"/>
        <v>Nanophytoplankton</v>
      </c>
      <c r="AR965" s="22">
        <v>1</v>
      </c>
      <c r="AS965" s="22">
        <v>1</v>
      </c>
      <c r="AT965" s="22">
        <v>0</v>
      </c>
      <c r="AU965" s="22">
        <v>0</v>
      </c>
      <c r="AV965" s="22">
        <v>0</v>
      </c>
      <c r="AW965" s="22">
        <v>0</v>
      </c>
      <c r="AX965" s="22">
        <v>0</v>
      </c>
      <c r="AY965" s="22">
        <v>1</v>
      </c>
    </row>
    <row r="966" spans="1:57">
      <c r="A966" s="22" t="s">
        <v>2869</v>
      </c>
      <c r="B966" s="22" t="s">
        <v>663</v>
      </c>
      <c r="C966" s="22" t="s">
        <v>2223</v>
      </c>
      <c r="D966" s="22" t="s">
        <v>2224</v>
      </c>
      <c r="E966" s="23" t="s">
        <v>63</v>
      </c>
      <c r="F966" s="23" t="s">
        <v>2225</v>
      </c>
      <c r="G966" s="23" t="s">
        <v>2284</v>
      </c>
      <c r="H966" s="41" t="s">
        <v>2787</v>
      </c>
      <c r="I966" s="22" t="s">
        <v>2870</v>
      </c>
      <c r="J966" s="22" t="s">
        <v>2871</v>
      </c>
      <c r="N966" s="22" t="s">
        <v>2872</v>
      </c>
      <c r="O966" s="22" t="s">
        <v>2229</v>
      </c>
      <c r="P966" s="21">
        <v>80321</v>
      </c>
      <c r="Q966" s="22">
        <v>10</v>
      </c>
      <c r="R966" s="22">
        <v>9.5</v>
      </c>
      <c r="S966" s="22">
        <v>9.5</v>
      </c>
      <c r="T966" s="22" t="s">
        <v>159</v>
      </c>
      <c r="U966" s="22">
        <v>1</v>
      </c>
      <c r="V966" s="22">
        <v>1</v>
      </c>
      <c r="W966" s="24">
        <f t="shared" si="153"/>
        <v>940.56778262184775</v>
      </c>
      <c r="X966" s="24">
        <f t="shared" si="154"/>
        <v>472.30833333333334</v>
      </c>
      <c r="Y966" s="22">
        <v>1</v>
      </c>
      <c r="Z966" s="24">
        <f t="shared" si="155"/>
        <v>940.56778262184775</v>
      </c>
      <c r="AA966" s="24">
        <f t="shared" si="156"/>
        <v>472.30833333333334</v>
      </c>
      <c r="AJ966" s="21">
        <v>472.30833333333334</v>
      </c>
      <c r="AK966" s="21">
        <v>10</v>
      </c>
      <c r="AL966" s="22" t="s">
        <v>161</v>
      </c>
      <c r="AM966" s="22">
        <v>0.16</v>
      </c>
      <c r="AQ966" s="22" t="str">
        <f t="shared" si="157"/>
        <v>Nanophytoplankton</v>
      </c>
      <c r="AR966" s="22">
        <v>1</v>
      </c>
      <c r="AS966" s="22">
        <v>1</v>
      </c>
      <c r="AT966" s="22">
        <v>0</v>
      </c>
      <c r="AU966" s="22">
        <v>0</v>
      </c>
      <c r="AV966" s="22">
        <v>0</v>
      </c>
      <c r="AW966" s="22">
        <v>0</v>
      </c>
      <c r="AX966" s="22">
        <v>0</v>
      </c>
      <c r="AY966" s="22">
        <v>1</v>
      </c>
    </row>
    <row r="967" spans="1:57">
      <c r="A967" s="21" t="s">
        <v>2873</v>
      </c>
      <c r="B967" s="22" t="s">
        <v>663</v>
      </c>
      <c r="C967" s="22" t="s">
        <v>2223</v>
      </c>
      <c r="D967" s="22" t="s">
        <v>2224</v>
      </c>
      <c r="E967" s="23" t="s">
        <v>63</v>
      </c>
      <c r="F967" s="23" t="s">
        <v>2225</v>
      </c>
      <c r="G967" s="23" t="s">
        <v>2226</v>
      </c>
      <c r="H967" s="22" t="s">
        <v>2279</v>
      </c>
      <c r="I967" s="22" t="s">
        <v>2874</v>
      </c>
      <c r="J967" s="22" t="s">
        <v>2875</v>
      </c>
      <c r="N967" s="22" t="s">
        <v>2876</v>
      </c>
      <c r="O967" s="22" t="s">
        <v>2229</v>
      </c>
      <c r="P967" s="21">
        <v>89101</v>
      </c>
      <c r="Q967" s="21">
        <v>8</v>
      </c>
      <c r="R967" s="21">
        <v>4</v>
      </c>
      <c r="S967" s="21">
        <v>4</v>
      </c>
      <c r="T967" s="21" t="s">
        <v>159</v>
      </c>
      <c r="U967" s="21">
        <v>1</v>
      </c>
      <c r="V967" s="21">
        <v>1</v>
      </c>
      <c r="W967" s="24">
        <f t="shared" si="153"/>
        <v>318.9006424569489</v>
      </c>
      <c r="X967" s="24">
        <f t="shared" si="154"/>
        <v>66.986666666666665</v>
      </c>
      <c r="Y967" s="21">
        <v>4</v>
      </c>
      <c r="Z967" s="24">
        <f t="shared" si="155"/>
        <v>1275.6025698277956</v>
      </c>
      <c r="AA967" s="24">
        <f t="shared" si="156"/>
        <v>267.94666666666666</v>
      </c>
      <c r="AB967" s="21">
        <v>18</v>
      </c>
      <c r="AC967" s="21">
        <v>18</v>
      </c>
      <c r="AD967" s="21">
        <v>4</v>
      </c>
      <c r="AE967" s="21" t="s">
        <v>330</v>
      </c>
      <c r="AF967" s="21">
        <v>0.2</v>
      </c>
      <c r="AG967" s="21">
        <v>1</v>
      </c>
      <c r="AH967" s="25">
        <f>(AB967*AC967*2+AB967*AD967*2+AC967*AD967*2)/AG967</f>
        <v>936</v>
      </c>
      <c r="AI967" s="25">
        <f>AB967*AC967*AD967*AF967</f>
        <v>259.2</v>
      </c>
      <c r="AJ967" s="21">
        <v>267.94666666666666</v>
      </c>
      <c r="AK967" s="21">
        <v>18</v>
      </c>
      <c r="AL967" s="22" t="s">
        <v>161</v>
      </c>
      <c r="AM967" s="22">
        <v>0.16</v>
      </c>
      <c r="AQ967" s="22" t="str">
        <f t="shared" si="157"/>
        <v>Nanophytoplankton</v>
      </c>
      <c r="AR967" s="22">
        <v>0</v>
      </c>
      <c r="AS967" s="22">
        <v>0</v>
      </c>
      <c r="AT967" s="22">
        <v>0</v>
      </c>
      <c r="AU967" s="22">
        <v>1</v>
      </c>
      <c r="AV967" s="22">
        <v>0</v>
      </c>
      <c r="AW967" s="22">
        <v>0</v>
      </c>
      <c r="AX967" s="22">
        <v>0</v>
      </c>
      <c r="AY967" s="22">
        <v>1</v>
      </c>
    </row>
    <row r="968" spans="1:57">
      <c r="A968" s="22" t="s">
        <v>2877</v>
      </c>
      <c r="B968" s="22" t="s">
        <v>663</v>
      </c>
      <c r="C968" s="22" t="s">
        <v>2223</v>
      </c>
      <c r="D968" s="22" t="s">
        <v>2224</v>
      </c>
      <c r="E968" s="23" t="s">
        <v>63</v>
      </c>
      <c r="F968" s="23" t="s">
        <v>2225</v>
      </c>
      <c r="G968" s="23" t="s">
        <v>2226</v>
      </c>
      <c r="H968" s="23" t="s">
        <v>2239</v>
      </c>
      <c r="I968" s="22" t="s">
        <v>2878</v>
      </c>
      <c r="J968" s="22" t="s">
        <v>2879</v>
      </c>
      <c r="N968" s="22" t="s">
        <v>2880</v>
      </c>
      <c r="O968" s="22" t="s">
        <v>2229</v>
      </c>
      <c r="P968" s="21">
        <v>81621</v>
      </c>
      <c r="Q968" s="22">
        <v>21</v>
      </c>
      <c r="R968" s="22">
        <v>2.5</v>
      </c>
      <c r="S968" s="22">
        <v>2.5</v>
      </c>
      <c r="T968" s="21" t="s">
        <v>159</v>
      </c>
      <c r="U968" s="21">
        <v>1</v>
      </c>
      <c r="V968" s="21">
        <v>1</v>
      </c>
      <c r="W968" s="24">
        <f t="shared" si="153"/>
        <v>514.23805812637033</v>
      </c>
      <c r="X968" s="24">
        <f t="shared" si="154"/>
        <v>68.6875</v>
      </c>
      <c r="Y968" s="21">
        <v>4</v>
      </c>
      <c r="Z968" s="24">
        <f t="shared" si="155"/>
        <v>2056.9522325054813</v>
      </c>
      <c r="AA968" s="24">
        <f t="shared" si="156"/>
        <v>274.75</v>
      </c>
      <c r="AB968" s="22">
        <v>42</v>
      </c>
      <c r="AC968" s="22">
        <v>30</v>
      </c>
      <c r="AD968" s="22">
        <v>30</v>
      </c>
      <c r="AE968" s="22" t="s">
        <v>159</v>
      </c>
      <c r="AF968" s="21">
        <v>0.2</v>
      </c>
      <c r="AG968" s="21">
        <v>1</v>
      </c>
      <c r="AH968" s="24">
        <f>(4*3.14*(((AB968^1.6*AC968^1.6+AB968^1.6*AD968^1.6+AC968^1.6+AD968^1.6)/3)^(1/1.6)))*(1/AG968)</f>
        <v>12302.36208054784</v>
      </c>
      <c r="AI968" s="24">
        <f>3.14/6*AB968*AC968*AD968*AF968</f>
        <v>3956.4</v>
      </c>
      <c r="AJ968" s="21">
        <v>274.75</v>
      </c>
      <c r="AK968" s="21">
        <v>21</v>
      </c>
      <c r="AL968" s="22" t="s">
        <v>161</v>
      </c>
      <c r="AM968" s="22">
        <v>0.16</v>
      </c>
      <c r="AQ968" s="22" t="str">
        <f t="shared" si="157"/>
        <v>Microphytoplankton</v>
      </c>
      <c r="AR968" s="22">
        <v>0</v>
      </c>
      <c r="AS968" s="22">
        <v>0</v>
      </c>
      <c r="AT968" s="22">
        <v>0</v>
      </c>
      <c r="AU968" s="22">
        <v>1</v>
      </c>
      <c r="AV968" s="22">
        <v>0</v>
      </c>
      <c r="AW968" s="22">
        <v>0</v>
      </c>
      <c r="AX968" s="22">
        <v>0</v>
      </c>
      <c r="AY968" s="22">
        <v>1</v>
      </c>
    </row>
    <row r="969" spans="1:57">
      <c r="A969" s="21" t="s">
        <v>2881</v>
      </c>
      <c r="B969" s="22" t="s">
        <v>663</v>
      </c>
      <c r="C969" s="22" t="s">
        <v>2223</v>
      </c>
      <c r="D969" s="22" t="s">
        <v>2224</v>
      </c>
      <c r="E969" s="23" t="s">
        <v>63</v>
      </c>
      <c r="F969" s="23" t="s">
        <v>2225</v>
      </c>
      <c r="G969" s="23" t="s">
        <v>2226</v>
      </c>
      <c r="H969" s="23" t="s">
        <v>2239</v>
      </c>
      <c r="I969" s="22" t="s">
        <v>2878</v>
      </c>
      <c r="J969" s="22" t="s">
        <v>408</v>
      </c>
      <c r="N969" s="22" t="s">
        <v>2882</v>
      </c>
      <c r="O969" s="22" t="s">
        <v>2229</v>
      </c>
      <c r="P969" s="21">
        <v>81620</v>
      </c>
      <c r="Q969" s="21">
        <v>20</v>
      </c>
      <c r="R969" s="21">
        <v>3</v>
      </c>
      <c r="S969" s="21">
        <v>3</v>
      </c>
      <c r="T969" s="21" t="s">
        <v>159</v>
      </c>
      <c r="U969" s="21">
        <v>1</v>
      </c>
      <c r="V969" s="21">
        <v>1</v>
      </c>
      <c r="W969" s="24">
        <f t="shared" si="153"/>
        <v>587.92743277266425</v>
      </c>
      <c r="X969" s="24">
        <f t="shared" si="154"/>
        <v>94.199999999999989</v>
      </c>
      <c r="Y969" s="21">
        <v>4</v>
      </c>
      <c r="Z969" s="24">
        <f t="shared" si="155"/>
        <v>2351.709731090657</v>
      </c>
      <c r="AA969" s="24">
        <f t="shared" si="156"/>
        <v>376.79999999999995</v>
      </c>
      <c r="AB969" s="21">
        <v>40</v>
      </c>
      <c r="AC969" s="21">
        <v>30</v>
      </c>
      <c r="AD969" s="21">
        <v>30</v>
      </c>
      <c r="AE969" s="22" t="s">
        <v>159</v>
      </c>
      <c r="AF969" s="21">
        <v>0.2</v>
      </c>
      <c r="AG969" s="21">
        <v>1</v>
      </c>
      <c r="AH969" s="24">
        <f>(4*3.14*(((AB969^1.6*AC969^1.6+AB969^1.6*AD969^1.6+AC969^1.6+AD969^1.6)/3)^(1/1.6)))*(1/AG969)</f>
        <v>11718.034589072233</v>
      </c>
      <c r="AI969" s="24">
        <f>3.14/6*AB969*AC969*AD969*AF969</f>
        <v>3768</v>
      </c>
      <c r="AJ969" s="21">
        <v>376.8</v>
      </c>
      <c r="AK969" s="21">
        <v>35</v>
      </c>
      <c r="AL969" s="22" t="s">
        <v>161</v>
      </c>
      <c r="AM969" s="22">
        <v>0.16</v>
      </c>
      <c r="AQ969" s="22" t="str">
        <f t="shared" si="157"/>
        <v>Microphytoplankton</v>
      </c>
      <c r="AR969" s="22">
        <v>0</v>
      </c>
      <c r="AS969" s="22">
        <v>0</v>
      </c>
      <c r="AT969" s="22">
        <v>0</v>
      </c>
      <c r="AU969" s="22">
        <v>1</v>
      </c>
      <c r="AV969" s="22">
        <v>0</v>
      </c>
      <c r="AW969" s="22">
        <v>0</v>
      </c>
      <c r="AX969" s="22">
        <v>0</v>
      </c>
      <c r="AY969" s="22">
        <v>1</v>
      </c>
      <c r="AZ969" s="22">
        <v>0</v>
      </c>
      <c r="BA969" s="22">
        <v>0</v>
      </c>
      <c r="BB969" s="22">
        <v>0</v>
      </c>
      <c r="BC969" s="22">
        <v>1</v>
      </c>
      <c r="BD969" s="22">
        <v>8</v>
      </c>
      <c r="BE969" s="22">
        <v>1</v>
      </c>
    </row>
    <row r="970" spans="1:57">
      <c r="A970" s="22" t="s">
        <v>2883</v>
      </c>
      <c r="B970" s="22" t="s">
        <v>663</v>
      </c>
      <c r="C970" s="22" t="s">
        <v>2223</v>
      </c>
      <c r="D970" s="22" t="s">
        <v>2224</v>
      </c>
      <c r="E970" s="23" t="s">
        <v>63</v>
      </c>
      <c r="F970" s="23" t="s">
        <v>2225</v>
      </c>
      <c r="G970" s="23" t="s">
        <v>2226</v>
      </c>
      <c r="H970" s="23" t="s">
        <v>2239</v>
      </c>
      <c r="I970" s="22" t="s">
        <v>2878</v>
      </c>
      <c r="J970" s="22" t="s">
        <v>2884</v>
      </c>
      <c r="N970" s="22" t="s">
        <v>2885</v>
      </c>
      <c r="O970" s="22" t="s">
        <v>2229</v>
      </c>
      <c r="P970" s="21">
        <v>81622</v>
      </c>
      <c r="Q970" s="22">
        <v>23.5</v>
      </c>
      <c r="R970" s="22">
        <v>7.5</v>
      </c>
      <c r="S970" s="22">
        <v>7.5</v>
      </c>
      <c r="T970" s="21" t="s">
        <v>159</v>
      </c>
      <c r="U970" s="21">
        <v>1</v>
      </c>
      <c r="V970" s="21">
        <v>1</v>
      </c>
      <c r="W970" s="24">
        <f t="shared" si="153"/>
        <v>1725.0187251723823</v>
      </c>
      <c r="X970" s="24">
        <f t="shared" si="154"/>
        <v>691.78125</v>
      </c>
      <c r="Y970" s="21">
        <v>4</v>
      </c>
      <c r="Z970" s="24">
        <f t="shared" si="155"/>
        <v>6900.0749006895294</v>
      </c>
      <c r="AA970" s="24">
        <f t="shared" si="156"/>
        <v>2767.125</v>
      </c>
      <c r="AB970" s="22">
        <v>50</v>
      </c>
      <c r="AC970" s="22">
        <v>35</v>
      </c>
      <c r="AD970" s="22">
        <v>35</v>
      </c>
      <c r="AE970" s="22" t="s">
        <v>159</v>
      </c>
      <c r="AF970" s="21">
        <v>0.2</v>
      </c>
      <c r="AG970" s="21">
        <v>1</v>
      </c>
      <c r="AH970" s="24">
        <f>(4*3.14*(((AB970^1.6*AC970^1.6+AB970^1.6*AD970^1.6+AC970^1.6+AD970^1.6)/3)^(1/1.6)))*(1/AG970)</f>
        <v>17080.057506155885</v>
      </c>
      <c r="AI970" s="24">
        <f>3.14/6*AB970*AC970*AD970*AF970</f>
        <v>6410.833333333333</v>
      </c>
      <c r="AJ970" s="21">
        <v>2767.125</v>
      </c>
      <c r="AK970" s="21">
        <v>23.5</v>
      </c>
      <c r="AL970" s="22" t="s">
        <v>161</v>
      </c>
      <c r="AM970" s="22">
        <v>0.16</v>
      </c>
      <c r="AQ970" s="22" t="str">
        <f t="shared" si="157"/>
        <v>Microphytoplankton</v>
      </c>
      <c r="AR970" s="22">
        <v>0</v>
      </c>
      <c r="AS970" s="22">
        <v>0</v>
      </c>
      <c r="AT970" s="22">
        <v>0</v>
      </c>
      <c r="AU970" s="22">
        <v>1</v>
      </c>
      <c r="AV970" s="22">
        <v>0</v>
      </c>
      <c r="AW970" s="22">
        <v>0</v>
      </c>
      <c r="AX970" s="22">
        <v>0</v>
      </c>
      <c r="AY970" s="22">
        <v>1</v>
      </c>
    </row>
    <row r="971" spans="1:57">
      <c r="A971" s="21" t="s">
        <v>2886</v>
      </c>
      <c r="B971" s="22" t="s">
        <v>663</v>
      </c>
      <c r="C971" s="22" t="s">
        <v>2223</v>
      </c>
      <c r="D971" s="22" t="s">
        <v>2224</v>
      </c>
      <c r="E971" s="23" t="s">
        <v>63</v>
      </c>
      <c r="F971" s="23" t="s">
        <v>2225</v>
      </c>
      <c r="G971" s="23" t="s">
        <v>2226</v>
      </c>
      <c r="H971" s="22" t="s">
        <v>2457</v>
      </c>
      <c r="I971" s="22" t="s">
        <v>2887</v>
      </c>
      <c r="J971" s="22" t="s">
        <v>2888</v>
      </c>
      <c r="N971" s="22" t="s">
        <v>2889</v>
      </c>
      <c r="O971" s="22" t="s">
        <v>2229</v>
      </c>
      <c r="P971" s="21">
        <v>85310</v>
      </c>
      <c r="Q971" s="21">
        <v>18</v>
      </c>
      <c r="R971" s="21">
        <v>8</v>
      </c>
      <c r="S971" s="21">
        <v>8</v>
      </c>
      <c r="T971" s="21" t="s">
        <v>159</v>
      </c>
      <c r="U971" s="21">
        <v>1</v>
      </c>
      <c r="V971" s="21">
        <v>1</v>
      </c>
      <c r="W971" s="24">
        <f t="shared" si="153"/>
        <v>1412.3562268115691</v>
      </c>
      <c r="X971" s="24">
        <f t="shared" si="154"/>
        <v>602.88</v>
      </c>
      <c r="Y971" s="21">
        <v>8</v>
      </c>
      <c r="Z971" s="24">
        <f t="shared" si="155"/>
        <v>11298.849814492552</v>
      </c>
      <c r="AA971" s="24">
        <f t="shared" si="156"/>
        <v>4823.04</v>
      </c>
      <c r="AB971" s="21">
        <v>36</v>
      </c>
      <c r="AC971" s="21">
        <v>50</v>
      </c>
      <c r="AD971" s="21">
        <v>8</v>
      </c>
      <c r="AE971" s="21" t="s">
        <v>330</v>
      </c>
      <c r="AF971" s="21">
        <v>0.5</v>
      </c>
      <c r="AG971" s="21">
        <v>0.5</v>
      </c>
      <c r="AH971" s="25">
        <f>(AB971*AC971*2+AB971*AD971*2+AC971*AD971*2)/AG971</f>
        <v>9952</v>
      </c>
      <c r="AI971" s="25">
        <f>AB971*AC971*AD971*AF971</f>
        <v>7200</v>
      </c>
      <c r="AJ971" s="21">
        <v>4825.5</v>
      </c>
      <c r="AK971" s="21">
        <v>60</v>
      </c>
      <c r="AL971" s="22" t="s">
        <v>161</v>
      </c>
      <c r="AM971" s="22">
        <v>0.16</v>
      </c>
      <c r="AQ971" s="22" t="str">
        <f t="shared" si="157"/>
        <v>Microphytoplankton</v>
      </c>
      <c r="AR971" s="22">
        <v>0</v>
      </c>
      <c r="AS971" s="22">
        <v>0</v>
      </c>
      <c r="AT971" s="22">
        <v>0</v>
      </c>
      <c r="AU971" s="22">
        <v>1</v>
      </c>
      <c r="AV971" s="22">
        <v>0</v>
      </c>
      <c r="AW971" s="22">
        <v>0</v>
      </c>
      <c r="AX971" s="22">
        <v>0</v>
      </c>
      <c r="AY971" s="22">
        <v>1</v>
      </c>
    </row>
    <row r="972" spans="1:57">
      <c r="A972" s="21" t="s">
        <v>2890</v>
      </c>
      <c r="B972" s="22" t="s">
        <v>663</v>
      </c>
      <c r="C972" s="22" t="s">
        <v>2223</v>
      </c>
      <c r="D972" s="22" t="s">
        <v>2224</v>
      </c>
      <c r="E972" s="23" t="s">
        <v>63</v>
      </c>
      <c r="F972" s="23" t="s">
        <v>2225</v>
      </c>
      <c r="G972" s="23" t="s">
        <v>2226</v>
      </c>
      <c r="H972" s="38" t="s">
        <v>2303</v>
      </c>
      <c r="I972" s="22" t="s">
        <v>2891</v>
      </c>
      <c r="J972" s="22" t="s">
        <v>2892</v>
      </c>
      <c r="N972" s="22" t="s">
        <v>524</v>
      </c>
      <c r="O972" s="22" t="s">
        <v>2229</v>
      </c>
      <c r="P972" s="21">
        <v>85311</v>
      </c>
      <c r="Q972" s="21">
        <v>6</v>
      </c>
      <c r="R972" s="21">
        <v>6</v>
      </c>
      <c r="S972" s="21">
        <v>6</v>
      </c>
      <c r="T972" s="21" t="s">
        <v>246</v>
      </c>
      <c r="U972" s="21">
        <v>1</v>
      </c>
      <c r="V972" s="21">
        <v>1</v>
      </c>
      <c r="W972" s="25">
        <f>4*3.14*(R972/2)*(Q972/2)/V972</f>
        <v>113.03999999999999</v>
      </c>
      <c r="X972" s="25">
        <f>(3.14/6*(Q972*S972*R972))*U972</f>
        <v>113.03999999999999</v>
      </c>
      <c r="Y972" s="21">
        <v>4</v>
      </c>
      <c r="Z972" s="24">
        <f t="shared" si="155"/>
        <v>452.15999999999997</v>
      </c>
      <c r="AA972" s="24">
        <f t="shared" si="156"/>
        <v>452.15999999999997</v>
      </c>
      <c r="AB972" s="21">
        <v>30</v>
      </c>
      <c r="AC972" s="21">
        <v>30</v>
      </c>
      <c r="AD972" s="21">
        <v>30</v>
      </c>
      <c r="AE972" s="21" t="s">
        <v>246</v>
      </c>
      <c r="AF972" s="21">
        <v>0.2</v>
      </c>
      <c r="AG972" s="21">
        <v>1</v>
      </c>
      <c r="AH972" s="25">
        <f>4*3.14*(AC972/2)*(AB972/2)/AG972</f>
        <v>2826</v>
      </c>
      <c r="AI972" s="25">
        <f>(3.14/6*(AD972*AB972*AC972))*AF972</f>
        <v>2826</v>
      </c>
      <c r="AJ972" s="21">
        <v>452.15999999999997</v>
      </c>
      <c r="AK972" s="21">
        <v>20</v>
      </c>
      <c r="AL972" s="22" t="s">
        <v>161</v>
      </c>
      <c r="AM972" s="22">
        <v>0.16</v>
      </c>
      <c r="AP972" s="22" t="s">
        <v>230</v>
      </c>
      <c r="AQ972" s="22" t="str">
        <f t="shared" si="157"/>
        <v>Microphytoplankton</v>
      </c>
      <c r="AR972" s="22">
        <v>0</v>
      </c>
      <c r="AS972" s="22">
        <v>0</v>
      </c>
      <c r="AT972" s="22">
        <v>0</v>
      </c>
      <c r="AU972" s="22">
        <v>1</v>
      </c>
      <c r="AV972" s="22">
        <v>0</v>
      </c>
      <c r="AW972" s="22">
        <v>0</v>
      </c>
      <c r="AX972" s="22">
        <v>0</v>
      </c>
      <c r="AY972" s="22">
        <v>1</v>
      </c>
    </row>
    <row r="973" spans="1:57">
      <c r="A973" s="22" t="s">
        <v>2893</v>
      </c>
      <c r="B973" s="22" t="s">
        <v>663</v>
      </c>
      <c r="C973" s="22" t="s">
        <v>2223</v>
      </c>
      <c r="D973" s="22" t="s">
        <v>2224</v>
      </c>
      <c r="E973" s="23" t="s">
        <v>63</v>
      </c>
      <c r="F973" s="23" t="s">
        <v>2225</v>
      </c>
      <c r="G973" s="23" t="s">
        <v>2226</v>
      </c>
      <c r="H973" s="22" t="s">
        <v>2457</v>
      </c>
      <c r="I973" s="22" t="s">
        <v>53</v>
      </c>
      <c r="J973" s="22" t="s">
        <v>2894</v>
      </c>
      <c r="N973" s="22" t="s">
        <v>2809</v>
      </c>
      <c r="O973" s="22" t="s">
        <v>2229</v>
      </c>
      <c r="P973" s="21">
        <v>82551</v>
      </c>
      <c r="Q973" s="22">
        <v>12</v>
      </c>
      <c r="R973" s="22">
        <v>4</v>
      </c>
      <c r="S973" s="22">
        <v>4</v>
      </c>
      <c r="T973" s="21" t="s">
        <v>159</v>
      </c>
      <c r="U973" s="21">
        <v>1</v>
      </c>
      <c r="V973" s="21">
        <v>1</v>
      </c>
      <c r="W973" s="24">
        <f t="shared" ref="W973:W1036" si="158">(4*3.14*(((Q973^1.6*R973^1.6+Q973^1.6*S973^1.6+R973^1.6+S973^1.6)/3)^(1/1.6)))*(1/V973)</f>
        <v>473.39062843786877</v>
      </c>
      <c r="X973" s="24">
        <f t="shared" ref="X973:X1032" si="159">3.14/6*Q973*R973*S973*U973</f>
        <v>100.47999999999999</v>
      </c>
      <c r="Y973" s="22">
        <v>4</v>
      </c>
      <c r="Z973" s="24">
        <f t="shared" si="155"/>
        <v>1893.5625137514751</v>
      </c>
      <c r="AA973" s="24">
        <f t="shared" si="156"/>
        <v>401.91999999999996</v>
      </c>
      <c r="AB973" s="22">
        <v>12</v>
      </c>
      <c r="AC973" s="22">
        <f t="shared" ref="AC973:AC979" si="160">R973*Y973</f>
        <v>16</v>
      </c>
      <c r="AD973" s="22">
        <v>4</v>
      </c>
      <c r="AE973" s="22" t="s">
        <v>330</v>
      </c>
      <c r="AF973" s="22">
        <v>0.9</v>
      </c>
      <c r="AG973" s="22">
        <v>0.9</v>
      </c>
      <c r="AH973" s="25">
        <f t="shared" ref="AH973:AH1005" si="161">(AB973*AC973*2+AB973*AD973*2+AC973*AD973*2)/AG973</f>
        <v>675.55555555555554</v>
      </c>
      <c r="AI973" s="25">
        <f t="shared" ref="AI973:AI1005" si="162">AB973*AC973*AD973*AF973</f>
        <v>691.2</v>
      </c>
      <c r="AJ973" s="21">
        <v>401.91999999999996</v>
      </c>
      <c r="AK973" s="21">
        <v>16</v>
      </c>
      <c r="AL973" s="22" t="s">
        <v>161</v>
      </c>
      <c r="AM973" s="22">
        <v>0.16</v>
      </c>
      <c r="AN973" s="22" t="s">
        <v>1364</v>
      </c>
      <c r="AO973" s="22" t="s">
        <v>1364</v>
      </c>
      <c r="AP973" s="22" t="s">
        <v>162</v>
      </c>
      <c r="AQ973" s="22" t="str">
        <f t="shared" si="157"/>
        <v>Nanophytoplankton</v>
      </c>
      <c r="AR973" s="22">
        <v>0</v>
      </c>
      <c r="AS973" s="22">
        <v>0</v>
      </c>
      <c r="AT973" s="22">
        <v>0</v>
      </c>
      <c r="AU973" s="22">
        <v>1</v>
      </c>
      <c r="AV973" s="22">
        <v>0</v>
      </c>
      <c r="AW973" s="22">
        <v>0</v>
      </c>
      <c r="AX973" s="22">
        <v>0</v>
      </c>
      <c r="AY973" s="22">
        <v>1</v>
      </c>
    </row>
    <row r="974" spans="1:57">
      <c r="A974" s="21" t="s">
        <v>2895</v>
      </c>
      <c r="B974" s="22" t="s">
        <v>663</v>
      </c>
      <c r="C974" s="22" t="s">
        <v>2223</v>
      </c>
      <c r="D974" s="22" t="s">
        <v>2224</v>
      </c>
      <c r="E974" s="23" t="s">
        <v>63</v>
      </c>
      <c r="F974" s="23" t="s">
        <v>2225</v>
      </c>
      <c r="G974" s="23" t="s">
        <v>2226</v>
      </c>
      <c r="H974" s="22" t="s">
        <v>2457</v>
      </c>
      <c r="I974" s="22" t="s">
        <v>53</v>
      </c>
      <c r="J974" s="21" t="s">
        <v>2896</v>
      </c>
      <c r="K974" s="21"/>
      <c r="L974" s="21"/>
      <c r="N974" s="22" t="s">
        <v>2653</v>
      </c>
      <c r="O974" s="22" t="s">
        <v>2229</v>
      </c>
      <c r="P974" s="21">
        <v>82550</v>
      </c>
      <c r="Q974" s="21">
        <v>14</v>
      </c>
      <c r="R974" s="21">
        <v>5</v>
      </c>
      <c r="S974" s="21">
        <v>5</v>
      </c>
      <c r="T974" s="21" t="s">
        <v>159</v>
      </c>
      <c r="U974" s="21">
        <v>1</v>
      </c>
      <c r="V974" s="21">
        <v>1</v>
      </c>
      <c r="W974" s="24">
        <f t="shared" si="158"/>
        <v>688.62301324089731</v>
      </c>
      <c r="X974" s="24">
        <f t="shared" si="159"/>
        <v>183.16666666666666</v>
      </c>
      <c r="Y974" s="21">
        <v>4</v>
      </c>
      <c r="Z974" s="24">
        <f t="shared" si="155"/>
        <v>2754.4920529635892</v>
      </c>
      <c r="AA974" s="24">
        <f t="shared" si="156"/>
        <v>732.66666666666663</v>
      </c>
      <c r="AB974" s="21">
        <v>14</v>
      </c>
      <c r="AC974" s="22">
        <f t="shared" si="160"/>
        <v>20</v>
      </c>
      <c r="AD974" s="21">
        <v>5</v>
      </c>
      <c r="AE974" s="22" t="s">
        <v>330</v>
      </c>
      <c r="AF974" s="22">
        <v>0.7</v>
      </c>
      <c r="AG974" s="22">
        <v>0.7</v>
      </c>
      <c r="AH974" s="25">
        <f t="shared" si="161"/>
        <v>1285.7142857142858</v>
      </c>
      <c r="AI974" s="25">
        <f t="shared" si="162"/>
        <v>979.99999999999989</v>
      </c>
      <c r="AJ974" s="21">
        <v>1099.5999999999999</v>
      </c>
      <c r="AK974" s="21">
        <v>20</v>
      </c>
      <c r="AL974" s="22" t="s">
        <v>161</v>
      </c>
      <c r="AM974" s="22">
        <v>0.16</v>
      </c>
      <c r="AN974" s="22" t="s">
        <v>1364</v>
      </c>
      <c r="AO974" s="22" t="s">
        <v>1364</v>
      </c>
      <c r="AP974" s="22" t="s">
        <v>162</v>
      </c>
      <c r="AQ974" s="22" t="str">
        <f t="shared" si="157"/>
        <v>Microphytoplankton</v>
      </c>
      <c r="AR974" s="22">
        <v>0</v>
      </c>
      <c r="AS974" s="22">
        <v>0</v>
      </c>
      <c r="AT974" s="22">
        <v>0</v>
      </c>
      <c r="AU974" s="22">
        <v>1</v>
      </c>
      <c r="AV974" s="22">
        <v>0</v>
      </c>
      <c r="AW974" s="22">
        <v>0</v>
      </c>
      <c r="AX974" s="22">
        <v>0</v>
      </c>
      <c r="AY974" s="22">
        <v>1</v>
      </c>
      <c r="AZ974" s="22">
        <v>0</v>
      </c>
      <c r="BA974" s="22">
        <v>0</v>
      </c>
      <c r="BB974" s="22">
        <v>0</v>
      </c>
      <c r="BC974" s="22">
        <v>2</v>
      </c>
      <c r="BD974" s="22">
        <v>6</v>
      </c>
      <c r="BE974" s="22">
        <v>2</v>
      </c>
    </row>
    <row r="975" spans="1:57">
      <c r="A975" s="21" t="s">
        <v>2897</v>
      </c>
      <c r="B975" s="22" t="s">
        <v>663</v>
      </c>
      <c r="C975" s="22" t="s">
        <v>2223</v>
      </c>
      <c r="D975" s="22" t="s">
        <v>2224</v>
      </c>
      <c r="E975" s="23" t="s">
        <v>63</v>
      </c>
      <c r="F975" s="23" t="s">
        <v>2225</v>
      </c>
      <c r="G975" s="23" t="s">
        <v>2226</v>
      </c>
      <c r="H975" s="22" t="s">
        <v>2457</v>
      </c>
      <c r="I975" s="22" t="s">
        <v>53</v>
      </c>
      <c r="J975" s="21" t="s">
        <v>2898</v>
      </c>
      <c r="K975" s="21"/>
      <c r="L975" s="21"/>
      <c r="N975" s="22" t="s">
        <v>2899</v>
      </c>
      <c r="O975" s="22" t="s">
        <v>2229</v>
      </c>
      <c r="P975" s="21">
        <v>82599</v>
      </c>
      <c r="Q975" s="22">
        <v>14</v>
      </c>
      <c r="R975" s="22">
        <v>6</v>
      </c>
      <c r="S975" s="22">
        <v>6</v>
      </c>
      <c r="T975" s="21" t="s">
        <v>159</v>
      </c>
      <c r="U975" s="21">
        <v>1</v>
      </c>
      <c r="V975" s="21">
        <v>1</v>
      </c>
      <c r="W975" s="24">
        <f t="shared" si="158"/>
        <v>826.34761588907691</v>
      </c>
      <c r="X975" s="24">
        <f t="shared" si="159"/>
        <v>263.76</v>
      </c>
      <c r="Y975" s="22">
        <v>4</v>
      </c>
      <c r="Z975" s="24">
        <f t="shared" si="155"/>
        <v>3305.3904635563076</v>
      </c>
      <c r="AA975" s="24">
        <f t="shared" si="156"/>
        <v>1055.04</v>
      </c>
      <c r="AB975" s="22">
        <v>14</v>
      </c>
      <c r="AC975" s="22">
        <f t="shared" si="160"/>
        <v>24</v>
      </c>
      <c r="AD975" s="22">
        <v>6</v>
      </c>
      <c r="AE975" s="22" t="s">
        <v>330</v>
      </c>
      <c r="AF975" s="22">
        <v>0.9</v>
      </c>
      <c r="AG975" s="22">
        <v>0.9</v>
      </c>
      <c r="AH975" s="25">
        <f t="shared" si="161"/>
        <v>1253.3333333333333</v>
      </c>
      <c r="AI975" s="25">
        <f t="shared" si="162"/>
        <v>1814.4</v>
      </c>
      <c r="AJ975" s="21">
        <v>1583.4</v>
      </c>
      <c r="AK975" s="21">
        <v>24</v>
      </c>
      <c r="AL975" s="22" t="s">
        <v>161</v>
      </c>
      <c r="AM975" s="22">
        <v>0.16</v>
      </c>
      <c r="AN975" s="22" t="s">
        <v>1364</v>
      </c>
      <c r="AO975" s="22" t="s">
        <v>1364</v>
      </c>
      <c r="AP975" s="22" t="s">
        <v>162</v>
      </c>
      <c r="AQ975" s="22" t="str">
        <f t="shared" si="157"/>
        <v>Microphytoplankton</v>
      </c>
      <c r="AR975" s="22">
        <v>0</v>
      </c>
      <c r="AS975" s="22">
        <v>0</v>
      </c>
      <c r="AT975" s="22">
        <v>0</v>
      </c>
      <c r="AU975" s="22">
        <v>1</v>
      </c>
      <c r="AV975" s="22">
        <v>0</v>
      </c>
      <c r="AW975" s="22">
        <v>0</v>
      </c>
      <c r="AX975" s="22">
        <v>0</v>
      </c>
      <c r="AY975" s="22">
        <v>1</v>
      </c>
      <c r="AZ975" s="22">
        <v>0</v>
      </c>
      <c r="BA975" s="22">
        <v>0</v>
      </c>
      <c r="BB975" s="22">
        <v>0</v>
      </c>
      <c r="BC975" s="22">
        <v>2</v>
      </c>
      <c r="BD975" s="22">
        <v>6</v>
      </c>
      <c r="BE975" s="22">
        <v>2</v>
      </c>
    </row>
    <row r="976" spans="1:57">
      <c r="A976" s="22" t="s">
        <v>2900</v>
      </c>
      <c r="B976" s="22" t="s">
        <v>663</v>
      </c>
      <c r="C976" s="22" t="s">
        <v>2223</v>
      </c>
      <c r="D976" s="22" t="s">
        <v>2224</v>
      </c>
      <c r="E976" s="23" t="s">
        <v>63</v>
      </c>
      <c r="F976" s="23" t="s">
        <v>2225</v>
      </c>
      <c r="G976" s="23" t="s">
        <v>2226</v>
      </c>
      <c r="H976" s="22" t="s">
        <v>2457</v>
      </c>
      <c r="I976" s="22" t="s">
        <v>53</v>
      </c>
      <c r="J976" s="22" t="s">
        <v>2901</v>
      </c>
      <c r="N976" s="22" t="s">
        <v>2902</v>
      </c>
      <c r="O976" s="22" t="s">
        <v>2229</v>
      </c>
      <c r="P976" s="21">
        <v>82552</v>
      </c>
      <c r="Q976" s="22">
        <v>16</v>
      </c>
      <c r="R976" s="22">
        <v>5</v>
      </c>
      <c r="S976" s="22">
        <v>5</v>
      </c>
      <c r="T976" s="21" t="s">
        <v>159</v>
      </c>
      <c r="U976" s="21">
        <v>1</v>
      </c>
      <c r="V976" s="21">
        <v>1</v>
      </c>
      <c r="W976" s="24">
        <f t="shared" si="158"/>
        <v>785.62971935531857</v>
      </c>
      <c r="X976" s="24">
        <f t="shared" si="159"/>
        <v>209.33333333333334</v>
      </c>
      <c r="Y976" s="22">
        <v>4</v>
      </c>
      <c r="Z976" s="24">
        <f t="shared" si="155"/>
        <v>3142.5188774212743</v>
      </c>
      <c r="AA976" s="24">
        <f t="shared" si="156"/>
        <v>837.33333333333337</v>
      </c>
      <c r="AB976" s="22">
        <v>16</v>
      </c>
      <c r="AC976" s="22">
        <f t="shared" si="160"/>
        <v>20</v>
      </c>
      <c r="AD976" s="22">
        <v>5</v>
      </c>
      <c r="AE976" s="22" t="s">
        <v>330</v>
      </c>
      <c r="AF976" s="22">
        <v>0.9</v>
      </c>
      <c r="AG976" s="22">
        <v>0.9</v>
      </c>
      <c r="AH976" s="25">
        <f t="shared" si="161"/>
        <v>1111.1111111111111</v>
      </c>
      <c r="AI976" s="25">
        <f t="shared" si="162"/>
        <v>1440</v>
      </c>
      <c r="AJ976" s="21">
        <v>837.33333333333326</v>
      </c>
      <c r="AK976" s="21">
        <v>20</v>
      </c>
      <c r="AL976" s="22" t="s">
        <v>161</v>
      </c>
      <c r="AM976" s="22">
        <v>0.16</v>
      </c>
      <c r="AN976" s="22" t="s">
        <v>1364</v>
      </c>
      <c r="AO976" s="22" t="s">
        <v>1364</v>
      </c>
      <c r="AP976" s="22" t="s">
        <v>162</v>
      </c>
      <c r="AQ976" s="22" t="str">
        <f t="shared" si="157"/>
        <v>Microphytoplankton</v>
      </c>
      <c r="AR976" s="22">
        <v>0</v>
      </c>
      <c r="AS976" s="22">
        <v>0</v>
      </c>
      <c r="AT976" s="22">
        <v>0</v>
      </c>
      <c r="AU976" s="22">
        <v>1</v>
      </c>
      <c r="AV976" s="22">
        <v>0</v>
      </c>
      <c r="AW976" s="22">
        <v>0</v>
      </c>
      <c r="AX976" s="22">
        <v>0</v>
      </c>
      <c r="AY976" s="22">
        <v>1</v>
      </c>
    </row>
    <row r="977" spans="1:57">
      <c r="A977" s="21" t="s">
        <v>2903</v>
      </c>
      <c r="B977" s="22" t="s">
        <v>663</v>
      </c>
      <c r="C977" s="22" t="s">
        <v>2223</v>
      </c>
      <c r="D977" s="22" t="s">
        <v>2224</v>
      </c>
      <c r="E977" s="23" t="s">
        <v>63</v>
      </c>
      <c r="F977" s="23" t="s">
        <v>2225</v>
      </c>
      <c r="G977" s="23" t="s">
        <v>2226</v>
      </c>
      <c r="H977" s="22" t="s">
        <v>2457</v>
      </c>
      <c r="I977" s="22" t="s">
        <v>53</v>
      </c>
      <c r="J977" s="21" t="s">
        <v>2904</v>
      </c>
      <c r="K977" s="21"/>
      <c r="L977" s="21"/>
      <c r="N977" s="22" t="s">
        <v>2811</v>
      </c>
      <c r="O977" s="22" t="s">
        <v>2229</v>
      </c>
      <c r="P977" s="21">
        <v>82570</v>
      </c>
      <c r="Q977" s="21">
        <v>13</v>
      </c>
      <c r="R977" s="21">
        <v>4</v>
      </c>
      <c r="S977" s="21">
        <v>4</v>
      </c>
      <c r="T977" s="21" t="s">
        <v>159</v>
      </c>
      <c r="U977" s="21">
        <v>1</v>
      </c>
      <c r="V977" s="21">
        <v>1</v>
      </c>
      <c r="W977" s="24">
        <f t="shared" si="158"/>
        <v>512.12993022152386</v>
      </c>
      <c r="X977" s="24">
        <f t="shared" si="159"/>
        <v>108.85333333333332</v>
      </c>
      <c r="Y977" s="21">
        <v>4</v>
      </c>
      <c r="Z977" s="24">
        <f t="shared" si="155"/>
        <v>2048.5197208860955</v>
      </c>
      <c r="AA977" s="24">
        <f t="shared" si="156"/>
        <v>435.4133333333333</v>
      </c>
      <c r="AB977" s="21">
        <v>13</v>
      </c>
      <c r="AC977" s="22">
        <f t="shared" si="160"/>
        <v>16</v>
      </c>
      <c r="AD977" s="21">
        <v>4</v>
      </c>
      <c r="AE977" s="22" t="s">
        <v>330</v>
      </c>
      <c r="AF977" s="22">
        <v>0.7</v>
      </c>
      <c r="AG977" s="22">
        <v>0.7</v>
      </c>
      <c r="AH977" s="25">
        <f t="shared" si="161"/>
        <v>925.71428571428578</v>
      </c>
      <c r="AI977" s="25">
        <f t="shared" si="162"/>
        <v>582.4</v>
      </c>
      <c r="AJ977" s="21">
        <v>653.5</v>
      </c>
      <c r="AK977" s="21">
        <v>16</v>
      </c>
      <c r="AL977" s="22" t="s">
        <v>161</v>
      </c>
      <c r="AM977" s="22">
        <v>0.16</v>
      </c>
      <c r="AN977" s="22" t="s">
        <v>1364</v>
      </c>
      <c r="AO977" s="22" t="s">
        <v>1364</v>
      </c>
      <c r="AP977" s="22" t="s">
        <v>162</v>
      </c>
      <c r="AQ977" s="22" t="str">
        <f t="shared" si="157"/>
        <v>Nanophytoplankton</v>
      </c>
      <c r="AR977" s="22">
        <v>0</v>
      </c>
      <c r="AS977" s="22">
        <v>0</v>
      </c>
      <c r="AT977" s="22">
        <v>0</v>
      </c>
      <c r="AU977" s="22">
        <v>1</v>
      </c>
      <c r="AV977" s="22">
        <v>0</v>
      </c>
      <c r="AW977" s="22">
        <v>0</v>
      </c>
      <c r="AX977" s="22">
        <v>0</v>
      </c>
      <c r="AY977" s="22">
        <v>1</v>
      </c>
      <c r="AZ977" s="22">
        <v>0</v>
      </c>
      <c r="BA977" s="22">
        <v>0</v>
      </c>
      <c r="BB977" s="22">
        <v>0</v>
      </c>
      <c r="BC977" s="22">
        <v>2</v>
      </c>
      <c r="BD977" s="22">
        <v>6</v>
      </c>
      <c r="BE977" s="22">
        <v>2</v>
      </c>
    </row>
    <row r="978" spans="1:57">
      <c r="A978" s="21" t="s">
        <v>2905</v>
      </c>
      <c r="B978" s="22" t="s">
        <v>663</v>
      </c>
      <c r="C978" s="22" t="s">
        <v>2223</v>
      </c>
      <c r="D978" s="22" t="s">
        <v>2224</v>
      </c>
      <c r="E978" s="23" t="s">
        <v>63</v>
      </c>
      <c r="F978" s="23" t="s">
        <v>2225</v>
      </c>
      <c r="G978" s="23" t="s">
        <v>2226</v>
      </c>
      <c r="H978" s="22" t="s">
        <v>2457</v>
      </c>
      <c r="I978" s="22" t="s">
        <v>53</v>
      </c>
      <c r="J978" s="21" t="s">
        <v>2904</v>
      </c>
      <c r="K978" s="21" t="s">
        <v>2906</v>
      </c>
      <c r="L978" s="21" t="s">
        <v>2907</v>
      </c>
      <c r="N978" s="22" t="s">
        <v>2908</v>
      </c>
      <c r="O978" s="22" t="s">
        <v>2229</v>
      </c>
      <c r="P978" s="21">
        <v>82569</v>
      </c>
      <c r="Q978" s="21">
        <v>13</v>
      </c>
      <c r="R978" s="21">
        <v>4</v>
      </c>
      <c r="S978" s="21">
        <v>4</v>
      </c>
      <c r="T978" s="21" t="s">
        <v>159</v>
      </c>
      <c r="U978" s="21">
        <v>1</v>
      </c>
      <c r="V978" s="21">
        <v>1</v>
      </c>
      <c r="W978" s="24">
        <f t="shared" si="158"/>
        <v>512.12993022152386</v>
      </c>
      <c r="X978" s="24">
        <f t="shared" si="159"/>
        <v>108.85333333333332</v>
      </c>
      <c r="Y978" s="21">
        <v>1</v>
      </c>
      <c r="Z978" s="24">
        <f t="shared" si="155"/>
        <v>512.12993022152386</v>
      </c>
      <c r="AA978" s="24">
        <f t="shared" si="156"/>
        <v>108.85333333333332</v>
      </c>
      <c r="AB978" s="21">
        <v>13</v>
      </c>
      <c r="AC978" s="22">
        <f t="shared" si="160"/>
        <v>4</v>
      </c>
      <c r="AD978" s="21">
        <v>4</v>
      </c>
      <c r="AE978" s="22" t="s">
        <v>330</v>
      </c>
      <c r="AF978" s="22">
        <v>0.7</v>
      </c>
      <c r="AG978" s="22">
        <v>0.7</v>
      </c>
      <c r="AH978" s="25">
        <f t="shared" si="161"/>
        <v>342.85714285714289</v>
      </c>
      <c r="AI978" s="25">
        <f t="shared" si="162"/>
        <v>145.6</v>
      </c>
      <c r="AJ978" s="21">
        <v>108.85333333333332</v>
      </c>
      <c r="AK978" s="21">
        <v>13</v>
      </c>
      <c r="AL978" s="22" t="s">
        <v>161</v>
      </c>
      <c r="AM978" s="22">
        <v>0.16</v>
      </c>
      <c r="AN978" s="22" t="s">
        <v>1364</v>
      </c>
      <c r="AO978" s="22" t="s">
        <v>1364</v>
      </c>
      <c r="AP978" s="22" t="s">
        <v>162</v>
      </c>
      <c r="AQ978" s="22" t="str">
        <f t="shared" si="157"/>
        <v>Nanophytoplankton</v>
      </c>
      <c r="AR978" s="22">
        <v>0</v>
      </c>
      <c r="AS978" s="22">
        <v>0</v>
      </c>
      <c r="AT978" s="22">
        <v>0</v>
      </c>
      <c r="AU978" s="22">
        <v>1</v>
      </c>
      <c r="AV978" s="22">
        <v>0</v>
      </c>
      <c r="AW978" s="22">
        <v>0</v>
      </c>
      <c r="AX978" s="22">
        <v>0</v>
      </c>
      <c r="AY978" s="22">
        <v>1</v>
      </c>
      <c r="AZ978" s="22">
        <v>0</v>
      </c>
      <c r="BA978" s="22">
        <v>0</v>
      </c>
      <c r="BB978" s="22">
        <v>0</v>
      </c>
      <c r="BC978" s="22">
        <v>2</v>
      </c>
      <c r="BD978" s="22">
        <v>6</v>
      </c>
      <c r="BE978" s="22">
        <v>2</v>
      </c>
    </row>
    <row r="979" spans="1:57">
      <c r="A979" s="22" t="s">
        <v>2909</v>
      </c>
      <c r="B979" s="22" t="s">
        <v>663</v>
      </c>
      <c r="C979" s="22" t="s">
        <v>2223</v>
      </c>
      <c r="D979" s="22" t="s">
        <v>2224</v>
      </c>
      <c r="E979" s="23" t="s">
        <v>63</v>
      </c>
      <c r="F979" s="23" t="s">
        <v>2225</v>
      </c>
      <c r="G979" s="23" t="s">
        <v>2226</v>
      </c>
      <c r="H979" s="22" t="s">
        <v>2457</v>
      </c>
      <c r="I979" s="22" t="s">
        <v>53</v>
      </c>
      <c r="J979" s="22" t="s">
        <v>2904</v>
      </c>
      <c r="K979" s="22" t="s">
        <v>175</v>
      </c>
      <c r="L979" s="22" t="s">
        <v>2904</v>
      </c>
      <c r="N979" s="22" t="s">
        <v>1056</v>
      </c>
      <c r="O979" s="22" t="s">
        <v>2229</v>
      </c>
      <c r="P979" s="21">
        <v>82571</v>
      </c>
      <c r="Q979" s="22">
        <v>13</v>
      </c>
      <c r="R979" s="22">
        <v>4</v>
      </c>
      <c r="S979" s="22">
        <v>4</v>
      </c>
      <c r="T979" s="21" t="s">
        <v>159</v>
      </c>
      <c r="U979" s="21">
        <v>1</v>
      </c>
      <c r="V979" s="21">
        <v>1</v>
      </c>
      <c r="W979" s="24">
        <f t="shared" si="158"/>
        <v>512.12993022152386</v>
      </c>
      <c r="X979" s="24">
        <f t="shared" si="159"/>
        <v>108.85333333333332</v>
      </c>
      <c r="Y979" s="22">
        <v>4</v>
      </c>
      <c r="Z979" s="24">
        <f t="shared" si="155"/>
        <v>2048.5197208860955</v>
      </c>
      <c r="AA979" s="24">
        <f t="shared" si="156"/>
        <v>435.4133333333333</v>
      </c>
      <c r="AB979" s="22">
        <v>13</v>
      </c>
      <c r="AC979" s="22">
        <f t="shared" si="160"/>
        <v>16</v>
      </c>
      <c r="AD979" s="22">
        <v>4</v>
      </c>
      <c r="AE979" s="22" t="s">
        <v>330</v>
      </c>
      <c r="AF979" s="22">
        <v>0.7</v>
      </c>
      <c r="AG979" s="22">
        <v>0.7</v>
      </c>
      <c r="AH979" s="25">
        <f t="shared" si="161"/>
        <v>925.71428571428578</v>
      </c>
      <c r="AI979" s="25">
        <f t="shared" si="162"/>
        <v>582.4</v>
      </c>
      <c r="AJ979" s="21">
        <v>435.4133333333333</v>
      </c>
      <c r="AK979" s="21">
        <v>16</v>
      </c>
      <c r="AL979" s="22" t="s">
        <v>161</v>
      </c>
      <c r="AM979" s="22">
        <v>0.16</v>
      </c>
      <c r="AN979" s="22" t="s">
        <v>1364</v>
      </c>
      <c r="AO979" s="22" t="s">
        <v>1364</v>
      </c>
      <c r="AP979" s="22" t="s">
        <v>162</v>
      </c>
      <c r="AQ979" s="22" t="str">
        <f t="shared" si="157"/>
        <v>Nanophytoplankton</v>
      </c>
      <c r="AR979" s="22">
        <v>0</v>
      </c>
      <c r="AS979" s="22">
        <v>0</v>
      </c>
      <c r="AT979" s="22">
        <v>0</v>
      </c>
      <c r="AU979" s="22">
        <v>1</v>
      </c>
      <c r="AV979" s="22">
        <v>0</v>
      </c>
      <c r="AW979" s="22">
        <v>0</v>
      </c>
      <c r="AX979" s="22">
        <v>0</v>
      </c>
      <c r="AY979" s="22">
        <v>1</v>
      </c>
    </row>
    <row r="980" spans="1:57">
      <c r="A980" s="22" t="s">
        <v>2910</v>
      </c>
      <c r="B980" s="22" t="s">
        <v>663</v>
      </c>
      <c r="C980" s="22" t="s">
        <v>2223</v>
      </c>
      <c r="D980" s="22" t="s">
        <v>2224</v>
      </c>
      <c r="E980" s="23" t="s">
        <v>63</v>
      </c>
      <c r="F980" s="23" t="s">
        <v>2225</v>
      </c>
      <c r="G980" s="23" t="s">
        <v>2226</v>
      </c>
      <c r="H980" s="22" t="s">
        <v>2457</v>
      </c>
      <c r="I980" s="22" t="s">
        <v>53</v>
      </c>
      <c r="J980" s="22" t="s">
        <v>2904</v>
      </c>
      <c r="K980" s="22" t="s">
        <v>175</v>
      </c>
      <c r="L980" s="22" t="s">
        <v>1402</v>
      </c>
      <c r="N980" s="22" t="s">
        <v>2684</v>
      </c>
      <c r="O980" s="22" t="s">
        <v>2229</v>
      </c>
      <c r="P980" s="21">
        <v>82572</v>
      </c>
      <c r="Q980" s="22">
        <v>18.5</v>
      </c>
      <c r="R980" s="22">
        <v>5.5</v>
      </c>
      <c r="S980" s="22">
        <v>5.5</v>
      </c>
      <c r="T980" s="21" t="s">
        <v>159</v>
      </c>
      <c r="U980" s="21">
        <v>1</v>
      </c>
      <c r="V980" s="21">
        <v>1</v>
      </c>
      <c r="W980" s="24">
        <f t="shared" si="158"/>
        <v>997.7071352019492</v>
      </c>
      <c r="X980" s="24">
        <f t="shared" si="159"/>
        <v>292.87041666666664</v>
      </c>
      <c r="Y980" s="22">
        <v>4</v>
      </c>
      <c r="Z980" s="24">
        <f t="shared" si="155"/>
        <v>3990.8285408077968</v>
      </c>
      <c r="AA980" s="24">
        <f t="shared" si="156"/>
        <v>1171.4816666666666</v>
      </c>
      <c r="AB980" s="22">
        <v>18.5</v>
      </c>
      <c r="AC980" s="22">
        <v>26</v>
      </c>
      <c r="AD980" s="22">
        <v>5.5</v>
      </c>
      <c r="AE980" s="22" t="s">
        <v>330</v>
      </c>
      <c r="AF980" s="22">
        <v>0.6</v>
      </c>
      <c r="AG980" s="22">
        <v>0.6</v>
      </c>
      <c r="AH980" s="25">
        <f t="shared" si="161"/>
        <v>2419.166666666667</v>
      </c>
      <c r="AI980" s="25">
        <f t="shared" si="162"/>
        <v>1587.3</v>
      </c>
      <c r="AJ980" s="21">
        <v>1171.4816666666666</v>
      </c>
      <c r="AK980" s="21">
        <v>22</v>
      </c>
      <c r="AL980" s="22" t="s">
        <v>161</v>
      </c>
      <c r="AM980" s="22">
        <v>0.16</v>
      </c>
      <c r="AN980" s="22" t="s">
        <v>1364</v>
      </c>
      <c r="AO980" s="22" t="s">
        <v>1364</v>
      </c>
      <c r="AP980" s="22" t="s">
        <v>162</v>
      </c>
      <c r="AQ980" s="22" t="str">
        <f t="shared" si="157"/>
        <v>Microphytoplankton</v>
      </c>
      <c r="AR980" s="22">
        <v>0</v>
      </c>
      <c r="AS980" s="22">
        <v>0</v>
      </c>
      <c r="AT980" s="22">
        <v>0</v>
      </c>
      <c r="AU980" s="22">
        <v>1</v>
      </c>
      <c r="AV980" s="22">
        <v>0</v>
      </c>
      <c r="AW980" s="22">
        <v>0</v>
      </c>
      <c r="AX980" s="22">
        <v>0</v>
      </c>
      <c r="AY980" s="22">
        <v>1</v>
      </c>
    </row>
    <row r="981" spans="1:57">
      <c r="A981" s="21" t="s">
        <v>2911</v>
      </c>
      <c r="B981" s="22" t="s">
        <v>663</v>
      </c>
      <c r="C981" s="22" t="s">
        <v>2223</v>
      </c>
      <c r="D981" s="22" t="s">
        <v>2224</v>
      </c>
      <c r="E981" s="23" t="s">
        <v>63</v>
      </c>
      <c r="F981" s="23" t="s">
        <v>2225</v>
      </c>
      <c r="G981" s="23" t="s">
        <v>2226</v>
      </c>
      <c r="H981" s="22" t="s">
        <v>2457</v>
      </c>
      <c r="I981" s="22" t="s">
        <v>53</v>
      </c>
      <c r="J981" s="21" t="s">
        <v>2912</v>
      </c>
      <c r="K981" s="21"/>
      <c r="L981" s="21"/>
      <c r="N981" s="22" t="s">
        <v>2913</v>
      </c>
      <c r="O981" s="22" t="s">
        <v>2229</v>
      </c>
      <c r="P981" s="21">
        <v>82480</v>
      </c>
      <c r="Q981" s="21">
        <v>9</v>
      </c>
      <c r="R981" s="21">
        <v>5</v>
      </c>
      <c r="S981" s="21">
        <v>5</v>
      </c>
      <c r="T981" s="21" t="s">
        <v>159</v>
      </c>
      <c r="U981" s="21">
        <v>1</v>
      </c>
      <c r="V981" s="21">
        <v>1</v>
      </c>
      <c r="W981" s="24">
        <f t="shared" si="158"/>
        <v>446.78391348897986</v>
      </c>
      <c r="X981" s="24">
        <f t="shared" si="159"/>
        <v>117.75</v>
      </c>
      <c r="Y981" s="21">
        <v>4</v>
      </c>
      <c r="Z981" s="24">
        <f t="shared" si="155"/>
        <v>1787.1356539559195</v>
      </c>
      <c r="AA981" s="24">
        <f t="shared" si="156"/>
        <v>471</v>
      </c>
      <c r="AB981" s="21">
        <v>9</v>
      </c>
      <c r="AC981" s="22">
        <f>R981*Y981</f>
        <v>20</v>
      </c>
      <c r="AD981" s="21">
        <v>5</v>
      </c>
      <c r="AE981" s="22" t="s">
        <v>330</v>
      </c>
      <c r="AF981" s="22">
        <v>0.6</v>
      </c>
      <c r="AG981" s="22">
        <v>0.6</v>
      </c>
      <c r="AH981" s="25">
        <f t="shared" si="161"/>
        <v>1083.3333333333335</v>
      </c>
      <c r="AI981" s="25">
        <f t="shared" si="162"/>
        <v>540</v>
      </c>
      <c r="AJ981" s="21">
        <v>706.9</v>
      </c>
      <c r="AK981" s="21">
        <v>20</v>
      </c>
      <c r="AL981" s="22" t="s">
        <v>161</v>
      </c>
      <c r="AM981" s="22">
        <v>0.16</v>
      </c>
      <c r="AN981" s="22" t="s">
        <v>1364</v>
      </c>
      <c r="AO981" s="22" t="s">
        <v>1364</v>
      </c>
      <c r="AP981" s="22" t="s">
        <v>162</v>
      </c>
      <c r="AQ981" s="22" t="str">
        <f t="shared" si="157"/>
        <v>Microphytoplankton</v>
      </c>
      <c r="AR981" s="22">
        <v>0</v>
      </c>
      <c r="AS981" s="22">
        <v>0</v>
      </c>
      <c r="AT981" s="22">
        <v>0</v>
      </c>
      <c r="AU981" s="22">
        <v>1</v>
      </c>
      <c r="AV981" s="22">
        <v>0</v>
      </c>
      <c r="AW981" s="22">
        <v>0</v>
      </c>
      <c r="AX981" s="22">
        <v>0</v>
      </c>
      <c r="AY981" s="22">
        <v>1</v>
      </c>
    </row>
    <row r="982" spans="1:57">
      <c r="A982" s="21" t="s">
        <v>2914</v>
      </c>
      <c r="B982" s="22" t="s">
        <v>663</v>
      </c>
      <c r="C982" s="22" t="s">
        <v>2223</v>
      </c>
      <c r="D982" s="22" t="s">
        <v>2224</v>
      </c>
      <c r="E982" s="23" t="s">
        <v>63</v>
      </c>
      <c r="F982" s="23" t="s">
        <v>2225</v>
      </c>
      <c r="G982" s="23" t="s">
        <v>2226</v>
      </c>
      <c r="H982" s="22" t="s">
        <v>2457</v>
      </c>
      <c r="I982" s="22" t="s">
        <v>53</v>
      </c>
      <c r="J982" s="21" t="s">
        <v>2915</v>
      </c>
      <c r="K982" s="21"/>
      <c r="L982" s="21"/>
      <c r="N982" s="22" t="s">
        <v>2916</v>
      </c>
      <c r="O982" s="22" t="s">
        <v>2229</v>
      </c>
      <c r="P982" s="21">
        <v>82580</v>
      </c>
      <c r="Q982" s="21">
        <v>13</v>
      </c>
      <c r="R982" s="21">
        <v>4</v>
      </c>
      <c r="S982" s="21">
        <v>4</v>
      </c>
      <c r="T982" s="21" t="s">
        <v>159</v>
      </c>
      <c r="U982" s="21">
        <v>1</v>
      </c>
      <c r="V982" s="21">
        <v>1</v>
      </c>
      <c r="W982" s="24">
        <f t="shared" si="158"/>
        <v>512.12993022152386</v>
      </c>
      <c r="X982" s="24">
        <f t="shared" si="159"/>
        <v>108.85333333333332</v>
      </c>
      <c r="Y982" s="21">
        <v>4</v>
      </c>
      <c r="Z982" s="24">
        <f t="shared" si="155"/>
        <v>2048.5197208860955</v>
      </c>
      <c r="AA982" s="24">
        <f t="shared" si="156"/>
        <v>435.4133333333333</v>
      </c>
      <c r="AB982" s="21">
        <v>13</v>
      </c>
      <c r="AC982" s="22">
        <f>R982*Y982</f>
        <v>16</v>
      </c>
      <c r="AD982" s="21">
        <v>4</v>
      </c>
      <c r="AE982" s="22" t="s">
        <v>330</v>
      </c>
      <c r="AF982" s="22">
        <v>0.9</v>
      </c>
      <c r="AG982" s="22">
        <v>0.9</v>
      </c>
      <c r="AH982" s="25">
        <f t="shared" si="161"/>
        <v>720</v>
      </c>
      <c r="AI982" s="25">
        <f t="shared" si="162"/>
        <v>748.80000000000007</v>
      </c>
      <c r="AJ982" s="21">
        <v>653.5</v>
      </c>
      <c r="AK982" s="21">
        <v>16</v>
      </c>
      <c r="AL982" s="22" t="s">
        <v>161</v>
      </c>
      <c r="AM982" s="22">
        <v>0.16</v>
      </c>
      <c r="AN982" s="22" t="s">
        <v>1364</v>
      </c>
      <c r="AO982" s="22" t="s">
        <v>1364</v>
      </c>
      <c r="AP982" s="22" t="s">
        <v>162</v>
      </c>
      <c r="AQ982" s="22" t="str">
        <f t="shared" si="157"/>
        <v>Nanophytoplankton</v>
      </c>
      <c r="AR982" s="22">
        <v>0</v>
      </c>
      <c r="AS982" s="22">
        <v>0</v>
      </c>
      <c r="AT982" s="22">
        <v>0</v>
      </c>
      <c r="AU982" s="22">
        <v>1</v>
      </c>
      <c r="AV982" s="22">
        <v>0</v>
      </c>
      <c r="AW982" s="22">
        <v>0</v>
      </c>
      <c r="AX982" s="22">
        <v>0</v>
      </c>
      <c r="AY982" s="22">
        <v>1</v>
      </c>
      <c r="AZ982" s="22">
        <v>0</v>
      </c>
      <c r="BA982" s="22">
        <v>0</v>
      </c>
      <c r="BB982" s="22">
        <v>0</v>
      </c>
      <c r="BC982" s="22">
        <v>2</v>
      </c>
      <c r="BD982" s="22">
        <v>6</v>
      </c>
      <c r="BE982" s="22">
        <v>2</v>
      </c>
    </row>
    <row r="983" spans="1:57">
      <c r="A983" s="21" t="s">
        <v>2917</v>
      </c>
      <c r="B983" s="22" t="s">
        <v>663</v>
      </c>
      <c r="C983" s="22" t="s">
        <v>2223</v>
      </c>
      <c r="D983" s="22" t="s">
        <v>2224</v>
      </c>
      <c r="E983" s="42" t="s">
        <v>63</v>
      </c>
      <c r="F983" s="42" t="s">
        <v>2225</v>
      </c>
      <c r="G983" s="42" t="s">
        <v>2226</v>
      </c>
      <c r="H983" s="22" t="s">
        <v>2457</v>
      </c>
      <c r="I983" s="22" t="s">
        <v>53</v>
      </c>
      <c r="J983" s="35" t="s">
        <v>2918</v>
      </c>
      <c r="K983" s="35"/>
      <c r="L983" s="35"/>
      <c r="N983" s="22" t="s">
        <v>409</v>
      </c>
      <c r="O983" s="22" t="s">
        <v>2229</v>
      </c>
      <c r="P983" s="35">
        <v>82581</v>
      </c>
      <c r="Q983" s="21">
        <v>18.100000000000001</v>
      </c>
      <c r="R983" s="21">
        <v>5.5</v>
      </c>
      <c r="S983" s="21">
        <v>5.5</v>
      </c>
      <c r="T983" s="21" t="s">
        <v>159</v>
      </c>
      <c r="U983" s="21">
        <v>1</v>
      </c>
      <c r="V983" s="21">
        <v>1</v>
      </c>
      <c r="W983" s="24">
        <f t="shared" si="158"/>
        <v>976.33701555828588</v>
      </c>
      <c r="X983" s="24">
        <f t="shared" si="159"/>
        <v>286.53808333333336</v>
      </c>
      <c r="Y983" s="21">
        <v>4</v>
      </c>
      <c r="Z983" s="24">
        <f t="shared" si="155"/>
        <v>3905.3480622331435</v>
      </c>
      <c r="AA983" s="24">
        <f t="shared" si="156"/>
        <v>1146.1523333333334</v>
      </c>
      <c r="AB983" s="21">
        <v>18.100000000000001</v>
      </c>
      <c r="AC983" s="22">
        <f>R983*Y983</f>
        <v>22</v>
      </c>
      <c r="AD983" s="21">
        <v>5.5</v>
      </c>
      <c r="AE983" s="22" t="s">
        <v>330</v>
      </c>
      <c r="AF983" s="22">
        <v>0.7</v>
      </c>
      <c r="AG983" s="22">
        <v>0.7</v>
      </c>
      <c r="AH983" s="25">
        <f t="shared" si="161"/>
        <v>1767.8571428571429</v>
      </c>
      <c r="AI983" s="25">
        <f t="shared" si="162"/>
        <v>1533.0700000000002</v>
      </c>
      <c r="AJ983" s="21">
        <v>1146</v>
      </c>
      <c r="AK983" s="21">
        <v>21</v>
      </c>
      <c r="AL983" s="22" t="s">
        <v>161</v>
      </c>
      <c r="AM983" s="22">
        <v>0.16</v>
      </c>
      <c r="AN983" s="22" t="s">
        <v>1364</v>
      </c>
      <c r="AO983" s="22" t="s">
        <v>1364</v>
      </c>
      <c r="AP983" s="22" t="s">
        <v>162</v>
      </c>
      <c r="AQ983" s="22" t="str">
        <f t="shared" si="157"/>
        <v>Microphytoplankton</v>
      </c>
      <c r="AR983" s="22">
        <v>0</v>
      </c>
      <c r="AS983" s="22">
        <v>0</v>
      </c>
      <c r="AT983" s="22">
        <v>0</v>
      </c>
      <c r="AU983" s="22">
        <v>1</v>
      </c>
      <c r="AV983" s="22">
        <v>0</v>
      </c>
      <c r="AW983" s="22">
        <v>0</v>
      </c>
      <c r="AX983" s="22">
        <v>0</v>
      </c>
      <c r="AY983" s="22">
        <v>1</v>
      </c>
    </row>
    <row r="984" spans="1:57">
      <c r="A984" s="21" t="s">
        <v>2919</v>
      </c>
      <c r="B984" s="22" t="s">
        <v>663</v>
      </c>
      <c r="C984" s="22" t="s">
        <v>2223</v>
      </c>
      <c r="D984" s="22" t="s">
        <v>2224</v>
      </c>
      <c r="E984" s="42" t="s">
        <v>63</v>
      </c>
      <c r="F984" s="42" t="s">
        <v>2225</v>
      </c>
      <c r="G984" s="42" t="s">
        <v>2226</v>
      </c>
      <c r="H984" s="22" t="s">
        <v>2457</v>
      </c>
      <c r="I984" s="22" t="s">
        <v>53</v>
      </c>
      <c r="J984" s="35" t="s">
        <v>2920</v>
      </c>
      <c r="K984" s="35"/>
      <c r="L984" s="35"/>
      <c r="N984" s="22" t="s">
        <v>2834</v>
      </c>
      <c r="O984" s="22" t="s">
        <v>2229</v>
      </c>
      <c r="P984" s="35">
        <v>82582</v>
      </c>
      <c r="Q984" s="21">
        <f>(8+35)/2</f>
        <v>21.5</v>
      </c>
      <c r="R984" s="21">
        <v>5</v>
      </c>
      <c r="S984" s="21">
        <v>5</v>
      </c>
      <c r="T984" s="21" t="s">
        <v>159</v>
      </c>
      <c r="U984" s="21">
        <v>1</v>
      </c>
      <c r="V984" s="21">
        <v>1</v>
      </c>
      <c r="W984" s="24">
        <f t="shared" si="158"/>
        <v>1052.7786941995971</v>
      </c>
      <c r="X984" s="24">
        <f t="shared" si="159"/>
        <v>281.29166666666669</v>
      </c>
      <c r="Y984" s="21">
        <v>4</v>
      </c>
      <c r="Z984" s="24">
        <f t="shared" si="155"/>
        <v>4211.1147767983884</v>
      </c>
      <c r="AA984" s="24">
        <f t="shared" si="156"/>
        <v>1125.1666666666667</v>
      </c>
      <c r="AB984" s="21">
        <v>21.5</v>
      </c>
      <c r="AC984" s="22">
        <v>20</v>
      </c>
      <c r="AD984" s="21">
        <v>5</v>
      </c>
      <c r="AE984" s="22" t="s">
        <v>330</v>
      </c>
      <c r="AF984" s="22">
        <v>0.7</v>
      </c>
      <c r="AG984" s="22">
        <v>0.7</v>
      </c>
      <c r="AH984" s="25">
        <f t="shared" si="161"/>
        <v>1821.4285714285716</v>
      </c>
      <c r="AI984" s="25">
        <f t="shared" si="162"/>
        <v>1505</v>
      </c>
      <c r="AJ984" s="21">
        <v>1505</v>
      </c>
      <c r="AK984" s="21">
        <v>20</v>
      </c>
      <c r="AL984" s="22" t="s">
        <v>161</v>
      </c>
      <c r="AM984" s="22">
        <v>0.16</v>
      </c>
      <c r="AN984" s="22" t="s">
        <v>1364</v>
      </c>
      <c r="AO984" s="22" t="s">
        <v>1364</v>
      </c>
      <c r="AP984" s="22" t="s">
        <v>162</v>
      </c>
      <c r="AQ984" s="22" t="str">
        <f t="shared" si="157"/>
        <v>Microphytoplankton</v>
      </c>
      <c r="AR984" s="22">
        <v>0</v>
      </c>
      <c r="AS984" s="22">
        <v>0</v>
      </c>
      <c r="AT984" s="22">
        <v>0</v>
      </c>
      <c r="AU984" s="22">
        <v>1</v>
      </c>
      <c r="AV984" s="22">
        <v>0</v>
      </c>
      <c r="AW984" s="22">
        <v>0</v>
      </c>
      <c r="AX984" s="22">
        <v>0</v>
      </c>
      <c r="AY984" s="22">
        <v>1</v>
      </c>
    </row>
    <row r="985" spans="1:57">
      <c r="A985" s="21" t="s">
        <v>2921</v>
      </c>
      <c r="B985" s="22" t="s">
        <v>663</v>
      </c>
      <c r="C985" s="22" t="s">
        <v>2223</v>
      </c>
      <c r="D985" s="22" t="s">
        <v>2224</v>
      </c>
      <c r="E985" s="23" t="s">
        <v>63</v>
      </c>
      <c r="F985" s="23" t="s">
        <v>2225</v>
      </c>
      <c r="G985" s="23" t="s">
        <v>2226</v>
      </c>
      <c r="H985" s="22" t="s">
        <v>2457</v>
      </c>
      <c r="I985" s="22" t="s">
        <v>53</v>
      </c>
      <c r="J985" s="21" t="s">
        <v>2922</v>
      </c>
      <c r="K985" s="21"/>
      <c r="L985" s="21"/>
      <c r="N985" s="22" t="s">
        <v>2923</v>
      </c>
      <c r="O985" s="22" t="s">
        <v>2229</v>
      </c>
      <c r="P985" s="21">
        <v>82592</v>
      </c>
      <c r="Q985" s="21">
        <v>13</v>
      </c>
      <c r="R985" s="21">
        <v>4</v>
      </c>
      <c r="S985" s="21">
        <v>4</v>
      </c>
      <c r="T985" s="21" t="s">
        <v>159</v>
      </c>
      <c r="U985" s="21">
        <v>1</v>
      </c>
      <c r="V985" s="21">
        <v>1</v>
      </c>
      <c r="W985" s="24">
        <f t="shared" si="158"/>
        <v>512.12993022152386</v>
      </c>
      <c r="X985" s="24">
        <f t="shared" si="159"/>
        <v>108.85333333333332</v>
      </c>
      <c r="Y985" s="21">
        <v>4</v>
      </c>
      <c r="Z985" s="24">
        <f t="shared" si="155"/>
        <v>2048.5197208860955</v>
      </c>
      <c r="AA985" s="24">
        <f t="shared" si="156"/>
        <v>435.4133333333333</v>
      </c>
      <c r="AB985" s="21">
        <v>13</v>
      </c>
      <c r="AC985" s="22">
        <f t="shared" ref="AC985:AC993" si="163">R985*Y985</f>
        <v>16</v>
      </c>
      <c r="AD985" s="21">
        <v>4</v>
      </c>
      <c r="AE985" s="22" t="s">
        <v>330</v>
      </c>
      <c r="AF985" s="22">
        <v>0.8</v>
      </c>
      <c r="AG985" s="22">
        <v>0.8</v>
      </c>
      <c r="AH985" s="25">
        <f t="shared" si="161"/>
        <v>810</v>
      </c>
      <c r="AI985" s="25">
        <f t="shared" si="162"/>
        <v>665.6</v>
      </c>
      <c r="AJ985" s="21">
        <v>653.20000000000005</v>
      </c>
      <c r="AK985" s="21">
        <v>16</v>
      </c>
      <c r="AL985" s="22" t="s">
        <v>161</v>
      </c>
      <c r="AM985" s="22">
        <v>0.16</v>
      </c>
      <c r="AN985" s="22" t="s">
        <v>1364</v>
      </c>
      <c r="AO985" s="22" t="s">
        <v>1364</v>
      </c>
      <c r="AP985" s="22" t="s">
        <v>162</v>
      </c>
      <c r="AQ985" s="22" t="str">
        <f t="shared" si="157"/>
        <v>Nanophytoplankton</v>
      </c>
      <c r="AR985" s="22">
        <v>0</v>
      </c>
      <c r="AS985" s="22">
        <v>0</v>
      </c>
      <c r="AT985" s="22">
        <v>0</v>
      </c>
      <c r="AU985" s="22">
        <v>1</v>
      </c>
      <c r="AV985" s="22">
        <v>0</v>
      </c>
      <c r="AW985" s="22">
        <v>0</v>
      </c>
      <c r="AX985" s="22">
        <v>0</v>
      </c>
      <c r="AY985" s="22">
        <v>1</v>
      </c>
      <c r="AZ985" s="22">
        <v>0</v>
      </c>
      <c r="BA985" s="22">
        <v>0</v>
      </c>
      <c r="BB985" s="22">
        <v>0</v>
      </c>
      <c r="BC985" s="22">
        <v>2</v>
      </c>
      <c r="BD985" s="22">
        <v>6</v>
      </c>
      <c r="BE985" s="22">
        <v>2</v>
      </c>
    </row>
    <row r="986" spans="1:57">
      <c r="A986" s="21" t="s">
        <v>2924</v>
      </c>
      <c r="B986" s="22" t="s">
        <v>663</v>
      </c>
      <c r="C986" s="22" t="s">
        <v>2223</v>
      </c>
      <c r="D986" s="22" t="s">
        <v>2224</v>
      </c>
      <c r="E986" s="23" t="s">
        <v>63</v>
      </c>
      <c r="F986" s="23" t="s">
        <v>2225</v>
      </c>
      <c r="G986" s="23" t="s">
        <v>2226</v>
      </c>
      <c r="H986" s="22" t="s">
        <v>2457</v>
      </c>
      <c r="I986" s="22" t="s">
        <v>53</v>
      </c>
      <c r="J986" s="21" t="s">
        <v>2922</v>
      </c>
      <c r="K986" s="21" t="s">
        <v>175</v>
      </c>
      <c r="L986" s="21" t="s">
        <v>2925</v>
      </c>
      <c r="N986" s="22" t="s">
        <v>2926</v>
      </c>
      <c r="O986" s="22" t="s">
        <v>2229</v>
      </c>
      <c r="P986" s="21">
        <v>82594</v>
      </c>
      <c r="Q986" s="21">
        <v>10</v>
      </c>
      <c r="R986" s="21">
        <v>4</v>
      </c>
      <c r="S986" s="21">
        <v>4</v>
      </c>
      <c r="T986" s="21" t="s">
        <v>159</v>
      </c>
      <c r="U986" s="21">
        <v>1</v>
      </c>
      <c r="V986" s="21">
        <v>1</v>
      </c>
      <c r="W986" s="24">
        <f t="shared" si="158"/>
        <v>396.02854005130428</v>
      </c>
      <c r="X986" s="24">
        <f t="shared" si="159"/>
        <v>83.733333333333334</v>
      </c>
      <c r="Y986" s="21">
        <v>4</v>
      </c>
      <c r="Z986" s="24">
        <f t="shared" si="155"/>
        <v>1584.1141602052171</v>
      </c>
      <c r="AA986" s="24">
        <f t="shared" si="156"/>
        <v>334.93333333333334</v>
      </c>
      <c r="AB986" s="21">
        <v>10</v>
      </c>
      <c r="AC986" s="22">
        <f t="shared" si="163"/>
        <v>16</v>
      </c>
      <c r="AD986" s="21">
        <v>4</v>
      </c>
      <c r="AE986" s="22" t="s">
        <v>330</v>
      </c>
      <c r="AF986" s="22">
        <v>0.8</v>
      </c>
      <c r="AG986" s="22">
        <v>0.8</v>
      </c>
      <c r="AH986" s="25">
        <f t="shared" si="161"/>
        <v>660</v>
      </c>
      <c r="AI986" s="25">
        <f t="shared" si="162"/>
        <v>512</v>
      </c>
      <c r="AJ986" s="21">
        <v>502.7</v>
      </c>
      <c r="AK986" s="21">
        <v>10</v>
      </c>
      <c r="AL986" s="22" t="s">
        <v>161</v>
      </c>
      <c r="AM986" s="22">
        <v>0.16</v>
      </c>
      <c r="AN986" s="22" t="s">
        <v>1364</v>
      </c>
      <c r="AO986" s="22" t="s">
        <v>1364</v>
      </c>
      <c r="AP986" s="22" t="s">
        <v>162</v>
      </c>
      <c r="AQ986" s="22" t="str">
        <f t="shared" si="157"/>
        <v>Nanophytoplankton</v>
      </c>
      <c r="AR986" s="22">
        <v>0</v>
      </c>
      <c r="AS986" s="22">
        <v>0</v>
      </c>
      <c r="AT986" s="22">
        <v>0</v>
      </c>
      <c r="AU986" s="22">
        <v>1</v>
      </c>
      <c r="AV986" s="22">
        <v>0</v>
      </c>
      <c r="AW986" s="22">
        <v>0</v>
      </c>
      <c r="AX986" s="22">
        <v>0</v>
      </c>
      <c r="AY986" s="22">
        <v>1</v>
      </c>
      <c r="AZ986" s="22">
        <v>0</v>
      </c>
      <c r="BA986" s="22">
        <v>0</v>
      </c>
      <c r="BB986" s="22">
        <v>0</v>
      </c>
      <c r="BC986" s="22">
        <v>2</v>
      </c>
      <c r="BD986" s="22">
        <v>6</v>
      </c>
      <c r="BE986" s="22">
        <v>2</v>
      </c>
    </row>
    <row r="987" spans="1:57">
      <c r="A987" s="22" t="s">
        <v>2927</v>
      </c>
      <c r="B987" s="22" t="s">
        <v>663</v>
      </c>
      <c r="C987" s="22" t="s">
        <v>2223</v>
      </c>
      <c r="D987" s="22" t="s">
        <v>2224</v>
      </c>
      <c r="E987" s="23" t="s">
        <v>63</v>
      </c>
      <c r="F987" s="23" t="s">
        <v>2225</v>
      </c>
      <c r="G987" s="23" t="s">
        <v>2226</v>
      </c>
      <c r="H987" s="22" t="s">
        <v>2457</v>
      </c>
      <c r="I987" s="22" t="s">
        <v>53</v>
      </c>
      <c r="J987" s="22" t="s">
        <v>2922</v>
      </c>
      <c r="K987" s="22" t="s">
        <v>175</v>
      </c>
      <c r="L987" s="22" t="s">
        <v>2928</v>
      </c>
      <c r="N987" s="22" t="s">
        <v>1056</v>
      </c>
      <c r="O987" s="22" t="s">
        <v>2229</v>
      </c>
      <c r="P987" s="21">
        <v>82451</v>
      </c>
      <c r="Q987" s="22">
        <v>8</v>
      </c>
      <c r="R987" s="22">
        <v>5</v>
      </c>
      <c r="S987" s="22">
        <v>5</v>
      </c>
      <c r="T987" s="21" t="s">
        <v>159</v>
      </c>
      <c r="U987" s="21">
        <v>1</v>
      </c>
      <c r="V987" s="21">
        <v>1</v>
      </c>
      <c r="W987" s="24">
        <f t="shared" si="158"/>
        <v>398.62580307118628</v>
      </c>
      <c r="X987" s="24">
        <f t="shared" si="159"/>
        <v>104.66666666666667</v>
      </c>
      <c r="Y987" s="22">
        <v>4</v>
      </c>
      <c r="Z987" s="24">
        <f t="shared" si="155"/>
        <v>1594.5032122847451</v>
      </c>
      <c r="AA987" s="24">
        <f t="shared" si="156"/>
        <v>418.66666666666669</v>
      </c>
      <c r="AB987" s="22">
        <v>8</v>
      </c>
      <c r="AC987" s="22">
        <f t="shared" si="163"/>
        <v>20</v>
      </c>
      <c r="AD987" s="22">
        <v>5</v>
      </c>
      <c r="AE987" s="22" t="s">
        <v>330</v>
      </c>
      <c r="AF987" s="22">
        <v>0.8</v>
      </c>
      <c r="AG987" s="22">
        <v>0.8</v>
      </c>
      <c r="AH987" s="25">
        <f t="shared" si="161"/>
        <v>750</v>
      </c>
      <c r="AI987" s="25">
        <f t="shared" si="162"/>
        <v>640</v>
      </c>
      <c r="AJ987" s="21">
        <v>418.66666666666663</v>
      </c>
      <c r="AK987" s="21">
        <v>20</v>
      </c>
      <c r="AL987" s="22" t="s">
        <v>2929</v>
      </c>
      <c r="AM987" s="22">
        <v>0.16</v>
      </c>
      <c r="AN987" s="22" t="s">
        <v>1364</v>
      </c>
      <c r="AO987" s="22" t="s">
        <v>1364</v>
      </c>
      <c r="AP987" s="22" t="s">
        <v>162</v>
      </c>
      <c r="AQ987" s="22" t="str">
        <f t="shared" si="157"/>
        <v>Microphytoplankton</v>
      </c>
      <c r="AR987" s="22">
        <v>0</v>
      </c>
      <c r="AS987" s="22">
        <v>0</v>
      </c>
      <c r="AT987" s="22">
        <v>0</v>
      </c>
      <c r="AU987" s="22">
        <v>1</v>
      </c>
      <c r="AV987" s="22">
        <v>0</v>
      </c>
      <c r="AW987" s="22">
        <v>0</v>
      </c>
      <c r="AX987" s="22">
        <v>0</v>
      </c>
      <c r="AY987" s="22">
        <v>1</v>
      </c>
    </row>
    <row r="988" spans="1:57">
      <c r="A988" s="22" t="s">
        <v>2930</v>
      </c>
      <c r="B988" s="22" t="s">
        <v>663</v>
      </c>
      <c r="C988" s="22" t="s">
        <v>2223</v>
      </c>
      <c r="D988" s="22" t="s">
        <v>2224</v>
      </c>
      <c r="E988" s="23" t="s">
        <v>63</v>
      </c>
      <c r="F988" s="23" t="s">
        <v>2225</v>
      </c>
      <c r="G988" s="23" t="s">
        <v>2226</v>
      </c>
      <c r="H988" s="22" t="s">
        <v>2457</v>
      </c>
      <c r="I988" s="22" t="s">
        <v>53</v>
      </c>
      <c r="J988" s="22" t="s">
        <v>2259</v>
      </c>
      <c r="N988" s="22" t="s">
        <v>2931</v>
      </c>
      <c r="O988" s="22" t="s">
        <v>2229</v>
      </c>
      <c r="P988" s="21">
        <v>82452</v>
      </c>
      <c r="Q988" s="22">
        <v>7</v>
      </c>
      <c r="R988" s="22">
        <v>8</v>
      </c>
      <c r="S988" s="22">
        <v>4</v>
      </c>
      <c r="T988" s="21" t="s">
        <v>159</v>
      </c>
      <c r="U988" s="21">
        <v>1</v>
      </c>
      <c r="V988" s="21">
        <v>1</v>
      </c>
      <c r="W988" s="24">
        <f t="shared" si="158"/>
        <v>434.6734077745495</v>
      </c>
      <c r="X988" s="24">
        <f t="shared" si="159"/>
        <v>117.22666666666666</v>
      </c>
      <c r="Y988" s="22">
        <v>4</v>
      </c>
      <c r="Z988" s="24">
        <f t="shared" si="155"/>
        <v>1738.693631098198</v>
      </c>
      <c r="AA988" s="24">
        <f t="shared" si="156"/>
        <v>468.90666666666664</v>
      </c>
      <c r="AB988" s="22">
        <v>7</v>
      </c>
      <c r="AC988" s="22">
        <f t="shared" si="163"/>
        <v>32</v>
      </c>
      <c r="AD988" s="22">
        <v>4</v>
      </c>
      <c r="AE988" s="22" t="s">
        <v>330</v>
      </c>
      <c r="AF988" s="22">
        <v>0.8</v>
      </c>
      <c r="AG988" s="22">
        <v>0.8</v>
      </c>
      <c r="AH988" s="25">
        <f t="shared" si="161"/>
        <v>950</v>
      </c>
      <c r="AI988" s="25">
        <f t="shared" si="162"/>
        <v>716.80000000000007</v>
      </c>
      <c r="AJ988" s="21">
        <v>937.81333333333328</v>
      </c>
      <c r="AK988" s="21">
        <v>16</v>
      </c>
      <c r="AL988" s="22" t="s">
        <v>161</v>
      </c>
      <c r="AM988" s="22">
        <v>0.16</v>
      </c>
      <c r="AN988" s="22" t="s">
        <v>1364</v>
      </c>
      <c r="AO988" s="22" t="s">
        <v>1364</v>
      </c>
      <c r="AP988" s="22" t="s">
        <v>162</v>
      </c>
      <c r="AQ988" s="22" t="str">
        <f t="shared" si="157"/>
        <v>Nanophytoplankton</v>
      </c>
      <c r="AR988" s="22">
        <v>0</v>
      </c>
      <c r="AS988" s="22">
        <v>0</v>
      </c>
      <c r="AT988" s="22">
        <v>0</v>
      </c>
      <c r="AU988" s="22">
        <v>1</v>
      </c>
      <c r="AV988" s="22">
        <v>0</v>
      </c>
      <c r="AW988" s="22">
        <v>0</v>
      </c>
      <c r="AX988" s="22">
        <v>0</v>
      </c>
      <c r="AY988" s="22">
        <v>1</v>
      </c>
    </row>
    <row r="989" spans="1:57">
      <c r="A989" s="21" t="s">
        <v>2932</v>
      </c>
      <c r="B989" s="22" t="s">
        <v>663</v>
      </c>
      <c r="C989" s="22" t="s">
        <v>2223</v>
      </c>
      <c r="D989" s="22" t="s">
        <v>2224</v>
      </c>
      <c r="E989" s="23" t="s">
        <v>63</v>
      </c>
      <c r="F989" s="23" t="s">
        <v>2225</v>
      </c>
      <c r="G989" s="23" t="s">
        <v>2226</v>
      </c>
      <c r="H989" s="22" t="s">
        <v>2457</v>
      </c>
      <c r="I989" s="22" t="s">
        <v>53</v>
      </c>
      <c r="J989" s="21" t="s">
        <v>2933</v>
      </c>
      <c r="K989" s="21"/>
      <c r="L989" s="21"/>
      <c r="N989" s="22" t="s">
        <v>2934</v>
      </c>
      <c r="O989" s="22" t="s">
        <v>2229</v>
      </c>
      <c r="P989" s="22">
        <v>82530</v>
      </c>
      <c r="Q989" s="21">
        <v>12.5</v>
      </c>
      <c r="R989" s="21">
        <v>5.5</v>
      </c>
      <c r="S989" s="21">
        <v>5.5</v>
      </c>
      <c r="T989" s="21" t="s">
        <v>159</v>
      </c>
      <c r="U989" s="21">
        <v>1</v>
      </c>
      <c r="V989" s="21">
        <v>1</v>
      </c>
      <c r="W989" s="24">
        <f t="shared" si="158"/>
        <v>677.53985680575568</v>
      </c>
      <c r="X989" s="24">
        <f t="shared" si="159"/>
        <v>197.88541666666666</v>
      </c>
      <c r="Y989" s="21">
        <v>4</v>
      </c>
      <c r="Z989" s="24">
        <f t="shared" si="155"/>
        <v>2710.1594272230227</v>
      </c>
      <c r="AA989" s="24">
        <f t="shared" si="156"/>
        <v>791.54166666666663</v>
      </c>
      <c r="AB989" s="21">
        <v>12.5</v>
      </c>
      <c r="AC989" s="22">
        <f t="shared" si="163"/>
        <v>22</v>
      </c>
      <c r="AD989" s="21">
        <v>5.5</v>
      </c>
      <c r="AE989" s="22" t="s">
        <v>330</v>
      </c>
      <c r="AF989" s="22">
        <v>0.8</v>
      </c>
      <c r="AG989" s="22">
        <v>0.8</v>
      </c>
      <c r="AH989" s="25">
        <f t="shared" si="161"/>
        <v>1161.875</v>
      </c>
      <c r="AI989" s="25">
        <f t="shared" si="162"/>
        <v>1210</v>
      </c>
      <c r="AJ989" s="21">
        <v>1512</v>
      </c>
      <c r="AK989" s="21">
        <v>12.5</v>
      </c>
      <c r="AL989" s="22" t="s">
        <v>161</v>
      </c>
      <c r="AM989" s="22">
        <v>0.11</v>
      </c>
      <c r="AN989" s="22" t="s">
        <v>1364</v>
      </c>
      <c r="AO989" s="22" t="s">
        <v>1364</v>
      </c>
      <c r="AP989" s="22" t="s">
        <v>162</v>
      </c>
      <c r="AQ989" s="22" t="str">
        <f t="shared" si="157"/>
        <v>Nanophytoplankton</v>
      </c>
      <c r="AR989" s="22">
        <v>0</v>
      </c>
      <c r="AS989" s="22">
        <v>0</v>
      </c>
      <c r="AT989" s="22">
        <v>0</v>
      </c>
      <c r="AU989" s="22">
        <v>1</v>
      </c>
      <c r="AV989" s="22">
        <v>0</v>
      </c>
      <c r="AW989" s="22">
        <v>0</v>
      </c>
      <c r="AX989" s="22">
        <v>0</v>
      </c>
      <c r="AY989" s="22">
        <v>1</v>
      </c>
    </row>
    <row r="990" spans="1:57">
      <c r="A990" s="21" t="s">
        <v>2935</v>
      </c>
      <c r="B990" s="22" t="s">
        <v>663</v>
      </c>
      <c r="C990" s="22" t="s">
        <v>2223</v>
      </c>
      <c r="D990" s="22" t="s">
        <v>2224</v>
      </c>
      <c r="E990" s="23" t="s">
        <v>63</v>
      </c>
      <c r="F990" s="23" t="s">
        <v>2225</v>
      </c>
      <c r="G990" s="23" t="s">
        <v>2226</v>
      </c>
      <c r="H990" s="22" t="s">
        <v>2457</v>
      </c>
      <c r="I990" s="22" t="s">
        <v>53</v>
      </c>
      <c r="J990" s="21" t="s">
        <v>2936</v>
      </c>
      <c r="K990" s="21"/>
      <c r="L990" s="21"/>
      <c r="N990" s="22" t="s">
        <v>1146</v>
      </c>
      <c r="O990" s="22" t="s">
        <v>2229</v>
      </c>
      <c r="P990" s="21">
        <v>82475</v>
      </c>
      <c r="Q990" s="21">
        <v>11</v>
      </c>
      <c r="R990" s="21">
        <v>4</v>
      </c>
      <c r="S990" s="21">
        <v>4</v>
      </c>
      <c r="T990" s="21" t="s">
        <v>159</v>
      </c>
      <c r="U990" s="21">
        <v>1</v>
      </c>
      <c r="V990" s="21">
        <v>1</v>
      </c>
      <c r="W990" s="24">
        <f t="shared" si="158"/>
        <v>434.68717363423838</v>
      </c>
      <c r="X990" s="24">
        <f t="shared" si="159"/>
        <v>92.106666666666669</v>
      </c>
      <c r="Y990" s="21">
        <v>4</v>
      </c>
      <c r="Z990" s="24">
        <f t="shared" si="155"/>
        <v>1738.7486945369535</v>
      </c>
      <c r="AA990" s="24">
        <f t="shared" si="156"/>
        <v>368.42666666666668</v>
      </c>
      <c r="AB990" s="21">
        <v>11</v>
      </c>
      <c r="AC990" s="22">
        <f t="shared" si="163"/>
        <v>16</v>
      </c>
      <c r="AD990" s="21">
        <v>4</v>
      </c>
      <c r="AE990" s="22" t="s">
        <v>330</v>
      </c>
      <c r="AF990" s="22">
        <v>0.8</v>
      </c>
      <c r="AG990" s="22">
        <v>0.8</v>
      </c>
      <c r="AH990" s="25">
        <f t="shared" si="161"/>
        <v>710</v>
      </c>
      <c r="AI990" s="25">
        <f t="shared" si="162"/>
        <v>563.20000000000005</v>
      </c>
      <c r="AJ990" s="21">
        <v>521.20000000000005</v>
      </c>
      <c r="AK990" s="21">
        <v>11</v>
      </c>
      <c r="AL990" s="22" t="s">
        <v>161</v>
      </c>
      <c r="AM990" s="22">
        <v>0.16</v>
      </c>
      <c r="AN990" s="22" t="s">
        <v>1364</v>
      </c>
      <c r="AO990" s="22" t="s">
        <v>1364</v>
      </c>
      <c r="AP990" s="22" t="s">
        <v>162</v>
      </c>
      <c r="AQ990" s="22" t="str">
        <f t="shared" si="157"/>
        <v>Nanophytoplankton</v>
      </c>
      <c r="AR990" s="22">
        <v>0</v>
      </c>
      <c r="AS990" s="22">
        <v>0</v>
      </c>
      <c r="AT990" s="22">
        <v>0</v>
      </c>
      <c r="AU990" s="22">
        <v>1</v>
      </c>
      <c r="AV990" s="22">
        <v>0</v>
      </c>
      <c r="AW990" s="22">
        <v>0</v>
      </c>
      <c r="AX990" s="22">
        <v>0</v>
      </c>
      <c r="AY990" s="22">
        <v>1</v>
      </c>
    </row>
    <row r="991" spans="1:57">
      <c r="A991" s="21" t="s">
        <v>2937</v>
      </c>
      <c r="B991" s="22" t="s">
        <v>663</v>
      </c>
      <c r="C991" s="22" t="s">
        <v>2223</v>
      </c>
      <c r="D991" s="22" t="s">
        <v>2224</v>
      </c>
      <c r="E991" s="23" t="s">
        <v>63</v>
      </c>
      <c r="F991" s="23" t="s">
        <v>2225</v>
      </c>
      <c r="G991" s="23" t="s">
        <v>2226</v>
      </c>
      <c r="H991" s="22" t="s">
        <v>2457</v>
      </c>
      <c r="I991" s="22" t="s">
        <v>53</v>
      </c>
      <c r="J991" s="21" t="s">
        <v>2938</v>
      </c>
      <c r="K991" s="21"/>
      <c r="L991" s="21"/>
      <c r="N991" s="22" t="s">
        <v>307</v>
      </c>
      <c r="O991" s="22" t="s">
        <v>2229</v>
      </c>
      <c r="P991" s="21">
        <v>82481</v>
      </c>
      <c r="Q991" s="21">
        <v>22</v>
      </c>
      <c r="R991" s="21">
        <v>5</v>
      </c>
      <c r="S991" s="21">
        <v>5</v>
      </c>
      <c r="T991" s="21" t="s">
        <v>159</v>
      </c>
      <c r="U991" s="21">
        <v>1</v>
      </c>
      <c r="V991" s="21">
        <v>1</v>
      </c>
      <c r="W991" s="24">
        <f t="shared" si="158"/>
        <v>1077.0837578161909</v>
      </c>
      <c r="X991" s="24">
        <f t="shared" si="159"/>
        <v>287.83333333333337</v>
      </c>
      <c r="Y991" s="21">
        <v>4</v>
      </c>
      <c r="Z991" s="24">
        <f t="shared" si="155"/>
        <v>4308.3350312647635</v>
      </c>
      <c r="AA991" s="24">
        <f t="shared" si="156"/>
        <v>1151.3333333333335</v>
      </c>
      <c r="AB991" s="21">
        <v>22</v>
      </c>
      <c r="AC991" s="22">
        <f t="shared" si="163"/>
        <v>20</v>
      </c>
      <c r="AD991" s="21">
        <v>5</v>
      </c>
      <c r="AE991" s="22" t="s">
        <v>330</v>
      </c>
      <c r="AF991" s="22">
        <v>0.8</v>
      </c>
      <c r="AG991" s="22">
        <v>0.8</v>
      </c>
      <c r="AH991" s="25">
        <f t="shared" si="161"/>
        <v>1625</v>
      </c>
      <c r="AI991" s="25">
        <f t="shared" si="162"/>
        <v>1760</v>
      </c>
      <c r="AJ991" s="21">
        <v>1151.3333333333333</v>
      </c>
      <c r="AK991" s="21">
        <v>20</v>
      </c>
      <c r="AL991" s="22" t="s">
        <v>161</v>
      </c>
      <c r="AM991" s="22">
        <v>0.16</v>
      </c>
      <c r="AN991" s="22" t="s">
        <v>1364</v>
      </c>
      <c r="AO991" s="22" t="s">
        <v>1364</v>
      </c>
      <c r="AP991" s="22" t="s">
        <v>162</v>
      </c>
      <c r="AQ991" s="22" t="str">
        <f t="shared" si="157"/>
        <v>Microphytoplankton</v>
      </c>
      <c r="AR991" s="22">
        <v>0</v>
      </c>
      <c r="AS991" s="22">
        <v>0</v>
      </c>
      <c r="AT991" s="22">
        <v>0</v>
      </c>
      <c r="AU991" s="22">
        <v>1</v>
      </c>
      <c r="AV991" s="22">
        <v>0</v>
      </c>
      <c r="AW991" s="22">
        <v>0</v>
      </c>
      <c r="AX991" s="22">
        <v>0</v>
      </c>
      <c r="AY991" s="22">
        <v>1</v>
      </c>
    </row>
    <row r="992" spans="1:57">
      <c r="A992" s="22" t="s">
        <v>2939</v>
      </c>
      <c r="B992" s="22" t="s">
        <v>663</v>
      </c>
      <c r="C992" s="22" t="s">
        <v>2223</v>
      </c>
      <c r="D992" s="22" t="s">
        <v>2224</v>
      </c>
      <c r="E992" s="23" t="s">
        <v>63</v>
      </c>
      <c r="F992" s="23" t="s">
        <v>2225</v>
      </c>
      <c r="G992" s="23" t="s">
        <v>2226</v>
      </c>
      <c r="H992" s="22" t="s">
        <v>2457</v>
      </c>
      <c r="I992" s="22" t="s">
        <v>53</v>
      </c>
      <c r="J992" s="22" t="s">
        <v>2940</v>
      </c>
      <c r="N992" s="22" t="s">
        <v>2926</v>
      </c>
      <c r="O992" s="22" t="s">
        <v>2229</v>
      </c>
      <c r="P992" s="21">
        <v>82453</v>
      </c>
      <c r="Q992" s="22">
        <v>16.5</v>
      </c>
      <c r="R992" s="22">
        <v>9</v>
      </c>
      <c r="S992" s="22">
        <v>4</v>
      </c>
      <c r="T992" s="21" t="s">
        <v>159</v>
      </c>
      <c r="U992" s="21">
        <v>1</v>
      </c>
      <c r="V992" s="21">
        <v>1</v>
      </c>
      <c r="W992" s="24">
        <f t="shared" si="158"/>
        <v>1099.314666142526</v>
      </c>
      <c r="X992" s="24">
        <f t="shared" si="159"/>
        <v>310.86</v>
      </c>
      <c r="Y992" s="22">
        <v>4</v>
      </c>
      <c r="Z992" s="24">
        <f t="shared" si="155"/>
        <v>4397.258664570104</v>
      </c>
      <c r="AA992" s="24">
        <f t="shared" si="156"/>
        <v>1243.44</v>
      </c>
      <c r="AB992" s="22">
        <v>16.5</v>
      </c>
      <c r="AC992" s="22">
        <f t="shared" si="163"/>
        <v>36</v>
      </c>
      <c r="AD992" s="22">
        <v>4</v>
      </c>
      <c r="AE992" s="22" t="s">
        <v>330</v>
      </c>
      <c r="AF992" s="22">
        <v>0.8</v>
      </c>
      <c r="AG992" s="22">
        <v>0.8</v>
      </c>
      <c r="AH992" s="25">
        <f t="shared" si="161"/>
        <v>2010</v>
      </c>
      <c r="AI992" s="25">
        <f t="shared" si="162"/>
        <v>1900.8000000000002</v>
      </c>
      <c r="AJ992" s="21">
        <v>2797.7400000000002</v>
      </c>
      <c r="AK992" s="21">
        <v>16</v>
      </c>
      <c r="AL992" s="22" t="s">
        <v>161</v>
      </c>
      <c r="AM992" s="22">
        <v>0.16</v>
      </c>
      <c r="AN992" s="22" t="s">
        <v>1364</v>
      </c>
      <c r="AO992" s="22" t="s">
        <v>1364</v>
      </c>
      <c r="AP992" s="22" t="s">
        <v>162</v>
      </c>
      <c r="AQ992" s="22" t="str">
        <f t="shared" si="157"/>
        <v>Nanophytoplankton</v>
      </c>
      <c r="AR992" s="22">
        <v>0</v>
      </c>
      <c r="AS992" s="22">
        <v>0</v>
      </c>
      <c r="AT992" s="22">
        <v>0</v>
      </c>
      <c r="AU992" s="22">
        <v>1</v>
      </c>
      <c r="AV992" s="22">
        <v>0</v>
      </c>
      <c r="AW992" s="22">
        <v>0</v>
      </c>
      <c r="AX992" s="22">
        <v>0</v>
      </c>
      <c r="AY992" s="22">
        <v>1</v>
      </c>
    </row>
    <row r="993" spans="1:57">
      <c r="A993" s="21" t="s">
        <v>2941</v>
      </c>
      <c r="B993" s="22" t="s">
        <v>663</v>
      </c>
      <c r="C993" s="22" t="s">
        <v>2223</v>
      </c>
      <c r="D993" s="22" t="s">
        <v>2224</v>
      </c>
      <c r="E993" s="23" t="s">
        <v>63</v>
      </c>
      <c r="F993" s="23" t="s">
        <v>2225</v>
      </c>
      <c r="G993" s="23" t="s">
        <v>2226</v>
      </c>
      <c r="H993" s="22" t="s">
        <v>2457</v>
      </c>
      <c r="I993" s="22" t="s">
        <v>53</v>
      </c>
      <c r="J993" s="21" t="s">
        <v>2942</v>
      </c>
      <c r="K993" s="21"/>
      <c r="L993" s="21"/>
      <c r="N993" s="22" t="s">
        <v>409</v>
      </c>
      <c r="O993" s="22" t="s">
        <v>2229</v>
      </c>
      <c r="P993" s="22">
        <v>82476</v>
      </c>
      <c r="Q993" s="21">
        <v>11</v>
      </c>
      <c r="R993" s="21">
        <v>4.5</v>
      </c>
      <c r="S993" s="21">
        <v>4.5</v>
      </c>
      <c r="T993" s="21" t="s">
        <v>159</v>
      </c>
      <c r="U993" s="21">
        <v>1</v>
      </c>
      <c r="V993" s="21">
        <v>1</v>
      </c>
      <c r="W993" s="24">
        <f t="shared" si="158"/>
        <v>489.02307033851832</v>
      </c>
      <c r="X993" s="24">
        <f t="shared" si="159"/>
        <v>116.57250000000001</v>
      </c>
      <c r="Y993" s="21">
        <v>4</v>
      </c>
      <c r="Z993" s="24">
        <f t="shared" si="155"/>
        <v>1956.0922813540733</v>
      </c>
      <c r="AA993" s="24">
        <f t="shared" si="156"/>
        <v>466.29</v>
      </c>
      <c r="AB993" s="21">
        <v>11</v>
      </c>
      <c r="AC993" s="22">
        <f t="shared" si="163"/>
        <v>18</v>
      </c>
      <c r="AD993" s="21">
        <v>4.5</v>
      </c>
      <c r="AE993" s="22" t="s">
        <v>330</v>
      </c>
      <c r="AF993" s="22">
        <v>0.8</v>
      </c>
      <c r="AG993" s="22">
        <v>0.8</v>
      </c>
      <c r="AH993" s="25">
        <f t="shared" si="161"/>
        <v>821.25</v>
      </c>
      <c r="AI993" s="25">
        <f t="shared" si="162"/>
        <v>712.80000000000007</v>
      </c>
      <c r="AJ993" s="21">
        <v>746.2</v>
      </c>
      <c r="AK993" s="21">
        <v>12</v>
      </c>
      <c r="AL993" s="22" t="s">
        <v>161</v>
      </c>
      <c r="AM993" s="22">
        <v>0.16</v>
      </c>
      <c r="AN993" s="22" t="s">
        <v>1364</v>
      </c>
      <c r="AO993" s="22" t="s">
        <v>1364</v>
      </c>
      <c r="AP993" s="22" t="s">
        <v>162</v>
      </c>
      <c r="AQ993" s="22" t="str">
        <f t="shared" si="157"/>
        <v>Nanophytoplankton</v>
      </c>
      <c r="AR993" s="22">
        <v>0</v>
      </c>
      <c r="AS993" s="22">
        <v>0</v>
      </c>
      <c r="AT993" s="22">
        <v>0</v>
      </c>
      <c r="AU993" s="22">
        <v>1</v>
      </c>
      <c r="AV993" s="22">
        <v>0</v>
      </c>
      <c r="AW993" s="22">
        <v>0</v>
      </c>
      <c r="AX993" s="22">
        <v>0</v>
      </c>
      <c r="AY993" s="22">
        <v>1</v>
      </c>
    </row>
    <row r="994" spans="1:57">
      <c r="A994" s="21" t="s">
        <v>2943</v>
      </c>
      <c r="B994" s="22" t="s">
        <v>663</v>
      </c>
      <c r="C994" s="22" t="s">
        <v>2223</v>
      </c>
      <c r="D994" s="22" t="s">
        <v>2224</v>
      </c>
      <c r="E994" s="23" t="s">
        <v>63</v>
      </c>
      <c r="F994" s="23" t="s">
        <v>2225</v>
      </c>
      <c r="G994" s="23" t="s">
        <v>2226</v>
      </c>
      <c r="H994" s="22" t="s">
        <v>2457</v>
      </c>
      <c r="I994" s="22" t="s">
        <v>53</v>
      </c>
      <c r="J994" s="21" t="s">
        <v>2944</v>
      </c>
      <c r="K994" s="21"/>
      <c r="L994" s="21"/>
      <c r="N994" s="22" t="s">
        <v>409</v>
      </c>
      <c r="O994" s="22" t="s">
        <v>2229</v>
      </c>
      <c r="P994" s="22">
        <v>82483</v>
      </c>
      <c r="Q994" s="21">
        <f>(8.8+19)/2</f>
        <v>13.9</v>
      </c>
      <c r="R994" s="21">
        <f>(2.5+8)/2</f>
        <v>5.25</v>
      </c>
      <c r="S994" s="21">
        <f>(2.5+8)/2</f>
        <v>5.25</v>
      </c>
      <c r="T994" s="21" t="s">
        <v>159</v>
      </c>
      <c r="U994" s="21">
        <v>1</v>
      </c>
      <c r="V994" s="21">
        <v>1</v>
      </c>
      <c r="W994" s="24">
        <f t="shared" si="158"/>
        <v>717.96428041330898</v>
      </c>
      <c r="X994" s="24">
        <f t="shared" si="159"/>
        <v>200.49881249999999</v>
      </c>
      <c r="Y994" s="21">
        <v>4</v>
      </c>
      <c r="Z994" s="24">
        <f t="shared" si="155"/>
        <v>2871.8571216532359</v>
      </c>
      <c r="AA994" s="24">
        <f t="shared" si="156"/>
        <v>801.99524999999994</v>
      </c>
      <c r="AB994" s="21">
        <v>13.9</v>
      </c>
      <c r="AC994" s="22">
        <v>21</v>
      </c>
      <c r="AD994" s="21">
        <v>5.25</v>
      </c>
      <c r="AE994" s="22" t="s">
        <v>330</v>
      </c>
      <c r="AF994" s="22">
        <v>0.8</v>
      </c>
      <c r="AG994" s="22">
        <v>0.8</v>
      </c>
      <c r="AH994" s="25">
        <f t="shared" si="161"/>
        <v>1187.8125</v>
      </c>
      <c r="AI994" s="25">
        <f t="shared" si="162"/>
        <v>1225.9800000000002</v>
      </c>
      <c r="AJ994" s="21">
        <v>801.99524999999994</v>
      </c>
      <c r="AK994" s="21">
        <v>21</v>
      </c>
      <c r="AL994" s="22" t="s">
        <v>161</v>
      </c>
      <c r="AM994" s="22">
        <v>0.16</v>
      </c>
      <c r="AN994" s="22" t="s">
        <v>1364</v>
      </c>
      <c r="AO994" s="22" t="s">
        <v>1364</v>
      </c>
      <c r="AP994" s="22" t="s">
        <v>162</v>
      </c>
      <c r="AQ994" s="22" t="str">
        <f t="shared" si="157"/>
        <v>Microphytoplankton</v>
      </c>
      <c r="AR994" s="22">
        <v>0</v>
      </c>
      <c r="AS994" s="22">
        <v>0</v>
      </c>
      <c r="AT994" s="22">
        <v>0</v>
      </c>
      <c r="AU994" s="22">
        <v>1</v>
      </c>
      <c r="AV994" s="22">
        <v>0</v>
      </c>
      <c r="AW994" s="22">
        <v>0</v>
      </c>
      <c r="AX994" s="22">
        <v>0</v>
      </c>
      <c r="AY994" s="22">
        <v>1</v>
      </c>
    </row>
    <row r="995" spans="1:57">
      <c r="A995" s="21" t="s">
        <v>2945</v>
      </c>
      <c r="B995" s="22" t="s">
        <v>663</v>
      </c>
      <c r="C995" s="22" t="s">
        <v>2223</v>
      </c>
      <c r="D995" s="22" t="s">
        <v>2224</v>
      </c>
      <c r="E995" s="23" t="s">
        <v>63</v>
      </c>
      <c r="F995" s="23" t="s">
        <v>2225</v>
      </c>
      <c r="G995" s="23" t="s">
        <v>2226</v>
      </c>
      <c r="H995" s="22" t="s">
        <v>2457</v>
      </c>
      <c r="I995" s="22" t="s">
        <v>53</v>
      </c>
      <c r="J995" s="21" t="s">
        <v>2946</v>
      </c>
      <c r="K995" s="21"/>
      <c r="L995" s="21"/>
      <c r="N995" s="22" t="s">
        <v>2926</v>
      </c>
      <c r="O995" s="22" t="s">
        <v>2229</v>
      </c>
      <c r="P995" s="22">
        <v>82597</v>
      </c>
      <c r="Q995" s="21">
        <v>14</v>
      </c>
      <c r="R995" s="21">
        <v>4.5</v>
      </c>
      <c r="S995" s="21">
        <v>4.5</v>
      </c>
      <c r="T995" s="21" t="s">
        <v>159</v>
      </c>
      <c r="U995" s="21">
        <v>1</v>
      </c>
      <c r="V995" s="21">
        <v>1</v>
      </c>
      <c r="W995" s="24">
        <f t="shared" si="158"/>
        <v>619.76071191680774</v>
      </c>
      <c r="X995" s="24">
        <f t="shared" si="159"/>
        <v>148.36500000000001</v>
      </c>
      <c r="Y995" s="21">
        <v>4</v>
      </c>
      <c r="Z995" s="24">
        <f t="shared" si="155"/>
        <v>2479.0428476672309</v>
      </c>
      <c r="AA995" s="24">
        <f t="shared" si="156"/>
        <v>593.46</v>
      </c>
      <c r="AB995" s="21">
        <v>14</v>
      </c>
      <c r="AC995" s="22">
        <f t="shared" ref="AC995:AC1005" si="164">R995*Y995</f>
        <v>18</v>
      </c>
      <c r="AD995" s="21">
        <v>4.5</v>
      </c>
      <c r="AE995" s="22" t="s">
        <v>330</v>
      </c>
      <c r="AF995" s="22">
        <v>0.8</v>
      </c>
      <c r="AG995" s="22">
        <v>0.8</v>
      </c>
      <c r="AH995" s="25">
        <f t="shared" si="161"/>
        <v>990</v>
      </c>
      <c r="AI995" s="25">
        <f t="shared" si="162"/>
        <v>907.2</v>
      </c>
      <c r="AJ995" s="21">
        <v>890.6</v>
      </c>
      <c r="AK995" s="21">
        <v>18</v>
      </c>
      <c r="AL995" s="22" t="s">
        <v>161</v>
      </c>
      <c r="AM995" s="22">
        <v>0.16</v>
      </c>
      <c r="AN995" s="22" t="s">
        <v>1364</v>
      </c>
      <c r="AO995" s="22" t="s">
        <v>1364</v>
      </c>
      <c r="AP995" s="22" t="s">
        <v>162</v>
      </c>
      <c r="AQ995" s="22" t="str">
        <f t="shared" si="157"/>
        <v>Nanophytoplankton</v>
      </c>
      <c r="AR995" s="22">
        <v>0</v>
      </c>
      <c r="AS995" s="22">
        <v>0</v>
      </c>
      <c r="AT995" s="22">
        <v>0</v>
      </c>
      <c r="AU995" s="22">
        <v>1</v>
      </c>
      <c r="AV995" s="22">
        <v>0</v>
      </c>
      <c r="AW995" s="22">
        <v>0</v>
      </c>
      <c r="AX995" s="22">
        <v>0</v>
      </c>
      <c r="AY995" s="22">
        <v>1</v>
      </c>
    </row>
    <row r="996" spans="1:57">
      <c r="A996" s="22" t="s">
        <v>2947</v>
      </c>
      <c r="B996" s="22" t="s">
        <v>663</v>
      </c>
      <c r="C996" s="22" t="s">
        <v>2223</v>
      </c>
      <c r="D996" s="22" t="s">
        <v>2224</v>
      </c>
      <c r="E996" s="23" t="s">
        <v>63</v>
      </c>
      <c r="F996" s="23" t="s">
        <v>2225</v>
      </c>
      <c r="G996" s="23" t="s">
        <v>2226</v>
      </c>
      <c r="H996" s="22" t="s">
        <v>2457</v>
      </c>
      <c r="I996" s="22" t="s">
        <v>53</v>
      </c>
      <c r="J996" s="22" t="s">
        <v>2948</v>
      </c>
      <c r="N996" s="22" t="s">
        <v>2949</v>
      </c>
      <c r="O996" s="22" t="s">
        <v>2229</v>
      </c>
      <c r="P996" s="22">
        <v>82454</v>
      </c>
      <c r="Q996" s="22">
        <v>14</v>
      </c>
      <c r="R996" s="22">
        <v>5</v>
      </c>
      <c r="S996" s="22">
        <v>4</v>
      </c>
      <c r="T996" s="21" t="s">
        <v>159</v>
      </c>
      <c r="U996" s="21">
        <v>1</v>
      </c>
      <c r="V996" s="21">
        <v>1</v>
      </c>
      <c r="W996" s="24">
        <f t="shared" si="158"/>
        <v>622.05490239334472</v>
      </c>
      <c r="X996" s="24">
        <f t="shared" si="159"/>
        <v>146.53333333333333</v>
      </c>
      <c r="Y996" s="22">
        <v>4</v>
      </c>
      <c r="Z996" s="24">
        <f t="shared" si="155"/>
        <v>2488.2196095733789</v>
      </c>
      <c r="AA996" s="24">
        <f t="shared" si="156"/>
        <v>586.13333333333333</v>
      </c>
      <c r="AB996" s="22">
        <v>14</v>
      </c>
      <c r="AC996" s="22">
        <f t="shared" si="164"/>
        <v>20</v>
      </c>
      <c r="AD996" s="22">
        <v>4</v>
      </c>
      <c r="AE996" s="22" t="s">
        <v>330</v>
      </c>
      <c r="AF996" s="22">
        <v>0.9</v>
      </c>
      <c r="AG996" s="22">
        <v>0.9</v>
      </c>
      <c r="AH996" s="25">
        <f t="shared" si="161"/>
        <v>924.44444444444446</v>
      </c>
      <c r="AI996" s="25">
        <f t="shared" si="162"/>
        <v>1008</v>
      </c>
      <c r="AJ996" s="21">
        <v>732.66666666666663</v>
      </c>
      <c r="AK996" s="21">
        <v>16</v>
      </c>
      <c r="AL996" s="22" t="s">
        <v>161</v>
      </c>
      <c r="AM996" s="22">
        <v>0.16</v>
      </c>
      <c r="AN996" s="22" t="s">
        <v>1364</v>
      </c>
      <c r="AO996" s="22" t="s">
        <v>1364</v>
      </c>
      <c r="AP996" s="22" t="s">
        <v>162</v>
      </c>
      <c r="AQ996" s="22" t="str">
        <f t="shared" si="157"/>
        <v>Nanophytoplankton</v>
      </c>
      <c r="AR996" s="22">
        <v>0</v>
      </c>
      <c r="AS996" s="22">
        <v>0</v>
      </c>
      <c r="AT996" s="22">
        <v>0</v>
      </c>
      <c r="AU996" s="22">
        <v>1</v>
      </c>
      <c r="AV996" s="22">
        <v>0</v>
      </c>
      <c r="AW996" s="22">
        <v>0</v>
      </c>
      <c r="AX996" s="22">
        <v>0</v>
      </c>
      <c r="AY996" s="22">
        <v>1</v>
      </c>
    </row>
    <row r="997" spans="1:57">
      <c r="A997" s="22" t="s">
        <v>2950</v>
      </c>
      <c r="B997" s="22" t="s">
        <v>663</v>
      </c>
      <c r="C997" s="22" t="s">
        <v>2223</v>
      </c>
      <c r="D997" s="22" t="s">
        <v>2224</v>
      </c>
      <c r="E997" s="23" t="s">
        <v>63</v>
      </c>
      <c r="F997" s="23" t="s">
        <v>2225</v>
      </c>
      <c r="G997" s="23" t="s">
        <v>2226</v>
      </c>
      <c r="H997" s="22" t="s">
        <v>2457</v>
      </c>
      <c r="I997" s="22" t="s">
        <v>53</v>
      </c>
      <c r="J997" s="22" t="s">
        <v>2951</v>
      </c>
      <c r="N997" s="22" t="s">
        <v>2952</v>
      </c>
      <c r="O997" s="22" t="s">
        <v>2229</v>
      </c>
      <c r="P997" s="22">
        <v>82455</v>
      </c>
      <c r="Q997" s="22">
        <v>17</v>
      </c>
      <c r="R997" s="22">
        <v>8.5</v>
      </c>
      <c r="S997" s="22">
        <v>4</v>
      </c>
      <c r="T997" s="21" t="s">
        <v>159</v>
      </c>
      <c r="U997" s="21">
        <v>1</v>
      </c>
      <c r="V997" s="21">
        <v>1</v>
      </c>
      <c r="W997" s="24">
        <f t="shared" si="158"/>
        <v>1083.0381015207467</v>
      </c>
      <c r="X997" s="24">
        <f t="shared" si="159"/>
        <v>302.48666666666668</v>
      </c>
      <c r="Y997" s="22">
        <v>4</v>
      </c>
      <c r="Z997" s="24">
        <f t="shared" si="155"/>
        <v>4332.152406082987</v>
      </c>
      <c r="AA997" s="24">
        <f t="shared" si="156"/>
        <v>1209.9466666666667</v>
      </c>
      <c r="AB997" s="22">
        <v>17</v>
      </c>
      <c r="AC997" s="22">
        <f t="shared" si="164"/>
        <v>34</v>
      </c>
      <c r="AD997" s="22">
        <v>4</v>
      </c>
      <c r="AE997" s="22" t="s">
        <v>330</v>
      </c>
      <c r="AF997" s="22">
        <v>0.8</v>
      </c>
      <c r="AG997" s="22">
        <v>0.8</v>
      </c>
      <c r="AH997" s="25">
        <f t="shared" si="161"/>
        <v>1955</v>
      </c>
      <c r="AI997" s="25">
        <f t="shared" si="162"/>
        <v>1849.6000000000001</v>
      </c>
      <c r="AJ997" s="21">
        <v>2571.1366666666668</v>
      </c>
      <c r="AK997" s="21">
        <v>16</v>
      </c>
      <c r="AL997" s="22" t="s">
        <v>161</v>
      </c>
      <c r="AM997" s="22">
        <v>0.16</v>
      </c>
      <c r="AN997" s="22" t="s">
        <v>1364</v>
      </c>
      <c r="AO997" s="22" t="s">
        <v>1364</v>
      </c>
      <c r="AP997" s="22" t="s">
        <v>162</v>
      </c>
      <c r="AQ997" s="22" t="str">
        <f t="shared" si="157"/>
        <v>Nanophytoplankton</v>
      </c>
      <c r="AR997" s="22">
        <v>0</v>
      </c>
      <c r="AS997" s="22">
        <v>0</v>
      </c>
      <c r="AT997" s="22">
        <v>0</v>
      </c>
      <c r="AU997" s="22">
        <v>1</v>
      </c>
      <c r="AV997" s="22">
        <v>0</v>
      </c>
      <c r="AW997" s="22">
        <v>0</v>
      </c>
      <c r="AX997" s="22">
        <v>0</v>
      </c>
      <c r="AY997" s="22">
        <v>1</v>
      </c>
    </row>
    <row r="998" spans="1:57">
      <c r="A998" s="22" t="s">
        <v>2953</v>
      </c>
      <c r="B998" s="22" t="s">
        <v>663</v>
      </c>
      <c r="C998" s="22" t="s">
        <v>2223</v>
      </c>
      <c r="D998" s="22" t="s">
        <v>2224</v>
      </c>
      <c r="E998" s="23" t="s">
        <v>63</v>
      </c>
      <c r="F998" s="23" t="s">
        <v>2225</v>
      </c>
      <c r="G998" s="23" t="s">
        <v>2226</v>
      </c>
      <c r="H998" s="22" t="s">
        <v>2457</v>
      </c>
      <c r="I998" s="22" t="s">
        <v>53</v>
      </c>
      <c r="J998" s="22" t="s">
        <v>2954</v>
      </c>
      <c r="N998" s="22" t="s">
        <v>2955</v>
      </c>
      <c r="O998" s="22" t="s">
        <v>2229</v>
      </c>
      <c r="P998" s="22">
        <v>82456</v>
      </c>
      <c r="Q998" s="22">
        <v>10.5</v>
      </c>
      <c r="R998" s="22">
        <v>7</v>
      </c>
      <c r="S998" s="22">
        <v>5</v>
      </c>
      <c r="T998" s="21" t="s">
        <v>159</v>
      </c>
      <c r="U998" s="21">
        <v>1</v>
      </c>
      <c r="V998" s="21">
        <v>1</v>
      </c>
      <c r="W998" s="24">
        <f t="shared" si="158"/>
        <v>628.21310646924132</v>
      </c>
      <c r="X998" s="24">
        <f t="shared" si="159"/>
        <v>192.32500000000002</v>
      </c>
      <c r="Y998" s="22">
        <v>4</v>
      </c>
      <c r="Z998" s="24">
        <f t="shared" si="155"/>
        <v>2512.8524258769653</v>
      </c>
      <c r="AA998" s="24">
        <f t="shared" si="156"/>
        <v>769.30000000000007</v>
      </c>
      <c r="AB998" s="22">
        <v>15</v>
      </c>
      <c r="AC998" s="22">
        <f t="shared" si="164"/>
        <v>28</v>
      </c>
      <c r="AD998" s="22">
        <v>5</v>
      </c>
      <c r="AE998" s="22" t="s">
        <v>330</v>
      </c>
      <c r="AF998" s="22">
        <v>0.6</v>
      </c>
      <c r="AG998" s="22">
        <v>0.6</v>
      </c>
      <c r="AH998" s="25">
        <f t="shared" si="161"/>
        <v>2116.666666666667</v>
      </c>
      <c r="AI998" s="25">
        <f t="shared" si="162"/>
        <v>1260</v>
      </c>
      <c r="AJ998" s="21">
        <v>1077.02</v>
      </c>
      <c r="AK998" s="21">
        <v>16</v>
      </c>
      <c r="AL998" s="22" t="s">
        <v>161</v>
      </c>
      <c r="AM998" s="22">
        <v>0.16</v>
      </c>
      <c r="AN998" s="22" t="s">
        <v>1364</v>
      </c>
      <c r="AO998" s="22" t="s">
        <v>1364</v>
      </c>
      <c r="AP998" s="22" t="s">
        <v>162</v>
      </c>
      <c r="AQ998" s="22" t="str">
        <f t="shared" si="157"/>
        <v>Nanophytoplankton</v>
      </c>
      <c r="AR998" s="22">
        <v>0</v>
      </c>
      <c r="AS998" s="22">
        <v>0</v>
      </c>
      <c r="AT998" s="22">
        <v>0</v>
      </c>
      <c r="AU998" s="22">
        <v>1</v>
      </c>
      <c r="AV998" s="22">
        <v>0</v>
      </c>
      <c r="AW998" s="22">
        <v>0</v>
      </c>
      <c r="AX998" s="22">
        <v>0</v>
      </c>
      <c r="AY998" s="22">
        <v>1</v>
      </c>
    </row>
    <row r="999" spans="1:57">
      <c r="A999" s="22" t="s">
        <v>2956</v>
      </c>
      <c r="B999" s="22" t="s">
        <v>663</v>
      </c>
      <c r="C999" s="22" t="s">
        <v>2223</v>
      </c>
      <c r="D999" s="22" t="s">
        <v>2224</v>
      </c>
      <c r="E999" s="23" t="s">
        <v>63</v>
      </c>
      <c r="F999" s="23" t="s">
        <v>2225</v>
      </c>
      <c r="G999" s="23" t="s">
        <v>2226</v>
      </c>
      <c r="H999" s="22" t="s">
        <v>2457</v>
      </c>
      <c r="I999" s="22" t="s">
        <v>53</v>
      </c>
      <c r="J999" s="22" t="s">
        <v>2954</v>
      </c>
      <c r="K999" s="22" t="s">
        <v>175</v>
      </c>
      <c r="L999" s="22" t="s">
        <v>2928</v>
      </c>
      <c r="N999" s="22" t="s">
        <v>2957</v>
      </c>
      <c r="O999" s="22" t="s">
        <v>2229</v>
      </c>
      <c r="P999" s="22">
        <v>82457</v>
      </c>
      <c r="Q999" s="22">
        <v>9</v>
      </c>
      <c r="R999" s="22">
        <v>5</v>
      </c>
      <c r="S999" s="22">
        <v>5</v>
      </c>
      <c r="T999" s="21" t="s">
        <v>159</v>
      </c>
      <c r="U999" s="21">
        <v>1</v>
      </c>
      <c r="V999" s="21">
        <v>1</v>
      </c>
      <c r="W999" s="24">
        <f t="shared" si="158"/>
        <v>446.78391348897986</v>
      </c>
      <c r="X999" s="24">
        <f t="shared" si="159"/>
        <v>117.75</v>
      </c>
      <c r="Y999" s="22">
        <v>4</v>
      </c>
      <c r="Z999" s="24">
        <f t="shared" si="155"/>
        <v>1787.1356539559195</v>
      </c>
      <c r="AA999" s="24">
        <f t="shared" si="156"/>
        <v>471</v>
      </c>
      <c r="AB999" s="22">
        <v>13</v>
      </c>
      <c r="AC999" s="22">
        <f t="shared" si="164"/>
        <v>20</v>
      </c>
      <c r="AD999" s="22">
        <v>5</v>
      </c>
      <c r="AE999" s="22" t="s">
        <v>330</v>
      </c>
      <c r="AF999" s="22">
        <v>0.6</v>
      </c>
      <c r="AG999" s="22">
        <v>0.6</v>
      </c>
      <c r="AH999" s="25">
        <f t="shared" si="161"/>
        <v>1416.6666666666667</v>
      </c>
      <c r="AI999" s="25">
        <f t="shared" si="162"/>
        <v>780</v>
      </c>
      <c r="AJ999" s="21">
        <v>470.99999999999994</v>
      </c>
      <c r="AK999" s="21">
        <v>20</v>
      </c>
      <c r="AL999" s="22" t="s">
        <v>161</v>
      </c>
      <c r="AM999" s="22">
        <v>0.16</v>
      </c>
      <c r="AN999" s="22" t="s">
        <v>1364</v>
      </c>
      <c r="AO999" s="22" t="s">
        <v>1364</v>
      </c>
      <c r="AP999" s="22" t="s">
        <v>162</v>
      </c>
      <c r="AQ999" s="22" t="str">
        <f t="shared" si="157"/>
        <v>Microphytoplankton</v>
      </c>
      <c r="AR999" s="22">
        <v>0</v>
      </c>
      <c r="AS999" s="22">
        <v>0</v>
      </c>
      <c r="AT999" s="22">
        <v>0</v>
      </c>
      <c r="AU999" s="22">
        <v>1</v>
      </c>
      <c r="AV999" s="22">
        <v>0</v>
      </c>
      <c r="AW999" s="22">
        <v>0</v>
      </c>
      <c r="AX999" s="22">
        <v>0</v>
      </c>
      <c r="AY999" s="22">
        <v>1</v>
      </c>
    </row>
    <row r="1000" spans="1:57">
      <c r="A1000" s="22" t="s">
        <v>2958</v>
      </c>
      <c r="B1000" s="22" t="s">
        <v>663</v>
      </c>
      <c r="C1000" s="22" t="s">
        <v>2223</v>
      </c>
      <c r="D1000" s="22" t="s">
        <v>2224</v>
      </c>
      <c r="E1000" s="23" t="s">
        <v>63</v>
      </c>
      <c r="F1000" s="23" t="s">
        <v>2225</v>
      </c>
      <c r="G1000" s="23" t="s">
        <v>2226</v>
      </c>
      <c r="H1000" s="22" t="s">
        <v>2457</v>
      </c>
      <c r="I1000" s="22" t="s">
        <v>53</v>
      </c>
      <c r="J1000" s="22" t="s">
        <v>2959</v>
      </c>
      <c r="N1000" s="22" t="s">
        <v>2960</v>
      </c>
      <c r="O1000" s="22" t="s">
        <v>2229</v>
      </c>
      <c r="P1000" s="22">
        <v>82458</v>
      </c>
      <c r="Q1000" s="22">
        <v>21</v>
      </c>
      <c r="R1000" s="22">
        <v>5</v>
      </c>
      <c r="S1000" s="22">
        <v>5</v>
      </c>
      <c r="T1000" s="21" t="s">
        <v>159</v>
      </c>
      <c r="U1000" s="21">
        <v>1</v>
      </c>
      <c r="V1000" s="21">
        <v>1</v>
      </c>
      <c r="W1000" s="24">
        <f t="shared" si="158"/>
        <v>1028.4761162527409</v>
      </c>
      <c r="X1000" s="24">
        <f t="shared" si="159"/>
        <v>274.75</v>
      </c>
      <c r="Y1000" s="22">
        <v>4</v>
      </c>
      <c r="Z1000" s="24">
        <f t="shared" si="155"/>
        <v>4113.9044650109636</v>
      </c>
      <c r="AA1000" s="24">
        <f t="shared" si="156"/>
        <v>1099</v>
      </c>
      <c r="AB1000" s="22">
        <v>26</v>
      </c>
      <c r="AC1000" s="22">
        <f t="shared" si="164"/>
        <v>20</v>
      </c>
      <c r="AD1000" s="22">
        <v>5</v>
      </c>
      <c r="AE1000" s="22" t="s">
        <v>330</v>
      </c>
      <c r="AF1000" s="22">
        <v>0.6</v>
      </c>
      <c r="AG1000" s="22">
        <v>0.6</v>
      </c>
      <c r="AH1000" s="25">
        <f t="shared" si="161"/>
        <v>2500</v>
      </c>
      <c r="AI1000" s="25">
        <f t="shared" si="162"/>
        <v>1560</v>
      </c>
      <c r="AJ1000" s="21">
        <v>1099</v>
      </c>
      <c r="AK1000" s="21">
        <v>20</v>
      </c>
      <c r="AL1000" s="22" t="s">
        <v>161</v>
      </c>
      <c r="AM1000" s="22">
        <v>0.16</v>
      </c>
      <c r="AN1000" s="22" t="s">
        <v>1364</v>
      </c>
      <c r="AO1000" s="22" t="s">
        <v>1364</v>
      </c>
      <c r="AP1000" s="22" t="s">
        <v>162</v>
      </c>
      <c r="AQ1000" s="22" t="str">
        <f t="shared" si="157"/>
        <v>Microphytoplankton</v>
      </c>
      <c r="AR1000" s="22">
        <v>0</v>
      </c>
      <c r="AS1000" s="22">
        <v>0</v>
      </c>
      <c r="AT1000" s="22">
        <v>0</v>
      </c>
      <c r="AU1000" s="22">
        <v>1</v>
      </c>
      <c r="AV1000" s="22">
        <v>0</v>
      </c>
      <c r="AW1000" s="22">
        <v>0</v>
      </c>
      <c r="AX1000" s="22">
        <v>0</v>
      </c>
      <c r="AY1000" s="22">
        <v>1</v>
      </c>
    </row>
    <row r="1001" spans="1:57">
      <c r="A1001" s="22" t="s">
        <v>2961</v>
      </c>
      <c r="B1001" s="22" t="s">
        <v>663</v>
      </c>
      <c r="C1001" s="22" t="s">
        <v>2223</v>
      </c>
      <c r="D1001" s="22" t="s">
        <v>2224</v>
      </c>
      <c r="E1001" s="23" t="s">
        <v>63</v>
      </c>
      <c r="F1001" s="23" t="s">
        <v>2225</v>
      </c>
      <c r="G1001" s="23" t="s">
        <v>2226</v>
      </c>
      <c r="H1001" s="22" t="s">
        <v>2457</v>
      </c>
      <c r="I1001" s="22" t="s">
        <v>53</v>
      </c>
      <c r="J1001" s="22" t="s">
        <v>2962</v>
      </c>
      <c r="N1001" s="22" t="s">
        <v>2963</v>
      </c>
      <c r="O1001" s="22" t="s">
        <v>2229</v>
      </c>
      <c r="P1001" s="22">
        <v>82459</v>
      </c>
      <c r="Q1001" s="22">
        <v>11.5</v>
      </c>
      <c r="R1001" s="22">
        <v>5</v>
      </c>
      <c r="S1001" s="22">
        <v>5</v>
      </c>
      <c r="T1001" s="21" t="s">
        <v>159</v>
      </c>
      <c r="U1001" s="21">
        <v>1</v>
      </c>
      <c r="V1001" s="21">
        <v>1</v>
      </c>
      <c r="W1001" s="24">
        <f t="shared" si="158"/>
        <v>567.54240483731633</v>
      </c>
      <c r="X1001" s="24">
        <f t="shared" si="159"/>
        <v>150.45833333333334</v>
      </c>
      <c r="Y1001" s="22">
        <v>8</v>
      </c>
      <c r="Z1001" s="24">
        <f t="shared" si="155"/>
        <v>4540.3392386985306</v>
      </c>
      <c r="AA1001" s="24">
        <f t="shared" si="156"/>
        <v>1203.6666666666667</v>
      </c>
      <c r="AB1001" s="22">
        <v>11.5</v>
      </c>
      <c r="AC1001" s="22">
        <f t="shared" si="164"/>
        <v>40</v>
      </c>
      <c r="AD1001" s="22">
        <v>5</v>
      </c>
      <c r="AE1001" s="22" t="s">
        <v>330</v>
      </c>
      <c r="AF1001" s="22">
        <v>0.6</v>
      </c>
      <c r="AG1001" s="22">
        <v>0.6</v>
      </c>
      <c r="AH1001" s="25">
        <f t="shared" si="161"/>
        <v>2391.666666666667</v>
      </c>
      <c r="AI1001" s="25">
        <f t="shared" si="162"/>
        <v>1380</v>
      </c>
      <c r="AJ1001" s="21">
        <v>1203.6666666666665</v>
      </c>
      <c r="AK1001" s="21">
        <v>20</v>
      </c>
      <c r="AL1001" s="22" t="s">
        <v>161</v>
      </c>
      <c r="AM1001" s="22">
        <v>0.16</v>
      </c>
      <c r="AN1001" s="22" t="s">
        <v>1364</v>
      </c>
      <c r="AO1001" s="22" t="s">
        <v>1364</v>
      </c>
      <c r="AP1001" s="22" t="s">
        <v>162</v>
      </c>
      <c r="AQ1001" s="22" t="str">
        <f t="shared" si="157"/>
        <v>Microphytoplankton</v>
      </c>
      <c r="AR1001" s="22">
        <v>0</v>
      </c>
      <c r="AS1001" s="22">
        <v>0</v>
      </c>
      <c r="AT1001" s="22">
        <v>0</v>
      </c>
      <c r="AU1001" s="22">
        <v>1</v>
      </c>
      <c r="AV1001" s="22">
        <v>0</v>
      </c>
      <c r="AW1001" s="22">
        <v>0</v>
      </c>
      <c r="AX1001" s="22">
        <v>0</v>
      </c>
      <c r="AY1001" s="22">
        <v>1</v>
      </c>
    </row>
    <row r="1002" spans="1:57">
      <c r="A1002" s="22" t="s">
        <v>2964</v>
      </c>
      <c r="B1002" s="22" t="s">
        <v>663</v>
      </c>
      <c r="C1002" s="22" t="s">
        <v>2223</v>
      </c>
      <c r="D1002" s="22" t="s">
        <v>2224</v>
      </c>
      <c r="E1002" s="23" t="s">
        <v>63</v>
      </c>
      <c r="F1002" s="23" t="s">
        <v>2225</v>
      </c>
      <c r="G1002" s="23" t="s">
        <v>2226</v>
      </c>
      <c r="H1002" s="22" t="s">
        <v>2457</v>
      </c>
      <c r="I1002" s="22" t="s">
        <v>53</v>
      </c>
      <c r="J1002" s="22" t="s">
        <v>2962</v>
      </c>
      <c r="K1002" s="22" t="s">
        <v>184</v>
      </c>
      <c r="L1002" s="22" t="s">
        <v>2962</v>
      </c>
      <c r="N1002" s="22" t="s">
        <v>1056</v>
      </c>
      <c r="O1002" s="22" t="s">
        <v>2229</v>
      </c>
      <c r="P1002" s="22">
        <v>82461</v>
      </c>
      <c r="Q1002" s="22">
        <v>11.5</v>
      </c>
      <c r="R1002" s="22">
        <v>5</v>
      </c>
      <c r="S1002" s="22">
        <v>5</v>
      </c>
      <c r="T1002" s="21" t="s">
        <v>159</v>
      </c>
      <c r="U1002" s="21">
        <v>1</v>
      </c>
      <c r="V1002" s="21">
        <v>1</v>
      </c>
      <c r="W1002" s="24">
        <f t="shared" si="158"/>
        <v>567.54240483731633</v>
      </c>
      <c r="X1002" s="24">
        <f t="shared" si="159"/>
        <v>150.45833333333334</v>
      </c>
      <c r="Y1002" s="22">
        <v>4</v>
      </c>
      <c r="Z1002" s="24">
        <f t="shared" si="155"/>
        <v>2270.1696193492653</v>
      </c>
      <c r="AA1002" s="24">
        <f t="shared" si="156"/>
        <v>601.83333333333337</v>
      </c>
      <c r="AB1002" s="22">
        <v>11.5</v>
      </c>
      <c r="AC1002" s="22">
        <f t="shared" si="164"/>
        <v>20</v>
      </c>
      <c r="AD1002" s="22">
        <v>5</v>
      </c>
      <c r="AE1002" s="22" t="s">
        <v>330</v>
      </c>
      <c r="AF1002" s="22">
        <v>0.8</v>
      </c>
      <c r="AG1002" s="22">
        <v>0.8</v>
      </c>
      <c r="AH1002" s="25">
        <f t="shared" si="161"/>
        <v>968.75</v>
      </c>
      <c r="AI1002" s="25">
        <f t="shared" si="162"/>
        <v>920</v>
      </c>
      <c r="AJ1002" s="21">
        <v>601.83333333333326</v>
      </c>
      <c r="AK1002" s="21">
        <v>20</v>
      </c>
      <c r="AL1002" s="22" t="s">
        <v>161</v>
      </c>
      <c r="AM1002" s="22">
        <v>0.16</v>
      </c>
      <c r="AN1002" s="22" t="s">
        <v>1364</v>
      </c>
      <c r="AO1002" s="22" t="s">
        <v>1364</v>
      </c>
      <c r="AP1002" s="22" t="s">
        <v>162</v>
      </c>
      <c r="AQ1002" s="22" t="str">
        <f t="shared" si="157"/>
        <v>Microphytoplankton</v>
      </c>
      <c r="AR1002" s="22">
        <v>0</v>
      </c>
      <c r="AS1002" s="22">
        <v>0</v>
      </c>
      <c r="AT1002" s="22">
        <v>0</v>
      </c>
      <c r="AU1002" s="22">
        <v>1</v>
      </c>
      <c r="AV1002" s="22">
        <v>0</v>
      </c>
      <c r="AW1002" s="22">
        <v>0</v>
      </c>
      <c r="AX1002" s="22">
        <v>0</v>
      </c>
      <c r="AY1002" s="22">
        <v>1</v>
      </c>
    </row>
    <row r="1003" spans="1:57">
      <c r="A1003" s="21" t="s">
        <v>2965</v>
      </c>
      <c r="B1003" s="22" t="s">
        <v>663</v>
      </c>
      <c r="C1003" s="22" t="s">
        <v>2223</v>
      </c>
      <c r="D1003" s="22" t="s">
        <v>2224</v>
      </c>
      <c r="E1003" s="23" t="s">
        <v>63</v>
      </c>
      <c r="F1003" s="23" t="s">
        <v>2225</v>
      </c>
      <c r="G1003" s="23" t="s">
        <v>2226</v>
      </c>
      <c r="H1003" s="22" t="s">
        <v>2457</v>
      </c>
      <c r="I1003" s="22" t="s">
        <v>53</v>
      </c>
      <c r="J1003" s="21" t="s">
        <v>2966</v>
      </c>
      <c r="K1003" s="21"/>
      <c r="L1003" s="21"/>
      <c r="N1003" s="22" t="s">
        <v>2967</v>
      </c>
      <c r="O1003" s="22" t="s">
        <v>2229</v>
      </c>
      <c r="P1003" s="21">
        <v>82460</v>
      </c>
      <c r="Q1003" s="21">
        <v>11</v>
      </c>
      <c r="R1003" s="21">
        <v>3</v>
      </c>
      <c r="S1003" s="21">
        <v>3</v>
      </c>
      <c r="T1003" s="21" t="s">
        <v>159</v>
      </c>
      <c r="U1003" s="21">
        <v>1</v>
      </c>
      <c r="V1003" s="21">
        <v>1</v>
      </c>
      <c r="W1003" s="24">
        <f t="shared" si="158"/>
        <v>326.01538022567883</v>
      </c>
      <c r="X1003" s="24">
        <f t="shared" si="159"/>
        <v>51.81</v>
      </c>
      <c r="Y1003" s="21">
        <v>4</v>
      </c>
      <c r="Z1003" s="24">
        <f t="shared" si="155"/>
        <v>1304.0615209027153</v>
      </c>
      <c r="AA1003" s="24">
        <f t="shared" si="156"/>
        <v>207.24</v>
      </c>
      <c r="AB1003" s="21">
        <v>11</v>
      </c>
      <c r="AC1003" s="22">
        <f t="shared" si="164"/>
        <v>12</v>
      </c>
      <c r="AD1003" s="21">
        <v>3</v>
      </c>
      <c r="AE1003" s="22" t="s">
        <v>330</v>
      </c>
      <c r="AF1003" s="22">
        <v>0.6</v>
      </c>
      <c r="AG1003" s="22">
        <v>0.6</v>
      </c>
      <c r="AH1003" s="25">
        <f t="shared" si="161"/>
        <v>670</v>
      </c>
      <c r="AI1003" s="25">
        <f t="shared" si="162"/>
        <v>237.6</v>
      </c>
      <c r="AJ1003" s="21">
        <v>311</v>
      </c>
      <c r="AK1003" s="21">
        <v>15</v>
      </c>
      <c r="AL1003" s="22" t="s">
        <v>161</v>
      </c>
      <c r="AM1003" s="22">
        <v>0.16</v>
      </c>
      <c r="AN1003" s="22" t="s">
        <v>1364</v>
      </c>
      <c r="AO1003" s="22" t="s">
        <v>1364</v>
      </c>
      <c r="AP1003" s="22" t="s">
        <v>162</v>
      </c>
      <c r="AQ1003" s="22" t="str">
        <f t="shared" si="157"/>
        <v>Nanophytoplankton</v>
      </c>
      <c r="AR1003" s="22">
        <v>0</v>
      </c>
      <c r="AS1003" s="22">
        <v>0</v>
      </c>
      <c r="AT1003" s="22">
        <v>0</v>
      </c>
      <c r="AU1003" s="22">
        <v>1</v>
      </c>
      <c r="AV1003" s="22">
        <v>0</v>
      </c>
      <c r="AW1003" s="22">
        <v>0</v>
      </c>
      <c r="AX1003" s="22">
        <v>0</v>
      </c>
      <c r="AY1003" s="22">
        <v>1</v>
      </c>
    </row>
    <row r="1004" spans="1:57">
      <c r="A1004" s="21" t="s">
        <v>2968</v>
      </c>
      <c r="B1004" s="22" t="s">
        <v>663</v>
      </c>
      <c r="C1004" s="22" t="s">
        <v>2223</v>
      </c>
      <c r="D1004" s="22" t="s">
        <v>2224</v>
      </c>
      <c r="E1004" s="23" t="s">
        <v>63</v>
      </c>
      <c r="F1004" s="23" t="s">
        <v>2225</v>
      </c>
      <c r="G1004" s="23" t="s">
        <v>2226</v>
      </c>
      <c r="H1004" s="22" t="s">
        <v>2457</v>
      </c>
      <c r="I1004" s="22" t="s">
        <v>53</v>
      </c>
      <c r="J1004" s="21" t="s">
        <v>2969</v>
      </c>
      <c r="K1004" s="21"/>
      <c r="L1004" s="21"/>
      <c r="N1004" s="22" t="s">
        <v>2970</v>
      </c>
      <c r="O1004" s="22" t="s">
        <v>2229</v>
      </c>
      <c r="P1004" s="21">
        <v>82520</v>
      </c>
      <c r="Q1004" s="21">
        <v>14</v>
      </c>
      <c r="R1004" s="21">
        <v>5</v>
      </c>
      <c r="S1004" s="21">
        <v>5</v>
      </c>
      <c r="T1004" s="21" t="s">
        <v>159</v>
      </c>
      <c r="U1004" s="21">
        <v>1</v>
      </c>
      <c r="V1004" s="21">
        <v>1</v>
      </c>
      <c r="W1004" s="24">
        <f t="shared" si="158"/>
        <v>688.62301324089731</v>
      </c>
      <c r="X1004" s="24">
        <f t="shared" si="159"/>
        <v>183.16666666666666</v>
      </c>
      <c r="Y1004" s="21">
        <v>4</v>
      </c>
      <c r="Z1004" s="24">
        <f t="shared" si="155"/>
        <v>2754.4920529635892</v>
      </c>
      <c r="AA1004" s="24">
        <f t="shared" si="156"/>
        <v>732.66666666666663</v>
      </c>
      <c r="AB1004" s="21">
        <v>14</v>
      </c>
      <c r="AC1004" s="22">
        <f t="shared" si="164"/>
        <v>20</v>
      </c>
      <c r="AD1004" s="21">
        <v>5</v>
      </c>
      <c r="AE1004" s="22" t="s">
        <v>330</v>
      </c>
      <c r="AF1004" s="22">
        <v>0.8</v>
      </c>
      <c r="AG1004" s="22">
        <v>0.8</v>
      </c>
      <c r="AH1004" s="25">
        <f t="shared" si="161"/>
        <v>1125</v>
      </c>
      <c r="AI1004" s="25">
        <f t="shared" si="162"/>
        <v>1120</v>
      </c>
      <c r="AJ1004" s="21">
        <v>1099.5999999999999</v>
      </c>
      <c r="AK1004" s="21">
        <v>20</v>
      </c>
      <c r="AL1004" s="22" t="s">
        <v>161</v>
      </c>
      <c r="AM1004" s="22">
        <v>0.16</v>
      </c>
      <c r="AN1004" s="22" t="s">
        <v>1364</v>
      </c>
      <c r="AO1004" s="22" t="s">
        <v>1364</v>
      </c>
      <c r="AP1004" s="22" t="s">
        <v>162</v>
      </c>
      <c r="AQ1004" s="22" t="str">
        <f t="shared" si="157"/>
        <v>Microphytoplankton</v>
      </c>
      <c r="AR1004" s="22">
        <v>0</v>
      </c>
      <c r="AS1004" s="22">
        <v>0</v>
      </c>
      <c r="AT1004" s="22">
        <v>0</v>
      </c>
      <c r="AU1004" s="22">
        <v>1</v>
      </c>
      <c r="AV1004" s="22">
        <v>0</v>
      </c>
      <c r="AW1004" s="22">
        <v>0</v>
      </c>
      <c r="AX1004" s="22">
        <v>0</v>
      </c>
      <c r="AY1004" s="22">
        <v>1</v>
      </c>
      <c r="AZ1004" s="22">
        <v>0</v>
      </c>
      <c r="BA1004" s="22">
        <v>0</v>
      </c>
      <c r="BB1004" s="22">
        <v>0</v>
      </c>
      <c r="BC1004" s="22">
        <v>2</v>
      </c>
      <c r="BD1004" s="22">
        <v>6</v>
      </c>
      <c r="BE1004" s="22">
        <v>2</v>
      </c>
    </row>
    <row r="1005" spans="1:57">
      <c r="A1005" s="22" t="s">
        <v>2971</v>
      </c>
      <c r="B1005" s="22" t="s">
        <v>663</v>
      </c>
      <c r="C1005" s="22" t="s">
        <v>2223</v>
      </c>
      <c r="D1005" s="22" t="s">
        <v>2224</v>
      </c>
      <c r="E1005" s="23" t="s">
        <v>63</v>
      </c>
      <c r="F1005" s="23" t="s">
        <v>2225</v>
      </c>
      <c r="G1005" s="23" t="s">
        <v>2226</v>
      </c>
      <c r="H1005" s="22" t="s">
        <v>2457</v>
      </c>
      <c r="I1005" s="22" t="s">
        <v>53</v>
      </c>
      <c r="J1005" s="22" t="s">
        <v>2969</v>
      </c>
      <c r="K1005" s="22" t="s">
        <v>175</v>
      </c>
      <c r="L1005" s="22" t="s">
        <v>2972</v>
      </c>
      <c r="N1005" s="22" t="s">
        <v>409</v>
      </c>
      <c r="O1005" s="22" t="s">
        <v>2229</v>
      </c>
      <c r="P1005" s="21">
        <v>82462</v>
      </c>
      <c r="Q1005" s="22">
        <v>9</v>
      </c>
      <c r="R1005" s="22">
        <v>4.5</v>
      </c>
      <c r="S1005" s="22">
        <v>4.5</v>
      </c>
      <c r="T1005" s="21" t="s">
        <v>159</v>
      </c>
      <c r="U1005" s="21">
        <v>1</v>
      </c>
      <c r="V1005" s="21">
        <v>1</v>
      </c>
      <c r="W1005" s="24">
        <f t="shared" si="158"/>
        <v>402.1055221400822</v>
      </c>
      <c r="X1005" s="24">
        <f t="shared" si="159"/>
        <v>95.377499999999998</v>
      </c>
      <c r="Y1005" s="22">
        <v>4</v>
      </c>
      <c r="Z1005" s="24">
        <f t="shared" si="155"/>
        <v>1608.4220885603288</v>
      </c>
      <c r="AA1005" s="24">
        <f t="shared" si="156"/>
        <v>381.51</v>
      </c>
      <c r="AB1005" s="22">
        <v>9</v>
      </c>
      <c r="AC1005" s="22">
        <f t="shared" si="164"/>
        <v>18</v>
      </c>
      <c r="AD1005" s="22">
        <v>4.5</v>
      </c>
      <c r="AE1005" s="22" t="s">
        <v>330</v>
      </c>
      <c r="AF1005" s="22">
        <v>0.8</v>
      </c>
      <c r="AG1005" s="22">
        <v>0.8</v>
      </c>
      <c r="AH1005" s="25">
        <f t="shared" si="161"/>
        <v>708.75</v>
      </c>
      <c r="AI1005" s="25">
        <f t="shared" si="162"/>
        <v>583.20000000000005</v>
      </c>
      <c r="AJ1005" s="21">
        <v>381.51</v>
      </c>
      <c r="AK1005" s="21">
        <v>18</v>
      </c>
      <c r="AL1005" s="22" t="s">
        <v>161</v>
      </c>
      <c r="AM1005" s="22">
        <v>0.16</v>
      </c>
      <c r="AN1005" s="22" t="s">
        <v>1364</v>
      </c>
      <c r="AO1005" s="22" t="s">
        <v>1364</v>
      </c>
      <c r="AP1005" s="22" t="s">
        <v>162</v>
      </c>
      <c r="AQ1005" s="22" t="str">
        <f t="shared" si="157"/>
        <v>Nanophytoplankton</v>
      </c>
      <c r="AR1005" s="22">
        <v>0</v>
      </c>
      <c r="AS1005" s="22">
        <v>0</v>
      </c>
      <c r="AT1005" s="22">
        <v>0</v>
      </c>
      <c r="AU1005" s="22">
        <v>1</v>
      </c>
      <c r="AV1005" s="22">
        <v>0</v>
      </c>
      <c r="AW1005" s="22">
        <v>0</v>
      </c>
      <c r="AX1005" s="22">
        <v>0</v>
      </c>
      <c r="AY1005" s="22">
        <v>1</v>
      </c>
    </row>
    <row r="1006" spans="1:57">
      <c r="A1006" s="21" t="s">
        <v>2973</v>
      </c>
      <c r="B1006" s="22" t="s">
        <v>663</v>
      </c>
      <c r="C1006" s="22" t="s">
        <v>2223</v>
      </c>
      <c r="D1006" s="22" t="s">
        <v>2224</v>
      </c>
      <c r="E1006" s="23" t="s">
        <v>63</v>
      </c>
      <c r="F1006" s="23" t="s">
        <v>2225</v>
      </c>
      <c r="G1006" s="23" t="s">
        <v>2226</v>
      </c>
      <c r="H1006" s="22" t="s">
        <v>2457</v>
      </c>
      <c r="I1006" s="22" t="s">
        <v>53</v>
      </c>
      <c r="J1006" s="22" t="s">
        <v>2969</v>
      </c>
      <c r="L1006" s="22" t="s">
        <v>245</v>
      </c>
      <c r="N1006" s="22" t="s">
        <v>2970</v>
      </c>
      <c r="O1006" s="22" t="s">
        <v>2229</v>
      </c>
      <c r="P1006" s="21">
        <v>82521</v>
      </c>
      <c r="Q1006" s="21">
        <v>14</v>
      </c>
      <c r="R1006" s="21">
        <v>5</v>
      </c>
      <c r="S1006" s="21">
        <v>5</v>
      </c>
      <c r="T1006" s="21" t="s">
        <v>159</v>
      </c>
      <c r="U1006" s="21">
        <v>1</v>
      </c>
      <c r="V1006" s="21">
        <v>1</v>
      </c>
      <c r="W1006" s="24">
        <f t="shared" si="158"/>
        <v>688.62301324089731</v>
      </c>
      <c r="X1006" s="24">
        <f t="shared" si="159"/>
        <v>183.16666666666666</v>
      </c>
      <c r="Y1006" s="22">
        <v>1</v>
      </c>
      <c r="Z1006" s="24">
        <f t="shared" si="155"/>
        <v>688.62301324089731</v>
      </c>
      <c r="AA1006" s="24">
        <f t="shared" si="156"/>
        <v>183.16666666666666</v>
      </c>
      <c r="AB1006" s="21"/>
      <c r="AD1006" s="21"/>
      <c r="AJ1006" s="21">
        <v>183.16666666666666</v>
      </c>
      <c r="AK1006" s="21">
        <v>14</v>
      </c>
      <c r="AL1006" s="22" t="s">
        <v>161</v>
      </c>
      <c r="AM1006" s="22">
        <v>0.16</v>
      </c>
      <c r="AN1006" s="22" t="s">
        <v>1364</v>
      </c>
      <c r="AO1006" s="22" t="s">
        <v>1364</v>
      </c>
      <c r="AP1006" s="22" t="s">
        <v>162</v>
      </c>
      <c r="AQ1006" s="22" t="str">
        <f t="shared" si="157"/>
        <v>Nanophytoplankton</v>
      </c>
      <c r="AR1006" s="22">
        <v>0</v>
      </c>
      <c r="AS1006" s="22">
        <v>0</v>
      </c>
      <c r="AT1006" s="22">
        <v>0</v>
      </c>
      <c r="AU1006" s="22">
        <v>1</v>
      </c>
      <c r="AV1006" s="22">
        <v>0</v>
      </c>
      <c r="AW1006" s="22">
        <v>0</v>
      </c>
      <c r="AX1006" s="22">
        <v>0</v>
      </c>
      <c r="AY1006" s="22">
        <v>1</v>
      </c>
    </row>
    <row r="1007" spans="1:57">
      <c r="A1007" s="21" t="s">
        <v>2974</v>
      </c>
      <c r="B1007" s="22" t="s">
        <v>663</v>
      </c>
      <c r="C1007" s="22" t="s">
        <v>2223</v>
      </c>
      <c r="D1007" s="22" t="s">
        <v>2224</v>
      </c>
      <c r="E1007" s="23" t="s">
        <v>63</v>
      </c>
      <c r="F1007" s="23" t="s">
        <v>2225</v>
      </c>
      <c r="G1007" s="23" t="s">
        <v>2226</v>
      </c>
      <c r="H1007" s="22" t="s">
        <v>2457</v>
      </c>
      <c r="I1007" s="22" t="s">
        <v>53</v>
      </c>
      <c r="J1007" s="21" t="s">
        <v>2975</v>
      </c>
      <c r="K1007" s="21"/>
      <c r="L1007" s="21"/>
      <c r="N1007" s="22" t="s">
        <v>2452</v>
      </c>
      <c r="O1007" s="22" t="s">
        <v>2229</v>
      </c>
      <c r="P1007" s="22">
        <v>82450</v>
      </c>
      <c r="Q1007" s="21">
        <v>13</v>
      </c>
      <c r="R1007" s="21">
        <v>6</v>
      </c>
      <c r="S1007" s="21">
        <v>6</v>
      </c>
      <c r="T1007" s="21" t="s">
        <v>159</v>
      </c>
      <c r="U1007" s="21">
        <v>1</v>
      </c>
      <c r="V1007" s="21">
        <v>1</v>
      </c>
      <c r="W1007" s="24">
        <f t="shared" si="158"/>
        <v>768.19489533228591</v>
      </c>
      <c r="X1007" s="24">
        <f t="shared" si="159"/>
        <v>244.91999999999996</v>
      </c>
      <c r="Y1007" s="21">
        <v>2</v>
      </c>
      <c r="Z1007" s="24">
        <f t="shared" si="155"/>
        <v>1536.3897906645718</v>
      </c>
      <c r="AA1007" s="24">
        <f t="shared" si="156"/>
        <v>489.83999999999992</v>
      </c>
      <c r="AB1007" s="21">
        <v>13</v>
      </c>
      <c r="AC1007" s="22">
        <f t="shared" ref="AC1007:AC1033" si="165">R1007*Y1007</f>
        <v>12</v>
      </c>
      <c r="AD1007" s="21">
        <v>6</v>
      </c>
      <c r="AE1007" s="22" t="s">
        <v>330</v>
      </c>
      <c r="AF1007" s="22">
        <v>0.8</v>
      </c>
      <c r="AG1007" s="22">
        <v>0.8</v>
      </c>
      <c r="AH1007" s="25">
        <f t="shared" ref="AH1007:AH1032" si="166">(AB1007*AC1007*2+AB1007*AD1007*2+AC1007*AD1007*2)/AG1007</f>
        <v>765</v>
      </c>
      <c r="AI1007" s="25">
        <f t="shared" ref="AI1007:AI1032" si="167">AB1007*AC1007*AD1007*AF1007</f>
        <v>748.80000000000007</v>
      </c>
      <c r="AJ1007" s="21">
        <v>490.1</v>
      </c>
      <c r="AK1007" s="21">
        <v>13</v>
      </c>
      <c r="AL1007" s="22" t="s">
        <v>161</v>
      </c>
      <c r="AM1007" s="22">
        <v>0.16</v>
      </c>
      <c r="AN1007" s="22" t="s">
        <v>1364</v>
      </c>
      <c r="AO1007" s="22" t="s">
        <v>1364</v>
      </c>
      <c r="AP1007" s="22" t="s">
        <v>162</v>
      </c>
      <c r="AQ1007" s="22" t="str">
        <f t="shared" si="157"/>
        <v>Nanophytoplankton</v>
      </c>
      <c r="AR1007" s="22">
        <v>0</v>
      </c>
      <c r="AS1007" s="22">
        <v>0</v>
      </c>
      <c r="AT1007" s="22">
        <v>0</v>
      </c>
      <c r="AU1007" s="22">
        <v>1</v>
      </c>
      <c r="AV1007" s="22">
        <v>0</v>
      </c>
      <c r="AW1007" s="22">
        <v>0</v>
      </c>
      <c r="AX1007" s="22">
        <v>0</v>
      </c>
      <c r="AY1007" s="22">
        <v>1</v>
      </c>
      <c r="AZ1007" s="22">
        <v>0</v>
      </c>
      <c r="BA1007" s="22">
        <v>0</v>
      </c>
      <c r="BB1007" s="22">
        <v>0</v>
      </c>
      <c r="BC1007" s="22">
        <v>2</v>
      </c>
      <c r="BD1007" s="22">
        <v>6</v>
      </c>
      <c r="BE1007" s="22">
        <v>2</v>
      </c>
    </row>
    <row r="1008" spans="1:57">
      <c r="A1008" s="22" t="s">
        <v>2976</v>
      </c>
      <c r="B1008" s="22" t="s">
        <v>663</v>
      </c>
      <c r="C1008" s="22" t="s">
        <v>2223</v>
      </c>
      <c r="D1008" s="22" t="s">
        <v>2224</v>
      </c>
      <c r="E1008" s="23" t="s">
        <v>63</v>
      </c>
      <c r="F1008" s="23" t="s">
        <v>2225</v>
      </c>
      <c r="G1008" s="23" t="s">
        <v>2226</v>
      </c>
      <c r="H1008" s="22" t="s">
        <v>2457</v>
      </c>
      <c r="I1008" s="22" t="s">
        <v>53</v>
      </c>
      <c r="J1008" s="22" t="s">
        <v>910</v>
      </c>
      <c r="N1008" s="22" t="s">
        <v>2765</v>
      </c>
      <c r="O1008" s="22" t="s">
        <v>2229</v>
      </c>
      <c r="P1008" s="21">
        <v>82463</v>
      </c>
      <c r="Q1008" s="22">
        <v>13</v>
      </c>
      <c r="R1008" s="22">
        <v>4.5</v>
      </c>
      <c r="S1008" s="22">
        <v>4.5</v>
      </c>
      <c r="T1008" s="21" t="s">
        <v>159</v>
      </c>
      <c r="U1008" s="21">
        <v>1</v>
      </c>
      <c r="V1008" s="21">
        <v>1</v>
      </c>
      <c r="W1008" s="24">
        <f t="shared" si="158"/>
        <v>576.14617149921457</v>
      </c>
      <c r="X1008" s="24">
        <f t="shared" si="159"/>
        <v>137.76749999999998</v>
      </c>
      <c r="Y1008" s="22">
        <v>4</v>
      </c>
      <c r="Z1008" s="24">
        <f t="shared" si="155"/>
        <v>2304.5846859968583</v>
      </c>
      <c r="AA1008" s="24">
        <f t="shared" si="156"/>
        <v>551.06999999999994</v>
      </c>
      <c r="AB1008" s="22">
        <v>13</v>
      </c>
      <c r="AC1008" s="22">
        <f t="shared" si="165"/>
        <v>18</v>
      </c>
      <c r="AD1008" s="22">
        <v>4.5</v>
      </c>
      <c r="AE1008" s="22" t="s">
        <v>330</v>
      </c>
      <c r="AF1008" s="22">
        <v>0.8</v>
      </c>
      <c r="AG1008" s="22">
        <v>0.8</v>
      </c>
      <c r="AH1008" s="25">
        <f t="shared" si="166"/>
        <v>933.75</v>
      </c>
      <c r="AI1008" s="25">
        <f t="shared" si="167"/>
        <v>842.40000000000009</v>
      </c>
      <c r="AJ1008" s="21">
        <v>551.07000000000005</v>
      </c>
      <c r="AK1008" s="21">
        <v>18</v>
      </c>
      <c r="AL1008" s="22" t="s">
        <v>161</v>
      </c>
      <c r="AM1008" s="22">
        <v>0.16</v>
      </c>
      <c r="AN1008" s="22" t="s">
        <v>1364</v>
      </c>
      <c r="AO1008" s="22" t="s">
        <v>1364</v>
      </c>
      <c r="AP1008" s="22" t="s">
        <v>162</v>
      </c>
      <c r="AQ1008" s="22" t="str">
        <f t="shared" si="157"/>
        <v>Nanophytoplankton</v>
      </c>
      <c r="AR1008" s="22">
        <v>0</v>
      </c>
      <c r="AS1008" s="22">
        <v>0</v>
      </c>
      <c r="AT1008" s="22">
        <v>0</v>
      </c>
      <c r="AU1008" s="22">
        <v>1</v>
      </c>
      <c r="AV1008" s="22">
        <v>0</v>
      </c>
      <c r="AW1008" s="22">
        <v>0</v>
      </c>
      <c r="AX1008" s="22">
        <v>0</v>
      </c>
      <c r="AY1008" s="22">
        <v>1</v>
      </c>
    </row>
    <row r="1009" spans="1:57">
      <c r="A1009" s="21" t="s">
        <v>2977</v>
      </c>
      <c r="B1009" s="22" t="s">
        <v>663</v>
      </c>
      <c r="C1009" s="22" t="s">
        <v>2223</v>
      </c>
      <c r="D1009" s="22" t="s">
        <v>2224</v>
      </c>
      <c r="E1009" s="23" t="s">
        <v>63</v>
      </c>
      <c r="F1009" s="23" t="s">
        <v>2225</v>
      </c>
      <c r="G1009" s="23" t="s">
        <v>2226</v>
      </c>
      <c r="H1009" s="22" t="s">
        <v>2457</v>
      </c>
      <c r="I1009" s="22" t="s">
        <v>53</v>
      </c>
      <c r="J1009" s="21" t="s">
        <v>2978</v>
      </c>
      <c r="K1009" s="21"/>
      <c r="L1009" s="21"/>
      <c r="N1009" s="22" t="s">
        <v>2979</v>
      </c>
      <c r="O1009" s="22" t="s">
        <v>2229</v>
      </c>
      <c r="P1009" s="22">
        <v>82596</v>
      </c>
      <c r="Q1009" s="21">
        <v>14</v>
      </c>
      <c r="R1009" s="21">
        <v>4.5999999999999996</v>
      </c>
      <c r="S1009" s="21">
        <v>4.5999999999999996</v>
      </c>
      <c r="T1009" s="21" t="s">
        <v>159</v>
      </c>
      <c r="U1009" s="21">
        <v>1</v>
      </c>
      <c r="V1009" s="21">
        <v>1</v>
      </c>
      <c r="W1009" s="24">
        <f t="shared" si="158"/>
        <v>633.53317218162533</v>
      </c>
      <c r="X1009" s="24">
        <f t="shared" si="159"/>
        <v>155.03226666666663</v>
      </c>
      <c r="Y1009" s="21">
        <v>4</v>
      </c>
      <c r="Z1009" s="24">
        <f t="shared" si="155"/>
        <v>2534.1326887265013</v>
      </c>
      <c r="AA1009" s="24">
        <f t="shared" si="156"/>
        <v>620.12906666666652</v>
      </c>
      <c r="AB1009" s="21">
        <v>14</v>
      </c>
      <c r="AC1009" s="22">
        <f t="shared" si="165"/>
        <v>18.399999999999999</v>
      </c>
      <c r="AD1009" s="21">
        <v>4.5999999999999996</v>
      </c>
      <c r="AE1009" s="22" t="s">
        <v>330</v>
      </c>
      <c r="AF1009" s="22">
        <v>0.8</v>
      </c>
      <c r="AG1009" s="22">
        <v>0.8</v>
      </c>
      <c r="AH1009" s="25">
        <f t="shared" si="166"/>
        <v>1016.5999999999998</v>
      </c>
      <c r="AI1009" s="25">
        <f t="shared" si="167"/>
        <v>947.96799999999985</v>
      </c>
      <c r="AJ1009" s="21">
        <v>930.7</v>
      </c>
      <c r="AK1009" s="21">
        <v>18.399999999999999</v>
      </c>
      <c r="AL1009" s="22" t="s">
        <v>161</v>
      </c>
      <c r="AM1009" s="22">
        <v>0.16</v>
      </c>
      <c r="AN1009" s="22" t="s">
        <v>1364</v>
      </c>
      <c r="AO1009" s="22" t="s">
        <v>1364</v>
      </c>
      <c r="AP1009" s="22" t="s">
        <v>162</v>
      </c>
      <c r="AQ1009" s="22" t="str">
        <f t="shared" si="157"/>
        <v>Nanophytoplankton</v>
      </c>
      <c r="AR1009" s="22">
        <v>0</v>
      </c>
      <c r="AS1009" s="22">
        <v>0</v>
      </c>
      <c r="AT1009" s="22">
        <v>0</v>
      </c>
      <c r="AU1009" s="22">
        <v>1</v>
      </c>
      <c r="AV1009" s="22">
        <v>0</v>
      </c>
      <c r="AW1009" s="22">
        <v>0</v>
      </c>
      <c r="AX1009" s="22">
        <v>0</v>
      </c>
      <c r="AY1009" s="22">
        <v>1</v>
      </c>
    </row>
    <row r="1010" spans="1:57">
      <c r="A1010" s="21" t="s">
        <v>2980</v>
      </c>
      <c r="B1010" s="22" t="s">
        <v>663</v>
      </c>
      <c r="C1010" s="22" t="s">
        <v>2223</v>
      </c>
      <c r="D1010" s="22" t="s">
        <v>2224</v>
      </c>
      <c r="E1010" s="23" t="s">
        <v>63</v>
      </c>
      <c r="F1010" s="23" t="s">
        <v>2225</v>
      </c>
      <c r="G1010" s="23" t="s">
        <v>2226</v>
      </c>
      <c r="H1010" s="22" t="s">
        <v>2457</v>
      </c>
      <c r="I1010" s="22" t="s">
        <v>53</v>
      </c>
      <c r="J1010" s="22" t="s">
        <v>2981</v>
      </c>
      <c r="K1010" s="21" t="s">
        <v>175</v>
      </c>
      <c r="L1010" s="21" t="s">
        <v>2982</v>
      </c>
      <c r="N1010" s="22" t="s">
        <v>2926</v>
      </c>
      <c r="O1010" s="22" t="s">
        <v>2229</v>
      </c>
      <c r="P1010" s="21">
        <v>82593</v>
      </c>
      <c r="Q1010" s="21">
        <v>9</v>
      </c>
      <c r="R1010" s="21">
        <v>3</v>
      </c>
      <c r="S1010" s="21">
        <v>3</v>
      </c>
      <c r="T1010" s="21" t="s">
        <v>159</v>
      </c>
      <c r="U1010" s="21">
        <v>1</v>
      </c>
      <c r="V1010" s="21">
        <v>1</v>
      </c>
      <c r="W1010" s="24">
        <f t="shared" si="158"/>
        <v>268.07034809338808</v>
      </c>
      <c r="X1010" s="24">
        <f t="shared" si="159"/>
        <v>42.39</v>
      </c>
      <c r="Y1010" s="21">
        <v>4</v>
      </c>
      <c r="Z1010" s="24">
        <f t="shared" si="155"/>
        <v>1072.2813923735523</v>
      </c>
      <c r="AA1010" s="24">
        <f t="shared" si="156"/>
        <v>169.56</v>
      </c>
      <c r="AB1010" s="21">
        <v>9</v>
      </c>
      <c r="AC1010" s="22">
        <f t="shared" si="165"/>
        <v>12</v>
      </c>
      <c r="AD1010" s="21">
        <v>3</v>
      </c>
      <c r="AE1010" s="22" t="s">
        <v>330</v>
      </c>
      <c r="AF1010" s="22">
        <v>0.8</v>
      </c>
      <c r="AG1010" s="22">
        <v>0.8</v>
      </c>
      <c r="AH1010" s="25">
        <f t="shared" si="166"/>
        <v>427.5</v>
      </c>
      <c r="AI1010" s="25">
        <f t="shared" si="167"/>
        <v>259.2</v>
      </c>
      <c r="AJ1010" s="21">
        <v>254.5</v>
      </c>
      <c r="AK1010" s="21">
        <v>12</v>
      </c>
      <c r="AL1010" s="22" t="s">
        <v>161</v>
      </c>
      <c r="AM1010" s="22">
        <v>0.16</v>
      </c>
      <c r="AN1010" s="22" t="s">
        <v>1364</v>
      </c>
      <c r="AO1010" s="22" t="s">
        <v>1364</v>
      </c>
      <c r="AP1010" s="22" t="s">
        <v>162</v>
      </c>
      <c r="AQ1010" s="22" t="str">
        <f t="shared" si="157"/>
        <v>Nanophytoplankton</v>
      </c>
      <c r="AR1010" s="22">
        <v>0</v>
      </c>
      <c r="AS1010" s="22">
        <v>0</v>
      </c>
      <c r="AT1010" s="22">
        <v>0</v>
      </c>
      <c r="AU1010" s="22">
        <v>1</v>
      </c>
      <c r="AV1010" s="22">
        <v>0</v>
      </c>
      <c r="AW1010" s="22">
        <v>0</v>
      </c>
      <c r="AX1010" s="22">
        <v>0</v>
      </c>
      <c r="AY1010" s="22">
        <v>1</v>
      </c>
      <c r="AZ1010" s="22">
        <v>0</v>
      </c>
      <c r="BA1010" s="22">
        <v>0</v>
      </c>
      <c r="BB1010" s="22">
        <v>0</v>
      </c>
      <c r="BC1010" s="22">
        <v>2</v>
      </c>
      <c r="BD1010" s="22">
        <v>6</v>
      </c>
      <c r="BE1010" s="22">
        <v>2</v>
      </c>
    </row>
    <row r="1011" spans="1:57">
      <c r="A1011" s="21" t="s">
        <v>2983</v>
      </c>
      <c r="B1011" s="22" t="s">
        <v>663</v>
      </c>
      <c r="C1011" s="22" t="s">
        <v>2223</v>
      </c>
      <c r="D1011" s="22" t="s">
        <v>2224</v>
      </c>
      <c r="E1011" s="23" t="s">
        <v>63</v>
      </c>
      <c r="F1011" s="23" t="s">
        <v>2225</v>
      </c>
      <c r="G1011" s="23" t="s">
        <v>2226</v>
      </c>
      <c r="H1011" s="22" t="s">
        <v>2457</v>
      </c>
      <c r="I1011" s="22" t="s">
        <v>53</v>
      </c>
      <c r="J1011" s="22" t="s">
        <v>2981</v>
      </c>
      <c r="K1011" s="21" t="s">
        <v>175</v>
      </c>
      <c r="L1011" s="21" t="s">
        <v>2981</v>
      </c>
      <c r="N1011" s="22" t="s">
        <v>1056</v>
      </c>
      <c r="O1011" s="22" t="s">
        <v>2229</v>
      </c>
      <c r="P1011" s="21">
        <v>82590</v>
      </c>
      <c r="Q1011" s="21">
        <v>14</v>
      </c>
      <c r="R1011" s="21">
        <v>5</v>
      </c>
      <c r="S1011" s="21">
        <v>5</v>
      </c>
      <c r="T1011" s="21" t="s">
        <v>159</v>
      </c>
      <c r="U1011" s="21">
        <v>1</v>
      </c>
      <c r="V1011" s="21">
        <v>1</v>
      </c>
      <c r="W1011" s="24">
        <f t="shared" si="158"/>
        <v>688.62301324089731</v>
      </c>
      <c r="X1011" s="24">
        <f t="shared" si="159"/>
        <v>183.16666666666666</v>
      </c>
      <c r="Y1011" s="21">
        <v>4</v>
      </c>
      <c r="Z1011" s="24">
        <f t="shared" si="155"/>
        <v>2754.4920529635892</v>
      </c>
      <c r="AA1011" s="24">
        <f t="shared" si="156"/>
        <v>732.66666666666663</v>
      </c>
      <c r="AB1011" s="21">
        <v>14</v>
      </c>
      <c r="AC1011" s="22">
        <f t="shared" si="165"/>
        <v>20</v>
      </c>
      <c r="AD1011" s="21">
        <v>5</v>
      </c>
      <c r="AE1011" s="22" t="s">
        <v>330</v>
      </c>
      <c r="AF1011" s="22">
        <v>0.8</v>
      </c>
      <c r="AG1011" s="22">
        <v>0.8</v>
      </c>
      <c r="AH1011" s="25">
        <f t="shared" si="166"/>
        <v>1125</v>
      </c>
      <c r="AI1011" s="25">
        <f t="shared" si="167"/>
        <v>1120</v>
      </c>
      <c r="AJ1011" s="21">
        <v>1099.5999999999999</v>
      </c>
      <c r="AK1011" s="21">
        <v>20</v>
      </c>
      <c r="AL1011" s="22" t="s">
        <v>161</v>
      </c>
      <c r="AM1011" s="22">
        <v>0.16</v>
      </c>
      <c r="AN1011" s="22" t="s">
        <v>1364</v>
      </c>
      <c r="AO1011" s="22" t="s">
        <v>1364</v>
      </c>
      <c r="AP1011" s="22" t="s">
        <v>162</v>
      </c>
      <c r="AQ1011" s="22" t="str">
        <f t="shared" si="157"/>
        <v>Microphytoplankton</v>
      </c>
      <c r="AR1011" s="22">
        <v>0</v>
      </c>
      <c r="AS1011" s="22">
        <v>0</v>
      </c>
      <c r="AT1011" s="22">
        <v>0</v>
      </c>
      <c r="AU1011" s="22">
        <v>1</v>
      </c>
      <c r="AV1011" s="22">
        <v>0</v>
      </c>
      <c r="AW1011" s="22">
        <v>0</v>
      </c>
      <c r="AX1011" s="22">
        <v>0</v>
      </c>
      <c r="AY1011" s="22">
        <v>1</v>
      </c>
      <c r="AZ1011" s="22">
        <v>0</v>
      </c>
      <c r="BA1011" s="22">
        <v>0</v>
      </c>
      <c r="BB1011" s="22">
        <v>0</v>
      </c>
      <c r="BC1011" s="22">
        <v>2</v>
      </c>
      <c r="BD1011" s="22">
        <v>6</v>
      </c>
      <c r="BE1011" s="22">
        <v>2</v>
      </c>
    </row>
    <row r="1012" spans="1:57">
      <c r="A1012" s="22" t="s">
        <v>2984</v>
      </c>
      <c r="B1012" s="22" t="s">
        <v>663</v>
      </c>
      <c r="C1012" s="22" t="s">
        <v>2223</v>
      </c>
      <c r="D1012" s="22" t="s">
        <v>2224</v>
      </c>
      <c r="E1012" s="23" t="s">
        <v>63</v>
      </c>
      <c r="F1012" s="23" t="s">
        <v>2225</v>
      </c>
      <c r="G1012" s="23" t="s">
        <v>2226</v>
      </c>
      <c r="H1012" s="22" t="s">
        <v>2457</v>
      </c>
      <c r="I1012" s="22" t="s">
        <v>53</v>
      </c>
      <c r="J1012" s="22" t="s">
        <v>2981</v>
      </c>
      <c r="K1012" s="22" t="s">
        <v>175</v>
      </c>
      <c r="L1012" s="22" t="s">
        <v>2922</v>
      </c>
      <c r="N1012" s="22" t="s">
        <v>2926</v>
      </c>
      <c r="O1012" s="22" t="s">
        <v>2229</v>
      </c>
      <c r="P1012" s="21">
        <v>82464</v>
      </c>
      <c r="Q1012" s="22">
        <v>8</v>
      </c>
      <c r="R1012" s="22">
        <v>4</v>
      </c>
      <c r="S1012" s="22">
        <v>4</v>
      </c>
      <c r="T1012" s="21" t="s">
        <v>159</v>
      </c>
      <c r="U1012" s="21">
        <v>1</v>
      </c>
      <c r="V1012" s="21">
        <v>1</v>
      </c>
      <c r="W1012" s="24">
        <f t="shared" si="158"/>
        <v>318.9006424569489</v>
      </c>
      <c r="X1012" s="24">
        <f t="shared" si="159"/>
        <v>66.986666666666665</v>
      </c>
      <c r="Y1012" s="22">
        <v>4</v>
      </c>
      <c r="Z1012" s="24">
        <f t="shared" si="155"/>
        <v>1275.6025698277956</v>
      </c>
      <c r="AA1012" s="24">
        <f t="shared" si="156"/>
        <v>267.94666666666666</v>
      </c>
      <c r="AB1012" s="22">
        <v>8</v>
      </c>
      <c r="AC1012" s="22">
        <f t="shared" si="165"/>
        <v>16</v>
      </c>
      <c r="AD1012" s="22">
        <v>4</v>
      </c>
      <c r="AE1012" s="22" t="s">
        <v>330</v>
      </c>
      <c r="AF1012" s="22">
        <v>0.8</v>
      </c>
      <c r="AG1012" s="22">
        <v>0.8</v>
      </c>
      <c r="AH1012" s="25">
        <f t="shared" si="166"/>
        <v>560</v>
      </c>
      <c r="AI1012" s="25">
        <f t="shared" si="167"/>
        <v>409.6</v>
      </c>
      <c r="AJ1012" s="21">
        <v>267.94666666666666</v>
      </c>
      <c r="AK1012" s="21">
        <v>16</v>
      </c>
      <c r="AL1012" s="22" t="s">
        <v>161</v>
      </c>
      <c r="AM1012" s="22">
        <v>0.16</v>
      </c>
      <c r="AN1012" s="22" t="s">
        <v>1364</v>
      </c>
      <c r="AO1012" s="22" t="s">
        <v>1364</v>
      </c>
      <c r="AP1012" s="22" t="s">
        <v>162</v>
      </c>
      <c r="AQ1012" s="22" t="str">
        <f t="shared" si="157"/>
        <v>Nanophytoplankton</v>
      </c>
      <c r="AR1012" s="22">
        <v>0</v>
      </c>
      <c r="AS1012" s="22">
        <v>0</v>
      </c>
      <c r="AT1012" s="22">
        <v>0</v>
      </c>
      <c r="AU1012" s="22">
        <v>1</v>
      </c>
      <c r="AV1012" s="22">
        <v>0</v>
      </c>
      <c r="AW1012" s="22">
        <v>0</v>
      </c>
      <c r="AX1012" s="22">
        <v>0</v>
      </c>
      <c r="AY1012" s="22">
        <v>1</v>
      </c>
    </row>
    <row r="1013" spans="1:57">
      <c r="A1013" s="22" t="s">
        <v>2983</v>
      </c>
      <c r="B1013" s="22" t="s">
        <v>663</v>
      </c>
      <c r="C1013" s="22" t="s">
        <v>2223</v>
      </c>
      <c r="D1013" s="22" t="s">
        <v>2224</v>
      </c>
      <c r="E1013" s="23" t="s">
        <v>63</v>
      </c>
      <c r="F1013" s="23" t="s">
        <v>2225</v>
      </c>
      <c r="G1013" s="23" t="s">
        <v>2226</v>
      </c>
      <c r="H1013" s="22" t="s">
        <v>2457</v>
      </c>
      <c r="I1013" s="22" t="s">
        <v>53</v>
      </c>
      <c r="J1013" s="22" t="s">
        <v>2981</v>
      </c>
      <c r="K1013" s="22" t="s">
        <v>175</v>
      </c>
      <c r="L1013" s="22" t="s">
        <v>2981</v>
      </c>
      <c r="N1013" s="22" t="s">
        <v>1056</v>
      </c>
      <c r="O1013" s="22" t="s">
        <v>2229</v>
      </c>
      <c r="P1013" s="21">
        <v>82465</v>
      </c>
      <c r="Q1013" s="22">
        <v>18</v>
      </c>
      <c r="R1013" s="22">
        <v>5.5</v>
      </c>
      <c r="S1013" s="22">
        <v>4</v>
      </c>
      <c r="T1013" s="21" t="s">
        <v>159</v>
      </c>
      <c r="U1013" s="21">
        <v>1</v>
      </c>
      <c r="V1013" s="21">
        <v>1</v>
      </c>
      <c r="W1013" s="24">
        <f t="shared" si="158"/>
        <v>844.85180444943785</v>
      </c>
      <c r="X1013" s="24">
        <f t="shared" si="159"/>
        <v>207.24</v>
      </c>
      <c r="Y1013" s="22">
        <v>4</v>
      </c>
      <c r="Z1013" s="24">
        <f t="shared" si="155"/>
        <v>3379.4072177977514</v>
      </c>
      <c r="AA1013" s="24">
        <f t="shared" si="156"/>
        <v>828.96</v>
      </c>
      <c r="AB1013" s="22">
        <v>18</v>
      </c>
      <c r="AC1013" s="22">
        <f t="shared" si="165"/>
        <v>22</v>
      </c>
      <c r="AD1013" s="22">
        <v>4</v>
      </c>
      <c r="AE1013" s="22" t="s">
        <v>330</v>
      </c>
      <c r="AF1013" s="22">
        <v>0.8</v>
      </c>
      <c r="AG1013" s="22">
        <v>0.8</v>
      </c>
      <c r="AH1013" s="25">
        <f t="shared" si="166"/>
        <v>1390</v>
      </c>
      <c r="AI1013" s="25">
        <f t="shared" si="167"/>
        <v>1267.2</v>
      </c>
      <c r="AJ1013" s="21">
        <v>1139.82</v>
      </c>
      <c r="AK1013" s="21">
        <v>22</v>
      </c>
      <c r="AL1013" s="22" t="s">
        <v>161</v>
      </c>
      <c r="AM1013" s="22">
        <v>0.16</v>
      </c>
      <c r="AN1013" s="22" t="s">
        <v>1364</v>
      </c>
      <c r="AO1013" s="22" t="s">
        <v>1364</v>
      </c>
      <c r="AP1013" s="22" t="s">
        <v>162</v>
      </c>
      <c r="AQ1013" s="22" t="str">
        <f t="shared" si="157"/>
        <v>Microphytoplankton</v>
      </c>
      <c r="AR1013" s="22">
        <v>0</v>
      </c>
      <c r="AS1013" s="22">
        <v>0</v>
      </c>
      <c r="AT1013" s="22">
        <v>0</v>
      </c>
      <c r="AU1013" s="22">
        <v>1</v>
      </c>
      <c r="AV1013" s="22">
        <v>0</v>
      </c>
      <c r="AW1013" s="22">
        <v>0</v>
      </c>
      <c r="AX1013" s="22">
        <v>0</v>
      </c>
      <c r="AY1013" s="22">
        <v>1</v>
      </c>
    </row>
    <row r="1014" spans="1:57">
      <c r="A1014" s="22" t="s">
        <v>2985</v>
      </c>
      <c r="B1014" s="22" t="s">
        <v>663</v>
      </c>
      <c r="C1014" s="22" t="s">
        <v>2223</v>
      </c>
      <c r="D1014" s="22" t="s">
        <v>2224</v>
      </c>
      <c r="E1014" s="23" t="s">
        <v>63</v>
      </c>
      <c r="F1014" s="23" t="s">
        <v>2225</v>
      </c>
      <c r="G1014" s="23" t="s">
        <v>2226</v>
      </c>
      <c r="H1014" s="22" t="s">
        <v>2457</v>
      </c>
      <c r="I1014" s="22" t="s">
        <v>53</v>
      </c>
      <c r="J1014" s="22" t="s">
        <v>2986</v>
      </c>
      <c r="N1014" s="22" t="s">
        <v>2987</v>
      </c>
      <c r="O1014" s="22" t="s">
        <v>2229</v>
      </c>
      <c r="P1014" s="21">
        <v>82466</v>
      </c>
      <c r="Q1014" s="22">
        <v>10</v>
      </c>
      <c r="R1014" s="22">
        <v>4</v>
      </c>
      <c r="S1014" s="22">
        <v>4</v>
      </c>
      <c r="T1014" s="21" t="s">
        <v>159</v>
      </c>
      <c r="U1014" s="21">
        <v>1</v>
      </c>
      <c r="V1014" s="21">
        <v>1</v>
      </c>
      <c r="W1014" s="24">
        <f t="shared" si="158"/>
        <v>396.02854005130428</v>
      </c>
      <c r="X1014" s="24">
        <f t="shared" si="159"/>
        <v>83.733333333333334</v>
      </c>
      <c r="Y1014" s="22">
        <v>4</v>
      </c>
      <c r="Z1014" s="24">
        <f t="shared" si="155"/>
        <v>1584.1141602052171</v>
      </c>
      <c r="AA1014" s="24">
        <f t="shared" si="156"/>
        <v>334.93333333333334</v>
      </c>
      <c r="AB1014" s="22">
        <v>10</v>
      </c>
      <c r="AC1014" s="22">
        <f t="shared" si="165"/>
        <v>16</v>
      </c>
      <c r="AD1014" s="22">
        <v>4</v>
      </c>
      <c r="AE1014" s="22" t="s">
        <v>330</v>
      </c>
      <c r="AF1014" s="22">
        <v>0.8</v>
      </c>
      <c r="AG1014" s="22">
        <v>0.8</v>
      </c>
      <c r="AH1014" s="25">
        <f t="shared" si="166"/>
        <v>660</v>
      </c>
      <c r="AI1014" s="25">
        <f t="shared" si="167"/>
        <v>512</v>
      </c>
      <c r="AJ1014" s="21">
        <v>334.93333333333334</v>
      </c>
      <c r="AK1014" s="21">
        <v>16</v>
      </c>
      <c r="AL1014" s="22" t="s">
        <v>161</v>
      </c>
      <c r="AM1014" s="22">
        <v>0.16</v>
      </c>
      <c r="AN1014" s="22" t="s">
        <v>1364</v>
      </c>
      <c r="AO1014" s="22" t="s">
        <v>1364</v>
      </c>
      <c r="AP1014" s="22" t="s">
        <v>162</v>
      </c>
      <c r="AQ1014" s="22" t="str">
        <f t="shared" si="157"/>
        <v>Nanophytoplankton</v>
      </c>
      <c r="AR1014" s="22">
        <v>0</v>
      </c>
      <c r="AS1014" s="22">
        <v>0</v>
      </c>
      <c r="AT1014" s="22">
        <v>0</v>
      </c>
      <c r="AU1014" s="22">
        <v>1</v>
      </c>
      <c r="AV1014" s="22">
        <v>0</v>
      </c>
      <c r="AW1014" s="22">
        <v>0</v>
      </c>
      <c r="AX1014" s="22">
        <v>0</v>
      </c>
      <c r="AY1014" s="22">
        <v>1</v>
      </c>
    </row>
    <row r="1015" spans="1:57">
      <c r="A1015" s="22" t="s">
        <v>2988</v>
      </c>
      <c r="B1015" s="22" t="s">
        <v>663</v>
      </c>
      <c r="C1015" s="22" t="s">
        <v>2223</v>
      </c>
      <c r="D1015" s="22" t="s">
        <v>2224</v>
      </c>
      <c r="E1015" s="23" t="s">
        <v>63</v>
      </c>
      <c r="F1015" s="23" t="s">
        <v>2225</v>
      </c>
      <c r="G1015" s="23" t="s">
        <v>2226</v>
      </c>
      <c r="H1015" s="22" t="s">
        <v>2457</v>
      </c>
      <c r="I1015" s="22" t="s">
        <v>53</v>
      </c>
      <c r="J1015" s="22" t="s">
        <v>2986</v>
      </c>
      <c r="K1015" s="22" t="s">
        <v>175</v>
      </c>
      <c r="L1015" s="22" t="s">
        <v>2989</v>
      </c>
      <c r="N1015" s="22" t="s">
        <v>2990</v>
      </c>
      <c r="O1015" s="22" t="s">
        <v>2229</v>
      </c>
      <c r="P1015" s="21">
        <v>82467</v>
      </c>
      <c r="Q1015" s="22">
        <v>11.5</v>
      </c>
      <c r="R1015" s="22">
        <v>4.5</v>
      </c>
      <c r="S1015" s="22">
        <v>4.5</v>
      </c>
      <c r="T1015" s="21" t="s">
        <v>159</v>
      </c>
      <c r="U1015" s="21">
        <v>1</v>
      </c>
      <c r="V1015" s="21">
        <v>1</v>
      </c>
      <c r="W1015" s="24">
        <f t="shared" si="158"/>
        <v>510.78816435358465</v>
      </c>
      <c r="X1015" s="24">
        <f t="shared" si="159"/>
        <v>121.87125</v>
      </c>
      <c r="Y1015" s="22">
        <v>4</v>
      </c>
      <c r="Z1015" s="24">
        <f t="shared" si="155"/>
        <v>2043.1526574143386</v>
      </c>
      <c r="AA1015" s="24">
        <f t="shared" si="156"/>
        <v>487.48500000000001</v>
      </c>
      <c r="AB1015" s="22">
        <v>11.5</v>
      </c>
      <c r="AC1015" s="22">
        <f t="shared" si="165"/>
        <v>18</v>
      </c>
      <c r="AD1015" s="22">
        <v>4.5</v>
      </c>
      <c r="AE1015" s="22" t="s">
        <v>330</v>
      </c>
      <c r="AF1015" s="22">
        <v>0.8</v>
      </c>
      <c r="AG1015" s="22">
        <v>0.8</v>
      </c>
      <c r="AH1015" s="25">
        <f t="shared" si="166"/>
        <v>849.375</v>
      </c>
      <c r="AI1015" s="25">
        <f t="shared" si="167"/>
        <v>745.2</v>
      </c>
      <c r="AJ1015" s="21">
        <v>487.48500000000001</v>
      </c>
      <c r="AK1015" s="21">
        <v>16</v>
      </c>
      <c r="AL1015" s="22" t="s">
        <v>161</v>
      </c>
      <c r="AM1015" s="22">
        <v>0.16</v>
      </c>
      <c r="AN1015" s="22" t="s">
        <v>1364</v>
      </c>
      <c r="AO1015" s="22" t="s">
        <v>1364</v>
      </c>
      <c r="AP1015" s="22" t="s">
        <v>162</v>
      </c>
      <c r="AQ1015" s="22" t="str">
        <f t="shared" si="157"/>
        <v>Nanophytoplankton</v>
      </c>
      <c r="AR1015" s="22">
        <v>0</v>
      </c>
      <c r="AS1015" s="22">
        <v>0</v>
      </c>
      <c r="AT1015" s="22">
        <v>0</v>
      </c>
      <c r="AU1015" s="22">
        <v>1</v>
      </c>
      <c r="AV1015" s="22">
        <v>0</v>
      </c>
      <c r="AW1015" s="22">
        <v>0</v>
      </c>
      <c r="AX1015" s="22">
        <v>0</v>
      </c>
      <c r="AY1015" s="22">
        <v>1</v>
      </c>
    </row>
    <row r="1016" spans="1:57">
      <c r="A1016" s="21" t="s">
        <v>2991</v>
      </c>
      <c r="B1016" s="22" t="s">
        <v>663</v>
      </c>
      <c r="C1016" s="22" t="s">
        <v>2223</v>
      </c>
      <c r="D1016" s="22" t="s">
        <v>2224</v>
      </c>
      <c r="E1016" s="23" t="s">
        <v>63</v>
      </c>
      <c r="F1016" s="23" t="s">
        <v>2225</v>
      </c>
      <c r="G1016" s="23" t="s">
        <v>2226</v>
      </c>
      <c r="H1016" s="22" t="s">
        <v>2457</v>
      </c>
      <c r="I1016" s="22" t="s">
        <v>53</v>
      </c>
      <c r="J1016" s="21" t="s">
        <v>2025</v>
      </c>
      <c r="K1016" s="21"/>
      <c r="L1016" s="21"/>
      <c r="N1016" s="22" t="s">
        <v>2763</v>
      </c>
      <c r="O1016" s="22" t="s">
        <v>2229</v>
      </c>
      <c r="P1016" s="21">
        <v>82591</v>
      </c>
      <c r="Q1016" s="21">
        <v>12</v>
      </c>
      <c r="R1016" s="21">
        <v>5</v>
      </c>
      <c r="S1016" s="21">
        <v>5</v>
      </c>
      <c r="T1016" s="21" t="s">
        <v>159</v>
      </c>
      <c r="U1016" s="21">
        <v>1</v>
      </c>
      <c r="V1016" s="21">
        <v>1</v>
      </c>
      <c r="W1016" s="24">
        <f t="shared" si="158"/>
        <v>591.73828554733586</v>
      </c>
      <c r="X1016" s="24">
        <f t="shared" si="159"/>
        <v>157</v>
      </c>
      <c r="Y1016" s="21">
        <v>8</v>
      </c>
      <c r="Z1016" s="24">
        <f t="shared" si="155"/>
        <v>4733.9062843786869</v>
      </c>
      <c r="AA1016" s="24">
        <f t="shared" si="156"/>
        <v>1256</v>
      </c>
      <c r="AB1016" s="21">
        <v>12</v>
      </c>
      <c r="AC1016" s="22">
        <f t="shared" si="165"/>
        <v>40</v>
      </c>
      <c r="AD1016" s="21">
        <v>5</v>
      </c>
      <c r="AE1016" s="22" t="s">
        <v>330</v>
      </c>
      <c r="AF1016" s="22">
        <v>0.8</v>
      </c>
      <c r="AG1016" s="22">
        <v>0.8</v>
      </c>
      <c r="AH1016" s="25">
        <f t="shared" si="166"/>
        <v>1850</v>
      </c>
      <c r="AI1016" s="25">
        <f t="shared" si="167"/>
        <v>1920</v>
      </c>
      <c r="AJ1016" s="21">
        <v>1885</v>
      </c>
      <c r="AK1016" s="21">
        <v>40</v>
      </c>
      <c r="AL1016" s="22" t="s">
        <v>161</v>
      </c>
      <c r="AM1016" s="22">
        <v>0.16</v>
      </c>
      <c r="AN1016" s="22" t="s">
        <v>1364</v>
      </c>
      <c r="AO1016" s="22" t="s">
        <v>1364</v>
      </c>
      <c r="AP1016" s="22" t="s">
        <v>162</v>
      </c>
      <c r="AQ1016" s="22" t="str">
        <f t="shared" si="157"/>
        <v>Microphytoplankton</v>
      </c>
      <c r="AR1016" s="22">
        <v>0</v>
      </c>
      <c r="AS1016" s="22">
        <v>0</v>
      </c>
      <c r="AT1016" s="22">
        <v>0</v>
      </c>
      <c r="AU1016" s="22">
        <v>1</v>
      </c>
      <c r="AV1016" s="22">
        <v>0</v>
      </c>
      <c r="AW1016" s="22">
        <v>0</v>
      </c>
      <c r="AX1016" s="22">
        <v>0</v>
      </c>
      <c r="AY1016" s="22">
        <v>1</v>
      </c>
      <c r="AZ1016" s="22">
        <v>0</v>
      </c>
      <c r="BA1016" s="22">
        <v>0</v>
      </c>
      <c r="BB1016" s="22">
        <v>1</v>
      </c>
      <c r="BC1016" s="22">
        <v>5</v>
      </c>
      <c r="BD1016" s="22">
        <v>3</v>
      </c>
      <c r="BE1016" s="22">
        <v>1</v>
      </c>
    </row>
    <row r="1017" spans="1:57">
      <c r="A1017" s="22" t="s">
        <v>2992</v>
      </c>
      <c r="B1017" s="22" t="s">
        <v>663</v>
      </c>
      <c r="C1017" s="22" t="s">
        <v>2223</v>
      </c>
      <c r="D1017" s="22" t="s">
        <v>2224</v>
      </c>
      <c r="E1017" s="23" t="s">
        <v>63</v>
      </c>
      <c r="F1017" s="23" t="s">
        <v>2225</v>
      </c>
      <c r="G1017" s="23" t="s">
        <v>2226</v>
      </c>
      <c r="H1017" s="22" t="s">
        <v>2457</v>
      </c>
      <c r="I1017" s="22" t="s">
        <v>53</v>
      </c>
      <c r="J1017" s="22" t="s">
        <v>2517</v>
      </c>
      <c r="N1017" s="22" t="s">
        <v>2993</v>
      </c>
      <c r="O1017" s="22" t="s">
        <v>2229</v>
      </c>
      <c r="P1017" s="21">
        <v>82468</v>
      </c>
      <c r="Q1017" s="22">
        <v>10.5</v>
      </c>
      <c r="R1017" s="22">
        <v>3</v>
      </c>
      <c r="S1017" s="22">
        <v>3</v>
      </c>
      <c r="T1017" s="21" t="s">
        <v>159</v>
      </c>
      <c r="U1017" s="21">
        <v>1</v>
      </c>
      <c r="V1017" s="21">
        <v>1</v>
      </c>
      <c r="W1017" s="24">
        <f t="shared" si="158"/>
        <v>311.51368236576354</v>
      </c>
      <c r="X1017" s="24">
        <f t="shared" si="159"/>
        <v>49.454999999999998</v>
      </c>
      <c r="Y1017" s="22">
        <v>4</v>
      </c>
      <c r="Z1017" s="24">
        <f t="shared" si="155"/>
        <v>1246.0547294630542</v>
      </c>
      <c r="AA1017" s="24">
        <f t="shared" si="156"/>
        <v>197.82</v>
      </c>
      <c r="AB1017" s="22">
        <v>10.5</v>
      </c>
      <c r="AC1017" s="22">
        <f t="shared" si="165"/>
        <v>12</v>
      </c>
      <c r="AD1017" s="22">
        <v>3</v>
      </c>
      <c r="AE1017" s="22" t="s">
        <v>330</v>
      </c>
      <c r="AF1017" s="22">
        <v>0.7</v>
      </c>
      <c r="AG1017" s="22">
        <v>0.7</v>
      </c>
      <c r="AH1017" s="25">
        <f t="shared" si="166"/>
        <v>552.85714285714289</v>
      </c>
      <c r="AI1017" s="25">
        <f t="shared" si="167"/>
        <v>264.59999999999997</v>
      </c>
      <c r="AJ1017" s="21">
        <v>197.82</v>
      </c>
      <c r="AK1017" s="21">
        <v>12</v>
      </c>
      <c r="AL1017" s="22" t="s">
        <v>161</v>
      </c>
      <c r="AM1017" s="22">
        <v>0.16</v>
      </c>
      <c r="AN1017" s="22" t="s">
        <v>1364</v>
      </c>
      <c r="AO1017" s="22" t="s">
        <v>1364</v>
      </c>
      <c r="AP1017" s="22" t="s">
        <v>162</v>
      </c>
      <c r="AQ1017" s="22" t="str">
        <f t="shared" si="157"/>
        <v>Nanophytoplankton</v>
      </c>
      <c r="AR1017" s="22">
        <v>0</v>
      </c>
      <c r="AS1017" s="22">
        <v>0</v>
      </c>
      <c r="AT1017" s="22">
        <v>0</v>
      </c>
      <c r="AU1017" s="22">
        <v>1</v>
      </c>
      <c r="AV1017" s="22">
        <v>0</v>
      </c>
      <c r="AW1017" s="22">
        <v>0</v>
      </c>
      <c r="AX1017" s="22">
        <v>0</v>
      </c>
      <c r="AY1017" s="22">
        <v>1</v>
      </c>
    </row>
    <row r="1018" spans="1:57">
      <c r="A1018" s="22" t="s">
        <v>2994</v>
      </c>
      <c r="B1018" s="22" t="s">
        <v>663</v>
      </c>
      <c r="C1018" s="22" t="s">
        <v>2223</v>
      </c>
      <c r="D1018" s="22" t="s">
        <v>2224</v>
      </c>
      <c r="E1018" s="23" t="s">
        <v>63</v>
      </c>
      <c r="F1018" s="23" t="s">
        <v>2225</v>
      </c>
      <c r="G1018" s="23" t="s">
        <v>2226</v>
      </c>
      <c r="H1018" s="22" t="s">
        <v>2457</v>
      </c>
      <c r="I1018" s="22" t="s">
        <v>53</v>
      </c>
      <c r="J1018" s="22" t="s">
        <v>2995</v>
      </c>
      <c r="N1018" s="22" t="s">
        <v>501</v>
      </c>
      <c r="O1018" s="22" t="s">
        <v>2229</v>
      </c>
      <c r="P1018" s="21">
        <v>82469</v>
      </c>
      <c r="Q1018" s="22">
        <v>24</v>
      </c>
      <c r="R1018" s="22">
        <v>9</v>
      </c>
      <c r="S1018" s="22">
        <v>5</v>
      </c>
      <c r="T1018" s="21" t="s">
        <v>159</v>
      </c>
      <c r="U1018" s="21">
        <v>1</v>
      </c>
      <c r="V1018" s="21">
        <v>1</v>
      </c>
      <c r="W1018" s="24">
        <f t="shared" si="158"/>
        <v>1684.1832842446765</v>
      </c>
      <c r="X1018" s="24">
        <f t="shared" si="159"/>
        <v>565.19999999999993</v>
      </c>
      <c r="Y1018" s="22">
        <v>4</v>
      </c>
      <c r="Z1018" s="24">
        <f t="shared" si="155"/>
        <v>6736.7331369787062</v>
      </c>
      <c r="AA1018" s="24">
        <f t="shared" si="156"/>
        <v>2260.7999999999997</v>
      </c>
      <c r="AB1018" s="22">
        <v>24</v>
      </c>
      <c r="AC1018" s="22">
        <f t="shared" si="165"/>
        <v>36</v>
      </c>
      <c r="AD1018" s="22">
        <v>5</v>
      </c>
      <c r="AE1018" s="22" t="s">
        <v>330</v>
      </c>
      <c r="AF1018" s="22">
        <v>0.8</v>
      </c>
      <c r="AG1018" s="22">
        <v>0.8</v>
      </c>
      <c r="AH1018" s="25">
        <f t="shared" si="166"/>
        <v>2910</v>
      </c>
      <c r="AI1018" s="25">
        <f t="shared" si="167"/>
        <v>3456</v>
      </c>
      <c r="AJ1018" s="21">
        <v>4069.44</v>
      </c>
      <c r="AK1018" s="21">
        <v>36</v>
      </c>
      <c r="AL1018" s="22" t="s">
        <v>161</v>
      </c>
      <c r="AM1018" s="22">
        <v>0.16</v>
      </c>
      <c r="AN1018" s="22" t="s">
        <v>1364</v>
      </c>
      <c r="AO1018" s="22" t="s">
        <v>1364</v>
      </c>
      <c r="AP1018" s="22" t="s">
        <v>162</v>
      </c>
      <c r="AQ1018" s="22" t="str">
        <f t="shared" si="157"/>
        <v>Microphytoplankton</v>
      </c>
      <c r="AR1018" s="22">
        <v>0</v>
      </c>
      <c r="AS1018" s="22">
        <v>0</v>
      </c>
      <c r="AT1018" s="22">
        <v>0</v>
      </c>
      <c r="AU1018" s="22">
        <v>1</v>
      </c>
      <c r="AV1018" s="22">
        <v>0</v>
      </c>
      <c r="AW1018" s="22">
        <v>0</v>
      </c>
      <c r="AX1018" s="22">
        <v>0</v>
      </c>
      <c r="AY1018" s="22">
        <v>1</v>
      </c>
    </row>
    <row r="1019" spans="1:57">
      <c r="A1019" s="21" t="s">
        <v>2996</v>
      </c>
      <c r="B1019" s="22" t="s">
        <v>663</v>
      </c>
      <c r="C1019" s="22" t="s">
        <v>2223</v>
      </c>
      <c r="D1019" s="22" t="s">
        <v>2224</v>
      </c>
      <c r="E1019" s="23" t="s">
        <v>63</v>
      </c>
      <c r="F1019" s="23" t="s">
        <v>2225</v>
      </c>
      <c r="G1019" s="23" t="s">
        <v>2226</v>
      </c>
      <c r="H1019" s="22" t="s">
        <v>2457</v>
      </c>
      <c r="I1019" s="22" t="s">
        <v>53</v>
      </c>
      <c r="J1019" s="21" t="s">
        <v>2997</v>
      </c>
      <c r="K1019" s="21"/>
      <c r="L1019" s="21"/>
      <c r="N1019" s="22" t="s">
        <v>2998</v>
      </c>
      <c r="O1019" s="22" t="s">
        <v>2229</v>
      </c>
      <c r="P1019" s="22">
        <v>82598</v>
      </c>
      <c r="Q1019" s="21">
        <v>10</v>
      </c>
      <c r="R1019" s="21">
        <v>4.3</v>
      </c>
      <c r="S1019" s="21">
        <v>4.3</v>
      </c>
      <c r="T1019" s="21" t="s">
        <v>159</v>
      </c>
      <c r="U1019" s="21">
        <v>1</v>
      </c>
      <c r="V1019" s="21">
        <v>1</v>
      </c>
      <c r="W1019" s="24">
        <f t="shared" si="158"/>
        <v>425.73068055515216</v>
      </c>
      <c r="X1019" s="24">
        <f t="shared" si="159"/>
        <v>96.764333333333326</v>
      </c>
      <c r="Y1019" s="21">
        <v>4</v>
      </c>
      <c r="Z1019" s="24">
        <f t="shared" si="155"/>
        <v>1702.9227222206086</v>
      </c>
      <c r="AA1019" s="24">
        <f t="shared" si="156"/>
        <v>387.0573333333333</v>
      </c>
      <c r="AB1019" s="21">
        <v>10</v>
      </c>
      <c r="AC1019" s="22">
        <f t="shared" si="165"/>
        <v>17.2</v>
      </c>
      <c r="AD1019" s="21">
        <v>4.3</v>
      </c>
      <c r="AE1019" s="22" t="s">
        <v>330</v>
      </c>
      <c r="AF1019" s="22">
        <v>0.8</v>
      </c>
      <c r="AG1019" s="22">
        <v>0.8</v>
      </c>
      <c r="AH1019" s="25">
        <f t="shared" si="166"/>
        <v>722.39999999999986</v>
      </c>
      <c r="AI1019" s="25">
        <f t="shared" si="167"/>
        <v>591.68000000000006</v>
      </c>
      <c r="AJ1019" s="21">
        <v>387.3</v>
      </c>
      <c r="AK1019" s="21">
        <v>17</v>
      </c>
      <c r="AL1019" s="22" t="s">
        <v>161</v>
      </c>
      <c r="AM1019" s="22">
        <v>0.16</v>
      </c>
      <c r="AN1019" s="22" t="s">
        <v>1364</v>
      </c>
      <c r="AO1019" s="22" t="s">
        <v>1364</v>
      </c>
      <c r="AP1019" s="22" t="s">
        <v>162</v>
      </c>
      <c r="AQ1019" s="22" t="str">
        <f t="shared" si="157"/>
        <v>Nanophytoplankton</v>
      </c>
      <c r="AR1019" s="22">
        <v>0</v>
      </c>
      <c r="AS1019" s="22">
        <v>0</v>
      </c>
      <c r="AT1019" s="22">
        <v>0</v>
      </c>
      <c r="AU1019" s="22">
        <v>1</v>
      </c>
      <c r="AV1019" s="22">
        <v>0</v>
      </c>
      <c r="AW1019" s="22">
        <v>0</v>
      </c>
      <c r="AX1019" s="22">
        <v>0</v>
      </c>
      <c r="AY1019" s="22">
        <v>1</v>
      </c>
    </row>
    <row r="1020" spans="1:57">
      <c r="A1020" s="22" t="s">
        <v>2999</v>
      </c>
      <c r="B1020" s="22" t="s">
        <v>663</v>
      </c>
      <c r="C1020" s="22" t="s">
        <v>2223</v>
      </c>
      <c r="D1020" s="22" t="s">
        <v>2224</v>
      </c>
      <c r="E1020" s="23" t="s">
        <v>63</v>
      </c>
      <c r="F1020" s="23" t="s">
        <v>2225</v>
      </c>
      <c r="G1020" s="23" t="s">
        <v>2226</v>
      </c>
      <c r="H1020" s="22" t="s">
        <v>2457</v>
      </c>
      <c r="I1020" s="22" t="s">
        <v>53</v>
      </c>
      <c r="J1020" s="22" t="s">
        <v>3000</v>
      </c>
      <c r="N1020" s="22" t="s">
        <v>501</v>
      </c>
      <c r="O1020" s="22" t="s">
        <v>2229</v>
      </c>
      <c r="P1020" s="21">
        <v>82471</v>
      </c>
      <c r="Q1020" s="22">
        <v>11</v>
      </c>
      <c r="R1020" s="22">
        <v>6</v>
      </c>
      <c r="S1020" s="22">
        <v>6</v>
      </c>
      <c r="T1020" s="21" t="s">
        <v>159</v>
      </c>
      <c r="U1020" s="21">
        <v>1</v>
      </c>
      <c r="V1020" s="21">
        <v>1</v>
      </c>
      <c r="W1020" s="24">
        <f t="shared" si="158"/>
        <v>652.03076045135776</v>
      </c>
      <c r="X1020" s="24">
        <f t="shared" si="159"/>
        <v>207.24</v>
      </c>
      <c r="Y1020" s="22">
        <v>8</v>
      </c>
      <c r="Z1020" s="24">
        <f t="shared" si="155"/>
        <v>5216.2460836108621</v>
      </c>
      <c r="AA1020" s="24">
        <f t="shared" si="156"/>
        <v>1657.92</v>
      </c>
      <c r="AB1020" s="22">
        <v>11</v>
      </c>
      <c r="AC1020" s="22">
        <f t="shared" si="165"/>
        <v>48</v>
      </c>
      <c r="AD1020" s="22">
        <v>6</v>
      </c>
      <c r="AE1020" s="22" t="s">
        <v>330</v>
      </c>
      <c r="AF1020" s="22">
        <v>0.8</v>
      </c>
      <c r="AG1020" s="22">
        <v>0.8</v>
      </c>
      <c r="AH1020" s="25">
        <f t="shared" si="166"/>
        <v>2205</v>
      </c>
      <c r="AI1020" s="25">
        <f t="shared" si="167"/>
        <v>2534.4</v>
      </c>
      <c r="AJ1020" s="21">
        <v>1657.92</v>
      </c>
      <c r="AK1020" s="21">
        <v>24</v>
      </c>
      <c r="AL1020" s="22" t="s">
        <v>161</v>
      </c>
      <c r="AM1020" s="22">
        <v>0.16</v>
      </c>
      <c r="AN1020" s="22" t="s">
        <v>1364</v>
      </c>
      <c r="AO1020" s="22" t="s">
        <v>1364</v>
      </c>
      <c r="AP1020" s="22" t="s">
        <v>162</v>
      </c>
      <c r="AQ1020" s="22" t="str">
        <f t="shared" si="157"/>
        <v>Microphytoplankton</v>
      </c>
      <c r="AR1020" s="22">
        <v>0</v>
      </c>
      <c r="AS1020" s="22">
        <v>0</v>
      </c>
      <c r="AT1020" s="22">
        <v>0</v>
      </c>
      <c r="AU1020" s="22">
        <v>1</v>
      </c>
      <c r="AV1020" s="22">
        <v>0</v>
      </c>
      <c r="AW1020" s="22">
        <v>0</v>
      </c>
      <c r="AX1020" s="22">
        <v>0</v>
      </c>
      <c r="AY1020" s="22">
        <v>1</v>
      </c>
    </row>
    <row r="1021" spans="1:57">
      <c r="A1021" s="22" t="s">
        <v>3001</v>
      </c>
      <c r="B1021" s="22" t="s">
        <v>663</v>
      </c>
      <c r="C1021" s="22" t="s">
        <v>2223</v>
      </c>
      <c r="D1021" s="22" t="s">
        <v>2224</v>
      </c>
      <c r="E1021" s="23" t="s">
        <v>63</v>
      </c>
      <c r="F1021" s="23" t="s">
        <v>2225</v>
      </c>
      <c r="G1021" s="23" t="s">
        <v>2226</v>
      </c>
      <c r="H1021" s="22" t="s">
        <v>2457</v>
      </c>
      <c r="I1021" s="22" t="s">
        <v>53</v>
      </c>
      <c r="J1021" s="22" t="s">
        <v>3000</v>
      </c>
      <c r="K1021" s="22" t="s">
        <v>184</v>
      </c>
      <c r="L1021" s="22" t="s">
        <v>1402</v>
      </c>
      <c r="N1021" s="22" t="s">
        <v>3002</v>
      </c>
      <c r="O1021" s="22" t="s">
        <v>2229</v>
      </c>
      <c r="P1021" s="21">
        <v>82472</v>
      </c>
      <c r="Q1021" s="22">
        <v>11</v>
      </c>
      <c r="R1021" s="22">
        <v>6</v>
      </c>
      <c r="S1021" s="22">
        <v>6</v>
      </c>
      <c r="T1021" s="21" t="s">
        <v>159</v>
      </c>
      <c r="U1021" s="21">
        <v>1</v>
      </c>
      <c r="V1021" s="21">
        <v>1</v>
      </c>
      <c r="W1021" s="24">
        <f t="shared" si="158"/>
        <v>652.03076045135776</v>
      </c>
      <c r="X1021" s="24">
        <f t="shared" si="159"/>
        <v>207.24</v>
      </c>
      <c r="Y1021" s="22">
        <v>8</v>
      </c>
      <c r="Z1021" s="24">
        <f t="shared" si="155"/>
        <v>5216.2460836108621</v>
      </c>
      <c r="AA1021" s="24">
        <f t="shared" si="156"/>
        <v>1657.92</v>
      </c>
      <c r="AB1021" s="22">
        <v>11</v>
      </c>
      <c r="AC1021" s="22">
        <f t="shared" si="165"/>
        <v>48</v>
      </c>
      <c r="AD1021" s="22">
        <v>6</v>
      </c>
      <c r="AE1021" s="22" t="s">
        <v>330</v>
      </c>
      <c r="AF1021" s="22">
        <v>0.8</v>
      </c>
      <c r="AG1021" s="22">
        <v>0.8</v>
      </c>
      <c r="AH1021" s="25">
        <f t="shared" si="166"/>
        <v>2205</v>
      </c>
      <c r="AI1021" s="25">
        <f t="shared" si="167"/>
        <v>2534.4</v>
      </c>
      <c r="AJ1021" s="21">
        <v>1657.92</v>
      </c>
      <c r="AK1021" s="21">
        <v>24</v>
      </c>
      <c r="AL1021" s="22" t="s">
        <v>161</v>
      </c>
      <c r="AM1021" s="22">
        <v>0.16</v>
      </c>
      <c r="AN1021" s="22" t="s">
        <v>1364</v>
      </c>
      <c r="AO1021" s="22" t="s">
        <v>1364</v>
      </c>
      <c r="AP1021" s="22" t="s">
        <v>162</v>
      </c>
      <c r="AQ1021" s="22" t="str">
        <f t="shared" si="157"/>
        <v>Microphytoplankton</v>
      </c>
      <c r="AR1021" s="22">
        <v>0</v>
      </c>
      <c r="AS1021" s="22">
        <v>0</v>
      </c>
      <c r="AT1021" s="22">
        <v>0</v>
      </c>
      <c r="AU1021" s="22">
        <v>1</v>
      </c>
      <c r="AV1021" s="22">
        <v>0</v>
      </c>
      <c r="AW1021" s="22">
        <v>0</v>
      </c>
      <c r="AX1021" s="22">
        <v>0</v>
      </c>
      <c r="AY1021" s="22">
        <v>1</v>
      </c>
    </row>
    <row r="1022" spans="1:57">
      <c r="A1022" s="21" t="s">
        <v>2937</v>
      </c>
      <c r="B1022" s="22" t="s">
        <v>663</v>
      </c>
      <c r="C1022" s="22" t="s">
        <v>2223</v>
      </c>
      <c r="D1022" s="22" t="s">
        <v>2224</v>
      </c>
      <c r="E1022" s="23" t="s">
        <v>63</v>
      </c>
      <c r="F1022" s="23" t="s">
        <v>2225</v>
      </c>
      <c r="G1022" s="23" t="s">
        <v>2226</v>
      </c>
      <c r="H1022" s="22" t="s">
        <v>2457</v>
      </c>
      <c r="I1022" s="22" t="s">
        <v>53</v>
      </c>
      <c r="J1022" s="21" t="s">
        <v>2938</v>
      </c>
      <c r="K1022" s="21"/>
      <c r="L1022" s="21"/>
      <c r="N1022" s="22" t="s">
        <v>3003</v>
      </c>
      <c r="O1022" s="22" t="s">
        <v>2229</v>
      </c>
      <c r="P1022" s="22">
        <v>82575</v>
      </c>
      <c r="Q1022" s="21">
        <v>20</v>
      </c>
      <c r="R1022" s="21">
        <v>8</v>
      </c>
      <c r="S1022" s="21">
        <v>8</v>
      </c>
      <c r="T1022" s="21" t="s">
        <v>159</v>
      </c>
      <c r="U1022" s="21">
        <v>1</v>
      </c>
      <c r="V1022" s="21">
        <v>1</v>
      </c>
      <c r="W1022" s="24">
        <f t="shared" si="158"/>
        <v>1567.8064873937712</v>
      </c>
      <c r="X1022" s="24">
        <f t="shared" si="159"/>
        <v>669.86666666666667</v>
      </c>
      <c r="Y1022" s="21">
        <v>4</v>
      </c>
      <c r="Z1022" s="24">
        <f t="shared" si="155"/>
        <v>6271.225949575085</v>
      </c>
      <c r="AA1022" s="24">
        <f t="shared" si="156"/>
        <v>2679.4666666666667</v>
      </c>
      <c r="AB1022" s="21">
        <v>20</v>
      </c>
      <c r="AC1022" s="22">
        <f t="shared" si="165"/>
        <v>32</v>
      </c>
      <c r="AD1022" s="21">
        <v>8</v>
      </c>
      <c r="AE1022" s="22" t="s">
        <v>330</v>
      </c>
      <c r="AF1022" s="22">
        <v>0.7</v>
      </c>
      <c r="AG1022" s="22">
        <v>0.7</v>
      </c>
      <c r="AH1022" s="25">
        <f t="shared" si="166"/>
        <v>3017.1428571428573</v>
      </c>
      <c r="AI1022" s="25">
        <f t="shared" si="167"/>
        <v>3584</v>
      </c>
      <c r="AJ1022" s="21">
        <v>4021</v>
      </c>
      <c r="AK1022" s="21">
        <v>20</v>
      </c>
      <c r="AL1022" s="22" t="s">
        <v>161</v>
      </c>
      <c r="AM1022" s="22">
        <v>0.16</v>
      </c>
      <c r="AN1022" s="22" t="s">
        <v>1364</v>
      </c>
      <c r="AO1022" s="22" t="s">
        <v>1364</v>
      </c>
      <c r="AP1022" s="22" t="s">
        <v>162</v>
      </c>
      <c r="AQ1022" s="22" t="str">
        <f t="shared" si="157"/>
        <v>Microphytoplankton</v>
      </c>
      <c r="AR1022" s="22">
        <v>0</v>
      </c>
      <c r="AS1022" s="22">
        <v>0</v>
      </c>
      <c r="AT1022" s="22">
        <v>0</v>
      </c>
      <c r="AU1022" s="22">
        <v>1</v>
      </c>
      <c r="AV1022" s="22">
        <v>0</v>
      </c>
      <c r="AW1022" s="22">
        <v>0</v>
      </c>
      <c r="AX1022" s="22">
        <v>0</v>
      </c>
      <c r="AY1022" s="22">
        <v>1</v>
      </c>
    </row>
    <row r="1023" spans="1:57">
      <c r="A1023" s="22" t="s">
        <v>3004</v>
      </c>
      <c r="B1023" s="22" t="s">
        <v>663</v>
      </c>
      <c r="C1023" s="22" t="s">
        <v>2223</v>
      </c>
      <c r="D1023" s="22" t="s">
        <v>2224</v>
      </c>
      <c r="E1023" s="23" t="s">
        <v>63</v>
      </c>
      <c r="F1023" s="23" t="s">
        <v>2225</v>
      </c>
      <c r="G1023" s="23" t="s">
        <v>2226</v>
      </c>
      <c r="H1023" s="22" t="s">
        <v>2457</v>
      </c>
      <c r="I1023" s="22" t="s">
        <v>53</v>
      </c>
      <c r="J1023" s="22" t="s">
        <v>2938</v>
      </c>
      <c r="K1023" s="22" t="s">
        <v>175</v>
      </c>
      <c r="L1023" s="22" t="s">
        <v>3005</v>
      </c>
      <c r="N1023" s="22" t="s">
        <v>167</v>
      </c>
      <c r="O1023" s="22" t="s">
        <v>2229</v>
      </c>
      <c r="P1023" s="21">
        <v>82473</v>
      </c>
      <c r="Q1023" s="22">
        <v>14.5</v>
      </c>
      <c r="R1023" s="22">
        <v>5</v>
      </c>
      <c r="S1023" s="22">
        <v>5</v>
      </c>
      <c r="T1023" s="21" t="s">
        <v>159</v>
      </c>
      <c r="U1023" s="21">
        <v>1</v>
      </c>
      <c r="V1023" s="21">
        <v>1</v>
      </c>
      <c r="W1023" s="24">
        <f t="shared" si="158"/>
        <v>712.86495026429395</v>
      </c>
      <c r="X1023" s="24">
        <f t="shared" si="159"/>
        <v>189.70833333333331</v>
      </c>
      <c r="Y1023" s="22">
        <v>4</v>
      </c>
      <c r="Z1023" s="24">
        <f t="shared" si="155"/>
        <v>2851.4598010571758</v>
      </c>
      <c r="AA1023" s="24">
        <f t="shared" si="156"/>
        <v>758.83333333333326</v>
      </c>
      <c r="AB1023" s="22">
        <v>14.5</v>
      </c>
      <c r="AC1023" s="22">
        <f t="shared" si="165"/>
        <v>20</v>
      </c>
      <c r="AD1023" s="22">
        <v>5</v>
      </c>
      <c r="AE1023" s="22" t="s">
        <v>330</v>
      </c>
      <c r="AF1023" s="22">
        <v>0.7</v>
      </c>
      <c r="AG1023" s="22">
        <v>0.7</v>
      </c>
      <c r="AH1023" s="25">
        <f t="shared" si="166"/>
        <v>1321.4285714285716</v>
      </c>
      <c r="AI1023" s="25">
        <f t="shared" si="167"/>
        <v>1014.9999999999999</v>
      </c>
      <c r="AJ1023" s="21">
        <v>758.83333333333326</v>
      </c>
      <c r="AK1023" s="21">
        <v>20</v>
      </c>
      <c r="AL1023" s="22" t="s">
        <v>161</v>
      </c>
      <c r="AM1023" s="22">
        <v>0.16</v>
      </c>
      <c r="AN1023" s="22" t="s">
        <v>1364</v>
      </c>
      <c r="AO1023" s="22" t="s">
        <v>1364</v>
      </c>
      <c r="AP1023" s="22" t="s">
        <v>162</v>
      </c>
      <c r="AQ1023" s="22" t="str">
        <f t="shared" si="157"/>
        <v>Microphytoplankton</v>
      </c>
      <c r="AR1023" s="22">
        <v>0</v>
      </c>
      <c r="AS1023" s="22">
        <v>0</v>
      </c>
      <c r="AT1023" s="22">
        <v>0</v>
      </c>
      <c r="AU1023" s="22">
        <v>1</v>
      </c>
      <c r="AV1023" s="22">
        <v>0</v>
      </c>
      <c r="AW1023" s="22">
        <v>0</v>
      </c>
      <c r="AX1023" s="22">
        <v>0</v>
      </c>
      <c r="AY1023" s="22">
        <v>1</v>
      </c>
    </row>
    <row r="1024" spans="1:57">
      <c r="A1024" s="21" t="s">
        <v>3006</v>
      </c>
      <c r="B1024" s="22" t="s">
        <v>663</v>
      </c>
      <c r="C1024" s="22" t="s">
        <v>2223</v>
      </c>
      <c r="D1024" s="22" t="s">
        <v>2224</v>
      </c>
      <c r="E1024" s="23" t="s">
        <v>63</v>
      </c>
      <c r="F1024" s="23" t="s">
        <v>2225</v>
      </c>
      <c r="G1024" s="23" t="s">
        <v>2226</v>
      </c>
      <c r="H1024" s="22" t="s">
        <v>2457</v>
      </c>
      <c r="I1024" s="22" t="s">
        <v>53</v>
      </c>
      <c r="J1024" s="21" t="s">
        <v>3007</v>
      </c>
      <c r="K1024" s="21"/>
      <c r="L1024" s="21"/>
      <c r="N1024" s="22" t="s">
        <v>409</v>
      </c>
      <c r="O1024" s="22" t="s">
        <v>2229</v>
      </c>
      <c r="P1024" s="21">
        <v>82476</v>
      </c>
      <c r="Q1024" s="21">
        <v>11</v>
      </c>
      <c r="R1024" s="21">
        <v>6.5</v>
      </c>
      <c r="S1024" s="21">
        <v>6.5</v>
      </c>
      <c r="T1024" s="21" t="s">
        <v>159</v>
      </c>
      <c r="U1024" s="21">
        <v>1</v>
      </c>
      <c r="V1024" s="21">
        <v>1</v>
      </c>
      <c r="W1024" s="24">
        <f t="shared" si="158"/>
        <v>706.3666571556372</v>
      </c>
      <c r="X1024" s="24">
        <f t="shared" si="159"/>
        <v>243.21916666666669</v>
      </c>
      <c r="Y1024" s="21">
        <v>4</v>
      </c>
      <c r="Z1024" s="24">
        <f t="shared" si="155"/>
        <v>2825.4666286225488</v>
      </c>
      <c r="AA1024" s="24">
        <f t="shared" si="156"/>
        <v>972.87666666666678</v>
      </c>
      <c r="AB1024" s="21">
        <v>11</v>
      </c>
      <c r="AC1024" s="22">
        <f t="shared" si="165"/>
        <v>26</v>
      </c>
      <c r="AD1024" s="21">
        <v>6.5</v>
      </c>
      <c r="AE1024" s="22" t="s">
        <v>330</v>
      </c>
      <c r="AF1024" s="22">
        <v>0.7</v>
      </c>
      <c r="AG1024" s="22">
        <v>0.7</v>
      </c>
      <c r="AH1024" s="25">
        <f t="shared" si="166"/>
        <v>1504.2857142857144</v>
      </c>
      <c r="AI1024" s="25">
        <f t="shared" si="167"/>
        <v>1301.3</v>
      </c>
      <c r="AJ1024" s="21">
        <v>746.2</v>
      </c>
      <c r="AK1024" s="21">
        <v>12</v>
      </c>
      <c r="AL1024" s="22" t="s">
        <v>161</v>
      </c>
      <c r="AM1024" s="22">
        <v>0.16</v>
      </c>
      <c r="AN1024" s="22" t="s">
        <v>1364</v>
      </c>
      <c r="AO1024" s="22" t="s">
        <v>1364</v>
      </c>
      <c r="AP1024" s="22" t="s">
        <v>162</v>
      </c>
      <c r="AQ1024" s="22" t="str">
        <f t="shared" si="157"/>
        <v>Nanophytoplankton</v>
      </c>
      <c r="AR1024" s="22">
        <v>0</v>
      </c>
      <c r="AS1024" s="22">
        <v>0</v>
      </c>
      <c r="AT1024" s="22">
        <v>0</v>
      </c>
      <c r="AU1024" s="22">
        <v>1</v>
      </c>
      <c r="AV1024" s="22">
        <v>0</v>
      </c>
      <c r="AW1024" s="22">
        <v>0</v>
      </c>
      <c r="AX1024" s="22">
        <v>0</v>
      </c>
      <c r="AY1024" s="22">
        <v>1</v>
      </c>
    </row>
    <row r="1025" spans="1:57">
      <c r="A1025" s="22" t="s">
        <v>3008</v>
      </c>
      <c r="B1025" s="22" t="s">
        <v>663</v>
      </c>
      <c r="C1025" s="22" t="s">
        <v>2223</v>
      </c>
      <c r="D1025" s="22" t="s">
        <v>2224</v>
      </c>
      <c r="E1025" s="23" t="s">
        <v>63</v>
      </c>
      <c r="F1025" s="23" t="s">
        <v>2225</v>
      </c>
      <c r="G1025" s="23" t="s">
        <v>2226</v>
      </c>
      <c r="H1025" s="22" t="s">
        <v>2457</v>
      </c>
      <c r="I1025" s="22" t="s">
        <v>53</v>
      </c>
      <c r="J1025" s="22" t="s">
        <v>3009</v>
      </c>
      <c r="N1025" s="22" t="s">
        <v>2952</v>
      </c>
      <c r="O1025" s="22" t="s">
        <v>2229</v>
      </c>
      <c r="P1025" s="21">
        <v>82474</v>
      </c>
      <c r="Q1025" s="22">
        <v>6</v>
      </c>
      <c r="R1025" s="22">
        <v>3</v>
      </c>
      <c r="S1025" s="22">
        <v>3</v>
      </c>
      <c r="T1025" s="21" t="s">
        <v>159</v>
      </c>
      <c r="U1025" s="21">
        <v>1</v>
      </c>
      <c r="V1025" s="21">
        <v>1</v>
      </c>
      <c r="W1025" s="24">
        <f t="shared" si="158"/>
        <v>181.64401962190658</v>
      </c>
      <c r="X1025" s="24">
        <f t="shared" si="159"/>
        <v>28.259999999999994</v>
      </c>
      <c r="Y1025" s="22">
        <v>4</v>
      </c>
      <c r="Z1025" s="24">
        <f t="shared" si="155"/>
        <v>726.57607848762632</v>
      </c>
      <c r="AA1025" s="24">
        <f t="shared" si="156"/>
        <v>113.03999999999998</v>
      </c>
      <c r="AB1025" s="22">
        <v>6</v>
      </c>
      <c r="AC1025" s="22">
        <f t="shared" si="165"/>
        <v>12</v>
      </c>
      <c r="AD1025" s="22">
        <v>3</v>
      </c>
      <c r="AE1025" s="22" t="s">
        <v>330</v>
      </c>
      <c r="AF1025" s="22">
        <v>0.8</v>
      </c>
      <c r="AG1025" s="22">
        <v>0.8</v>
      </c>
      <c r="AH1025" s="25">
        <f t="shared" si="166"/>
        <v>315</v>
      </c>
      <c r="AI1025" s="25">
        <f t="shared" si="167"/>
        <v>172.8</v>
      </c>
      <c r="AJ1025" s="21">
        <v>113.03999999999999</v>
      </c>
      <c r="AK1025" s="21">
        <v>12</v>
      </c>
      <c r="AL1025" s="22" t="s">
        <v>161</v>
      </c>
      <c r="AM1025" s="22">
        <v>0.16</v>
      </c>
      <c r="AN1025" s="22" t="s">
        <v>1364</v>
      </c>
      <c r="AO1025" s="22" t="s">
        <v>1364</v>
      </c>
      <c r="AP1025" s="22" t="s">
        <v>162</v>
      </c>
      <c r="AQ1025" s="22" t="str">
        <f t="shared" si="157"/>
        <v>Nanophytoplankton</v>
      </c>
      <c r="AR1025" s="22">
        <v>0</v>
      </c>
      <c r="AS1025" s="22">
        <v>0</v>
      </c>
      <c r="AT1025" s="22">
        <v>0</v>
      </c>
      <c r="AU1025" s="22">
        <v>1</v>
      </c>
      <c r="AV1025" s="22">
        <v>0</v>
      </c>
      <c r="AW1025" s="22">
        <v>0</v>
      </c>
      <c r="AX1025" s="22">
        <v>0</v>
      </c>
      <c r="AY1025" s="22">
        <v>1</v>
      </c>
    </row>
    <row r="1026" spans="1:57">
      <c r="A1026" s="22" t="s">
        <v>3010</v>
      </c>
      <c r="B1026" s="22" t="s">
        <v>663</v>
      </c>
      <c r="C1026" s="22" t="s">
        <v>2223</v>
      </c>
      <c r="D1026" s="22" t="s">
        <v>2224</v>
      </c>
      <c r="E1026" s="23" t="s">
        <v>63</v>
      </c>
      <c r="F1026" s="23" t="s">
        <v>2225</v>
      </c>
      <c r="G1026" s="23" t="s">
        <v>2226</v>
      </c>
      <c r="H1026" s="22" t="s">
        <v>2457</v>
      </c>
      <c r="I1026" s="22" t="s">
        <v>53</v>
      </c>
      <c r="J1026" s="22" t="s">
        <v>1109</v>
      </c>
      <c r="N1026" s="22" t="s">
        <v>3011</v>
      </c>
      <c r="O1026" s="22" t="s">
        <v>2229</v>
      </c>
      <c r="P1026" s="21">
        <v>82477</v>
      </c>
      <c r="Q1026" s="22">
        <v>23</v>
      </c>
      <c r="R1026" s="22">
        <v>6</v>
      </c>
      <c r="S1026" s="22">
        <v>6</v>
      </c>
      <c r="T1026" s="21" t="s">
        <v>159</v>
      </c>
      <c r="U1026" s="21">
        <v>1</v>
      </c>
      <c r="V1026" s="21">
        <v>1</v>
      </c>
      <c r="W1026" s="24">
        <f t="shared" si="158"/>
        <v>1350.8409355238841</v>
      </c>
      <c r="X1026" s="24">
        <f t="shared" si="159"/>
        <v>433.32</v>
      </c>
      <c r="Y1026" s="22">
        <v>4</v>
      </c>
      <c r="Z1026" s="24">
        <f t="shared" ref="Z1026:Z1089" si="168">Y1026*W1026</f>
        <v>5403.3637420955365</v>
      </c>
      <c r="AA1026" s="24">
        <f t="shared" ref="AA1026:AA1089" si="169">Y1026*X1026</f>
        <v>1733.28</v>
      </c>
      <c r="AB1026" s="22">
        <v>23</v>
      </c>
      <c r="AC1026" s="22">
        <f t="shared" si="165"/>
        <v>24</v>
      </c>
      <c r="AD1026" s="22">
        <v>6</v>
      </c>
      <c r="AE1026" s="22" t="s">
        <v>330</v>
      </c>
      <c r="AF1026" s="22">
        <v>0.6</v>
      </c>
      <c r="AG1026" s="22">
        <v>0.6</v>
      </c>
      <c r="AH1026" s="25">
        <f t="shared" si="166"/>
        <v>2780</v>
      </c>
      <c r="AI1026" s="25">
        <f t="shared" si="167"/>
        <v>1987.1999999999998</v>
      </c>
      <c r="AJ1026" s="21">
        <v>1733.28</v>
      </c>
      <c r="AK1026" s="21">
        <v>24</v>
      </c>
      <c r="AL1026" s="22" t="s">
        <v>161</v>
      </c>
      <c r="AM1026" s="22">
        <v>0.16</v>
      </c>
      <c r="AN1026" s="22" t="s">
        <v>1364</v>
      </c>
      <c r="AO1026" s="22" t="s">
        <v>1364</v>
      </c>
      <c r="AP1026" s="22" t="s">
        <v>162</v>
      </c>
      <c r="AQ1026" s="22" t="str">
        <f t="shared" ref="AQ1026:AQ1089" si="170">IF(AND($AK1026&lt;20,AJ1026&lt;10000),"Nanophytoplankton","Microphytoplankton")</f>
        <v>Microphytoplankton</v>
      </c>
      <c r="AR1026" s="22">
        <v>0</v>
      </c>
      <c r="AS1026" s="22">
        <v>0</v>
      </c>
      <c r="AT1026" s="22">
        <v>0</v>
      </c>
      <c r="AU1026" s="22">
        <v>1</v>
      </c>
      <c r="AV1026" s="22">
        <v>0</v>
      </c>
      <c r="AW1026" s="22">
        <v>0</v>
      </c>
      <c r="AX1026" s="22">
        <v>0</v>
      </c>
      <c r="AY1026" s="22">
        <v>1</v>
      </c>
    </row>
    <row r="1027" spans="1:57">
      <c r="A1027" s="21" t="s">
        <v>3012</v>
      </c>
      <c r="B1027" s="22" t="s">
        <v>663</v>
      </c>
      <c r="C1027" s="22" t="s">
        <v>2223</v>
      </c>
      <c r="D1027" s="22" t="s">
        <v>2224</v>
      </c>
      <c r="E1027" s="23" t="s">
        <v>63</v>
      </c>
      <c r="F1027" s="23" t="s">
        <v>2225</v>
      </c>
      <c r="G1027" s="23" t="s">
        <v>2226</v>
      </c>
      <c r="H1027" s="22" t="s">
        <v>2457</v>
      </c>
      <c r="I1027" s="22" t="s">
        <v>53</v>
      </c>
      <c r="J1027" s="21" t="s">
        <v>3013</v>
      </c>
      <c r="K1027" s="21"/>
      <c r="L1027" s="21"/>
      <c r="N1027" s="22" t="s">
        <v>3014</v>
      </c>
      <c r="O1027" s="22" t="s">
        <v>2229</v>
      </c>
      <c r="P1027" s="21">
        <v>82595</v>
      </c>
      <c r="Q1027" s="21">
        <v>12</v>
      </c>
      <c r="R1027" s="21">
        <v>2.5</v>
      </c>
      <c r="S1027" s="21">
        <v>2.5</v>
      </c>
      <c r="T1027" s="21" t="s">
        <v>159</v>
      </c>
      <c r="U1027" s="21">
        <v>1</v>
      </c>
      <c r="V1027" s="21">
        <v>1</v>
      </c>
      <c r="W1027" s="24">
        <f t="shared" si="158"/>
        <v>295.86914277366793</v>
      </c>
      <c r="X1027" s="24">
        <f t="shared" si="159"/>
        <v>39.25</v>
      </c>
      <c r="Y1027" s="21">
        <v>4</v>
      </c>
      <c r="Z1027" s="24">
        <f t="shared" si="168"/>
        <v>1183.4765710946717</v>
      </c>
      <c r="AA1027" s="24">
        <f t="shared" si="169"/>
        <v>157</v>
      </c>
      <c r="AB1027" s="21">
        <v>12</v>
      </c>
      <c r="AC1027" s="22">
        <f t="shared" si="165"/>
        <v>10</v>
      </c>
      <c r="AD1027" s="21">
        <v>2.5</v>
      </c>
      <c r="AE1027" s="22" t="s">
        <v>330</v>
      </c>
      <c r="AF1027" s="22">
        <v>0.8</v>
      </c>
      <c r="AG1027" s="22">
        <v>0.8</v>
      </c>
      <c r="AH1027" s="25">
        <f t="shared" si="166"/>
        <v>437.5</v>
      </c>
      <c r="AI1027" s="25">
        <f t="shared" si="167"/>
        <v>240</v>
      </c>
      <c r="AJ1027" s="21">
        <v>157.1</v>
      </c>
      <c r="AK1027" s="21">
        <v>12</v>
      </c>
      <c r="AL1027" s="22" t="s">
        <v>161</v>
      </c>
      <c r="AM1027" s="22">
        <v>0.16</v>
      </c>
      <c r="AN1027" s="22" t="s">
        <v>1364</v>
      </c>
      <c r="AO1027" s="22" t="s">
        <v>1364</v>
      </c>
      <c r="AP1027" s="22" t="s">
        <v>162</v>
      </c>
      <c r="AQ1027" s="22" t="str">
        <f t="shared" si="170"/>
        <v>Nanophytoplankton</v>
      </c>
      <c r="AR1027" s="22">
        <v>0</v>
      </c>
      <c r="AS1027" s="22">
        <v>0</v>
      </c>
      <c r="AT1027" s="22">
        <v>0</v>
      </c>
      <c r="AU1027" s="22">
        <v>1</v>
      </c>
      <c r="AV1027" s="22">
        <v>0</v>
      </c>
      <c r="AW1027" s="22">
        <v>0</v>
      </c>
      <c r="AX1027" s="22">
        <v>0</v>
      </c>
      <c r="AY1027" s="22">
        <v>1</v>
      </c>
      <c r="AZ1027" s="22">
        <v>0</v>
      </c>
      <c r="BA1027" s="22">
        <v>0</v>
      </c>
      <c r="BB1027" s="22">
        <v>0</v>
      </c>
      <c r="BC1027" s="22">
        <v>2</v>
      </c>
      <c r="BD1027" s="22">
        <v>6</v>
      </c>
      <c r="BE1027" s="22">
        <v>2</v>
      </c>
    </row>
    <row r="1028" spans="1:57">
      <c r="A1028" s="21" t="s">
        <v>3015</v>
      </c>
      <c r="B1028" s="22" t="s">
        <v>663</v>
      </c>
      <c r="C1028" s="22" t="s">
        <v>2223</v>
      </c>
      <c r="D1028" s="22" t="s">
        <v>2224</v>
      </c>
      <c r="E1028" s="23" t="s">
        <v>63</v>
      </c>
      <c r="F1028" s="23" t="s">
        <v>2225</v>
      </c>
      <c r="G1028" s="23" t="s">
        <v>2226</v>
      </c>
      <c r="H1028" s="22" t="s">
        <v>2457</v>
      </c>
      <c r="I1028" s="22" t="s">
        <v>53</v>
      </c>
      <c r="J1028" s="21" t="s">
        <v>3016</v>
      </c>
      <c r="K1028" s="21"/>
      <c r="L1028" s="21"/>
      <c r="N1028" s="22" t="s">
        <v>3017</v>
      </c>
      <c r="O1028" s="22" t="s">
        <v>2229</v>
      </c>
      <c r="P1028" s="21">
        <v>82510</v>
      </c>
      <c r="Q1028" s="21">
        <v>17</v>
      </c>
      <c r="R1028" s="21">
        <v>6</v>
      </c>
      <c r="S1028" s="21">
        <v>6</v>
      </c>
      <c r="T1028" s="21" t="s">
        <v>159</v>
      </c>
      <c r="U1028" s="21">
        <v>1</v>
      </c>
      <c r="V1028" s="21">
        <v>1</v>
      </c>
      <c r="W1028" s="24">
        <f t="shared" si="158"/>
        <v>1001.0004567865979</v>
      </c>
      <c r="X1028" s="24">
        <f t="shared" si="159"/>
        <v>320.27999999999997</v>
      </c>
      <c r="Y1028" s="21">
        <v>4</v>
      </c>
      <c r="Z1028" s="24">
        <f t="shared" si="168"/>
        <v>4004.0018271463914</v>
      </c>
      <c r="AA1028" s="24">
        <f t="shared" si="169"/>
        <v>1281.1199999999999</v>
      </c>
      <c r="AB1028" s="21">
        <v>17</v>
      </c>
      <c r="AC1028" s="22">
        <f t="shared" si="165"/>
        <v>24</v>
      </c>
      <c r="AD1028" s="21">
        <v>6</v>
      </c>
      <c r="AE1028" s="22" t="s">
        <v>330</v>
      </c>
      <c r="AF1028" s="22">
        <v>0.7</v>
      </c>
      <c r="AG1028" s="22">
        <v>0.7</v>
      </c>
      <c r="AH1028" s="25">
        <f t="shared" si="166"/>
        <v>1868.5714285714287</v>
      </c>
      <c r="AI1028" s="25">
        <f t="shared" si="167"/>
        <v>1713.6</v>
      </c>
      <c r="AJ1028" s="21">
        <v>1922.7</v>
      </c>
      <c r="AK1028" s="21">
        <v>24</v>
      </c>
      <c r="AL1028" s="22" t="s">
        <v>161</v>
      </c>
      <c r="AM1028" s="22">
        <v>0.16</v>
      </c>
      <c r="AN1028" s="22" t="s">
        <v>1364</v>
      </c>
      <c r="AO1028" s="22" t="s">
        <v>1364</v>
      </c>
      <c r="AP1028" s="22" t="s">
        <v>162</v>
      </c>
      <c r="AQ1028" s="22" t="str">
        <f t="shared" si="170"/>
        <v>Microphytoplankton</v>
      </c>
      <c r="AR1028" s="22">
        <v>0</v>
      </c>
      <c r="AS1028" s="22">
        <v>0</v>
      </c>
      <c r="AT1028" s="22">
        <v>0</v>
      </c>
      <c r="AU1028" s="22">
        <v>1</v>
      </c>
      <c r="AV1028" s="22">
        <v>0</v>
      </c>
      <c r="AW1028" s="22">
        <v>0</v>
      </c>
      <c r="AX1028" s="22">
        <v>0</v>
      </c>
      <c r="AY1028" s="22">
        <v>1</v>
      </c>
      <c r="AZ1028" s="22">
        <v>0</v>
      </c>
      <c r="BA1028" s="22">
        <v>0</v>
      </c>
      <c r="BB1028" s="22">
        <v>0</v>
      </c>
      <c r="BC1028" s="22">
        <v>2</v>
      </c>
      <c r="BD1028" s="22">
        <v>6</v>
      </c>
      <c r="BE1028" s="22">
        <v>2</v>
      </c>
    </row>
    <row r="1029" spans="1:57">
      <c r="A1029" s="22" t="s">
        <v>3018</v>
      </c>
      <c r="B1029" s="22" t="s">
        <v>663</v>
      </c>
      <c r="C1029" s="22" t="s">
        <v>2223</v>
      </c>
      <c r="D1029" s="22" t="s">
        <v>2224</v>
      </c>
      <c r="E1029" s="23" t="s">
        <v>63</v>
      </c>
      <c r="F1029" s="23" t="s">
        <v>2225</v>
      </c>
      <c r="G1029" s="23" t="s">
        <v>2226</v>
      </c>
      <c r="H1029" s="22" t="s">
        <v>2457</v>
      </c>
      <c r="I1029" s="22" t="s">
        <v>53</v>
      </c>
      <c r="J1029" s="22" t="s">
        <v>1361</v>
      </c>
      <c r="N1029" s="22" t="s">
        <v>3019</v>
      </c>
      <c r="O1029" s="22" t="s">
        <v>2229</v>
      </c>
      <c r="P1029" s="21">
        <v>82478</v>
      </c>
      <c r="Q1029" s="22">
        <v>11</v>
      </c>
      <c r="R1029" s="22">
        <v>8</v>
      </c>
      <c r="S1029" s="22">
        <v>5</v>
      </c>
      <c r="T1029" s="21" t="s">
        <v>159</v>
      </c>
      <c r="U1029" s="21">
        <v>1</v>
      </c>
      <c r="V1029" s="21">
        <v>1</v>
      </c>
      <c r="W1029" s="24">
        <f t="shared" si="158"/>
        <v>717.626533765457</v>
      </c>
      <c r="X1029" s="24">
        <f t="shared" si="159"/>
        <v>230.26666666666668</v>
      </c>
      <c r="Y1029" s="22">
        <v>4</v>
      </c>
      <c r="Z1029" s="24">
        <f t="shared" si="168"/>
        <v>2870.506135061828</v>
      </c>
      <c r="AA1029" s="24">
        <f t="shared" si="169"/>
        <v>921.06666666666672</v>
      </c>
      <c r="AB1029" s="22">
        <v>11</v>
      </c>
      <c r="AC1029" s="22">
        <f t="shared" si="165"/>
        <v>32</v>
      </c>
      <c r="AD1029" s="22">
        <v>5</v>
      </c>
      <c r="AE1029" s="22" t="s">
        <v>330</v>
      </c>
      <c r="AF1029" s="22">
        <v>0.7</v>
      </c>
      <c r="AG1029" s="22">
        <v>0.7</v>
      </c>
      <c r="AH1029" s="25">
        <f t="shared" si="166"/>
        <v>1620</v>
      </c>
      <c r="AI1029" s="25">
        <f t="shared" si="167"/>
        <v>1232</v>
      </c>
      <c r="AJ1029" s="21">
        <v>1473.7066666666667</v>
      </c>
      <c r="AK1029" s="21">
        <v>32</v>
      </c>
      <c r="AL1029" s="22" t="s">
        <v>161</v>
      </c>
      <c r="AM1029" s="22">
        <v>0.16</v>
      </c>
      <c r="AN1029" s="22" t="s">
        <v>1364</v>
      </c>
      <c r="AO1029" s="22" t="s">
        <v>1364</v>
      </c>
      <c r="AP1029" s="22" t="s">
        <v>162</v>
      </c>
      <c r="AQ1029" s="22" t="str">
        <f t="shared" si="170"/>
        <v>Microphytoplankton</v>
      </c>
      <c r="AR1029" s="22">
        <v>0</v>
      </c>
      <c r="AS1029" s="22">
        <v>0</v>
      </c>
      <c r="AT1029" s="22">
        <v>0</v>
      </c>
      <c r="AU1029" s="22">
        <v>1</v>
      </c>
      <c r="AV1029" s="22">
        <v>0</v>
      </c>
      <c r="AW1029" s="22">
        <v>0</v>
      </c>
      <c r="AX1029" s="22">
        <v>0</v>
      </c>
      <c r="AY1029" s="22">
        <v>1</v>
      </c>
    </row>
    <row r="1030" spans="1:57">
      <c r="A1030" s="21" t="s">
        <v>3020</v>
      </c>
      <c r="B1030" s="22" t="s">
        <v>663</v>
      </c>
      <c r="C1030" s="22" t="s">
        <v>2223</v>
      </c>
      <c r="D1030" s="22" t="s">
        <v>2224</v>
      </c>
      <c r="E1030" s="23" t="s">
        <v>63</v>
      </c>
      <c r="F1030" s="23" t="s">
        <v>2225</v>
      </c>
      <c r="G1030" s="23" t="s">
        <v>2226</v>
      </c>
      <c r="H1030" s="22" t="s">
        <v>2457</v>
      </c>
      <c r="I1030" s="22" t="s">
        <v>53</v>
      </c>
      <c r="J1030" s="21" t="s">
        <v>211</v>
      </c>
      <c r="K1030" s="21"/>
      <c r="L1030" s="21"/>
      <c r="M1030" s="22" t="s">
        <v>1</v>
      </c>
      <c r="N1030" s="22" t="s">
        <v>501</v>
      </c>
      <c r="O1030" s="22" t="s">
        <v>2229</v>
      </c>
      <c r="P1030" s="21">
        <v>82500</v>
      </c>
      <c r="Q1030" s="21">
        <v>11</v>
      </c>
      <c r="R1030" s="21">
        <v>3</v>
      </c>
      <c r="S1030" s="21">
        <v>3</v>
      </c>
      <c r="T1030" s="21" t="s">
        <v>159</v>
      </c>
      <c r="U1030" s="21">
        <v>1</v>
      </c>
      <c r="V1030" s="21">
        <v>1</v>
      </c>
      <c r="W1030" s="24">
        <f t="shared" si="158"/>
        <v>326.01538022567883</v>
      </c>
      <c r="X1030" s="24">
        <f t="shared" si="159"/>
        <v>51.81</v>
      </c>
      <c r="Y1030" s="21">
        <v>4</v>
      </c>
      <c r="Z1030" s="24">
        <f t="shared" si="168"/>
        <v>1304.0615209027153</v>
      </c>
      <c r="AA1030" s="24">
        <f t="shared" si="169"/>
        <v>207.24</v>
      </c>
      <c r="AB1030" s="21">
        <v>11</v>
      </c>
      <c r="AC1030" s="22">
        <f t="shared" si="165"/>
        <v>12</v>
      </c>
      <c r="AD1030" s="21">
        <v>3</v>
      </c>
      <c r="AE1030" s="22" t="s">
        <v>330</v>
      </c>
      <c r="AF1030" s="22">
        <v>0.8</v>
      </c>
      <c r="AG1030" s="22">
        <v>0.8</v>
      </c>
      <c r="AH1030" s="25">
        <f t="shared" si="166"/>
        <v>502.5</v>
      </c>
      <c r="AI1030" s="25">
        <f t="shared" si="167"/>
        <v>316.8</v>
      </c>
      <c r="AJ1030" s="21">
        <v>311</v>
      </c>
      <c r="AK1030" s="21">
        <v>12</v>
      </c>
      <c r="AL1030" s="22" t="s">
        <v>161</v>
      </c>
      <c r="AM1030" s="22">
        <v>0.16</v>
      </c>
      <c r="AN1030" s="22" t="s">
        <v>1364</v>
      </c>
      <c r="AO1030" s="22" t="s">
        <v>1364</v>
      </c>
      <c r="AP1030" s="22" t="s">
        <v>162</v>
      </c>
      <c r="AQ1030" s="22" t="str">
        <f t="shared" si="170"/>
        <v>Nanophytoplankton</v>
      </c>
      <c r="AR1030" s="22">
        <v>0</v>
      </c>
      <c r="AS1030" s="22">
        <v>0</v>
      </c>
      <c r="AT1030" s="22">
        <v>0</v>
      </c>
      <c r="AU1030" s="22">
        <v>1</v>
      </c>
      <c r="AV1030" s="22">
        <v>0</v>
      </c>
      <c r="AW1030" s="22">
        <v>0</v>
      </c>
      <c r="AX1030" s="22">
        <v>0</v>
      </c>
      <c r="AY1030" s="22">
        <v>1</v>
      </c>
      <c r="AZ1030" s="22">
        <v>0</v>
      </c>
      <c r="BA1030" s="22">
        <v>0</v>
      </c>
      <c r="BB1030" s="22">
        <v>0</v>
      </c>
      <c r="BC1030" s="22">
        <v>2</v>
      </c>
      <c r="BD1030" s="22">
        <v>6</v>
      </c>
      <c r="BE1030" s="22">
        <v>2</v>
      </c>
    </row>
    <row r="1031" spans="1:57">
      <c r="A1031" s="21" t="s">
        <v>3021</v>
      </c>
      <c r="B1031" s="22" t="s">
        <v>663</v>
      </c>
      <c r="C1031" s="22" t="s">
        <v>2223</v>
      </c>
      <c r="D1031" s="22" t="s">
        <v>2224</v>
      </c>
      <c r="E1031" s="23" t="s">
        <v>63</v>
      </c>
      <c r="F1031" s="23" t="s">
        <v>2225</v>
      </c>
      <c r="G1031" s="23" t="s">
        <v>2226</v>
      </c>
      <c r="H1031" s="22" t="s">
        <v>2457</v>
      </c>
      <c r="I1031" s="22" t="s">
        <v>53</v>
      </c>
      <c r="J1031" s="21" t="s">
        <v>3022</v>
      </c>
      <c r="K1031" s="21"/>
      <c r="L1031" s="21"/>
      <c r="N1031" s="22" t="s">
        <v>409</v>
      </c>
      <c r="O1031" s="22" t="s">
        <v>2229</v>
      </c>
      <c r="P1031" s="21">
        <v>82540</v>
      </c>
      <c r="Q1031" s="21">
        <v>14</v>
      </c>
      <c r="R1031" s="21">
        <v>5</v>
      </c>
      <c r="S1031" s="21">
        <v>5</v>
      </c>
      <c r="T1031" s="21" t="s">
        <v>159</v>
      </c>
      <c r="U1031" s="21">
        <v>1</v>
      </c>
      <c r="V1031" s="21">
        <v>1</v>
      </c>
      <c r="W1031" s="24">
        <f t="shared" si="158"/>
        <v>688.62301324089731</v>
      </c>
      <c r="X1031" s="24">
        <f t="shared" si="159"/>
        <v>183.16666666666666</v>
      </c>
      <c r="Y1031" s="21">
        <v>4</v>
      </c>
      <c r="Z1031" s="24">
        <f t="shared" si="168"/>
        <v>2754.4920529635892</v>
      </c>
      <c r="AA1031" s="24">
        <f t="shared" si="169"/>
        <v>732.66666666666663</v>
      </c>
      <c r="AB1031" s="21">
        <v>14</v>
      </c>
      <c r="AC1031" s="22">
        <f t="shared" si="165"/>
        <v>20</v>
      </c>
      <c r="AD1031" s="21">
        <v>5</v>
      </c>
      <c r="AE1031" s="22" t="s">
        <v>330</v>
      </c>
      <c r="AF1031" s="22">
        <v>0.8</v>
      </c>
      <c r="AG1031" s="22">
        <v>0.8</v>
      </c>
      <c r="AH1031" s="25">
        <f t="shared" si="166"/>
        <v>1125</v>
      </c>
      <c r="AI1031" s="25">
        <f t="shared" si="167"/>
        <v>1120</v>
      </c>
      <c r="AJ1031" s="21">
        <v>1099.5999999999999</v>
      </c>
      <c r="AK1031" s="21">
        <v>20</v>
      </c>
      <c r="AL1031" s="22" t="s">
        <v>161</v>
      </c>
      <c r="AM1031" s="22">
        <v>0.16</v>
      </c>
      <c r="AN1031" s="22" t="s">
        <v>1364</v>
      </c>
      <c r="AO1031" s="22" t="s">
        <v>1364</v>
      </c>
      <c r="AP1031" s="22" t="s">
        <v>162</v>
      </c>
      <c r="AQ1031" s="22" t="str">
        <f t="shared" si="170"/>
        <v>Microphytoplankton</v>
      </c>
      <c r="AR1031" s="22">
        <v>0</v>
      </c>
      <c r="AS1031" s="22">
        <v>0</v>
      </c>
      <c r="AT1031" s="22">
        <v>0</v>
      </c>
      <c r="AU1031" s="22">
        <v>1</v>
      </c>
      <c r="AV1031" s="22">
        <v>0</v>
      </c>
      <c r="AW1031" s="22">
        <v>0</v>
      </c>
      <c r="AX1031" s="22">
        <v>0</v>
      </c>
      <c r="AY1031" s="22">
        <v>1</v>
      </c>
      <c r="AZ1031" s="22">
        <v>0</v>
      </c>
      <c r="BA1031" s="22">
        <v>0</v>
      </c>
      <c r="BB1031" s="22">
        <v>0</v>
      </c>
      <c r="BC1031" s="22">
        <v>2</v>
      </c>
      <c r="BD1031" s="22">
        <v>6</v>
      </c>
      <c r="BE1031" s="22">
        <v>2</v>
      </c>
    </row>
    <row r="1032" spans="1:57">
      <c r="A1032" s="22" t="s">
        <v>3023</v>
      </c>
      <c r="B1032" s="22" t="s">
        <v>663</v>
      </c>
      <c r="C1032" s="22" t="s">
        <v>2223</v>
      </c>
      <c r="D1032" s="22" t="s">
        <v>2224</v>
      </c>
      <c r="E1032" s="23" t="s">
        <v>63</v>
      </c>
      <c r="F1032" s="23" t="s">
        <v>2225</v>
      </c>
      <c r="G1032" s="23" t="s">
        <v>2226</v>
      </c>
      <c r="H1032" s="22" t="s">
        <v>2457</v>
      </c>
      <c r="I1032" s="22" t="s">
        <v>53</v>
      </c>
      <c r="J1032" s="22" t="s">
        <v>3024</v>
      </c>
      <c r="N1032" s="22" t="s">
        <v>911</v>
      </c>
      <c r="O1032" s="22" t="s">
        <v>2229</v>
      </c>
      <c r="P1032" s="21">
        <v>82479</v>
      </c>
      <c r="Q1032" s="22">
        <v>9.5</v>
      </c>
      <c r="R1032" s="22">
        <v>4.5</v>
      </c>
      <c r="S1032" s="22">
        <v>4</v>
      </c>
      <c r="T1032" s="21" t="s">
        <v>159</v>
      </c>
      <c r="U1032" s="21">
        <v>1</v>
      </c>
      <c r="V1032" s="21">
        <v>1</v>
      </c>
      <c r="W1032" s="24">
        <f t="shared" si="158"/>
        <v>400.68015012010073</v>
      </c>
      <c r="X1032" s="24">
        <f t="shared" si="159"/>
        <v>89.49</v>
      </c>
      <c r="Y1032" s="22">
        <v>4</v>
      </c>
      <c r="Z1032" s="24">
        <f t="shared" si="168"/>
        <v>1602.7206004804029</v>
      </c>
      <c r="AA1032" s="24">
        <f t="shared" si="169"/>
        <v>357.96</v>
      </c>
      <c r="AB1032" s="22">
        <v>9.5</v>
      </c>
      <c r="AC1032" s="22">
        <f t="shared" si="165"/>
        <v>18</v>
      </c>
      <c r="AD1032" s="22">
        <v>4</v>
      </c>
      <c r="AE1032" s="22" t="s">
        <v>330</v>
      </c>
      <c r="AF1032" s="22">
        <v>0.8</v>
      </c>
      <c r="AG1032" s="22">
        <v>0.8</v>
      </c>
      <c r="AH1032" s="25">
        <f t="shared" si="166"/>
        <v>702.5</v>
      </c>
      <c r="AI1032" s="25">
        <f t="shared" si="167"/>
        <v>547.20000000000005</v>
      </c>
      <c r="AJ1032" s="21">
        <v>402.70499999999998</v>
      </c>
      <c r="AK1032" s="21">
        <v>18</v>
      </c>
      <c r="AL1032" s="22" t="s">
        <v>161</v>
      </c>
      <c r="AM1032" s="22">
        <v>0.16</v>
      </c>
      <c r="AN1032" s="22" t="s">
        <v>1364</v>
      </c>
      <c r="AO1032" s="22" t="s">
        <v>1364</v>
      </c>
      <c r="AP1032" s="22" t="s">
        <v>162</v>
      </c>
      <c r="AQ1032" s="22" t="str">
        <f t="shared" si="170"/>
        <v>Nanophytoplankton</v>
      </c>
      <c r="AR1032" s="22">
        <v>0</v>
      </c>
      <c r="AS1032" s="22">
        <v>0</v>
      </c>
      <c r="AT1032" s="22">
        <v>0</v>
      </c>
      <c r="AU1032" s="22">
        <v>1</v>
      </c>
      <c r="AV1032" s="22">
        <v>0</v>
      </c>
      <c r="AW1032" s="22">
        <v>0</v>
      </c>
      <c r="AX1032" s="22">
        <v>0</v>
      </c>
      <c r="AY1032" s="22">
        <v>1</v>
      </c>
    </row>
    <row r="1033" spans="1:57">
      <c r="A1033" s="22" t="s">
        <v>3025</v>
      </c>
      <c r="B1033" s="22" t="s">
        <v>663</v>
      </c>
      <c r="C1033" s="22" t="s">
        <v>2223</v>
      </c>
      <c r="D1033" s="22" t="s">
        <v>2224</v>
      </c>
      <c r="E1033" s="23" t="s">
        <v>63</v>
      </c>
      <c r="F1033" s="23" t="s">
        <v>2225</v>
      </c>
      <c r="G1033" s="23" t="s">
        <v>2226</v>
      </c>
      <c r="H1033" s="22" t="s">
        <v>2457</v>
      </c>
      <c r="I1033" s="22" t="s">
        <v>3026</v>
      </c>
      <c r="J1033" s="22" t="s">
        <v>3027</v>
      </c>
      <c r="N1033" s="22" t="s">
        <v>520</v>
      </c>
      <c r="O1033" s="22" t="s">
        <v>2229</v>
      </c>
      <c r="P1033" s="21">
        <v>86212</v>
      </c>
      <c r="Q1033" s="22">
        <v>9</v>
      </c>
      <c r="R1033" s="22">
        <v>2</v>
      </c>
      <c r="S1033" s="22">
        <v>2</v>
      </c>
      <c r="T1033" s="22" t="s">
        <v>874</v>
      </c>
      <c r="U1033" s="21">
        <v>1</v>
      </c>
      <c r="V1033" s="21">
        <v>1</v>
      </c>
      <c r="W1033" s="24">
        <f t="shared" si="158"/>
        <v>178.71356539559204</v>
      </c>
      <c r="X1033" s="24">
        <f>3.14/12*R1033*S1033*Q1033*U1033</f>
        <v>9.42</v>
      </c>
      <c r="Y1033" s="22">
        <v>1</v>
      </c>
      <c r="Z1033" s="24">
        <f t="shared" si="168"/>
        <v>178.71356539559204</v>
      </c>
      <c r="AA1033" s="24">
        <f t="shared" si="169"/>
        <v>9.42</v>
      </c>
      <c r="AC1033" s="22">
        <f t="shared" si="165"/>
        <v>2</v>
      </c>
      <c r="AJ1033" s="21">
        <v>9.42</v>
      </c>
      <c r="AK1033" s="21">
        <v>9</v>
      </c>
      <c r="AL1033" s="22" t="s">
        <v>161</v>
      </c>
      <c r="AM1033" s="22">
        <v>0.16</v>
      </c>
      <c r="AO1033" s="22" t="s">
        <v>1015</v>
      </c>
      <c r="AP1033" s="22" t="s">
        <v>162</v>
      </c>
      <c r="AQ1033" s="22" t="str">
        <f t="shared" si="170"/>
        <v>Nanophytoplankton</v>
      </c>
      <c r="AR1033" s="22">
        <v>0</v>
      </c>
      <c r="AS1033" s="22">
        <v>0</v>
      </c>
      <c r="AT1033" s="22">
        <v>0</v>
      </c>
      <c r="AU1033" s="22">
        <v>0</v>
      </c>
      <c r="AV1033" s="22">
        <v>0</v>
      </c>
      <c r="AW1033" s="22">
        <v>0</v>
      </c>
      <c r="AX1033" s="22">
        <v>0</v>
      </c>
      <c r="AY1033" s="22">
        <v>1</v>
      </c>
    </row>
    <row r="1034" spans="1:57">
      <c r="A1034" s="22" t="s">
        <v>3028</v>
      </c>
      <c r="B1034" s="22" t="s">
        <v>663</v>
      </c>
      <c r="C1034" s="22" t="s">
        <v>2223</v>
      </c>
      <c r="D1034" s="22" t="s">
        <v>2224</v>
      </c>
      <c r="E1034" s="23" t="s">
        <v>63</v>
      </c>
      <c r="F1034" s="23" t="s">
        <v>2225</v>
      </c>
      <c r="G1034" s="23" t="s">
        <v>2226</v>
      </c>
      <c r="H1034" s="22" t="s">
        <v>2457</v>
      </c>
      <c r="I1034" s="22" t="s">
        <v>3026</v>
      </c>
      <c r="J1034" s="22" t="s">
        <v>3029</v>
      </c>
      <c r="N1034" s="22" t="s">
        <v>3030</v>
      </c>
      <c r="O1034" s="22" t="s">
        <v>2229</v>
      </c>
      <c r="P1034" s="21">
        <v>86213</v>
      </c>
      <c r="Q1034" s="22">
        <v>20</v>
      </c>
      <c r="R1034" s="22">
        <v>8</v>
      </c>
      <c r="S1034" s="22">
        <v>5</v>
      </c>
      <c r="T1034" s="22" t="s">
        <v>874</v>
      </c>
      <c r="U1034" s="21">
        <v>1</v>
      </c>
      <c r="V1034" s="21">
        <v>1</v>
      </c>
      <c r="W1034" s="24">
        <f t="shared" si="158"/>
        <v>1294.1485318705168</v>
      </c>
      <c r="X1034" s="24">
        <f>3.14/12*R1034*S1034*Q1034*U1034</f>
        <v>209.33333333333334</v>
      </c>
      <c r="Y1034" s="22">
        <v>1</v>
      </c>
      <c r="Z1034" s="24">
        <f t="shared" si="168"/>
        <v>1294.1485318705168</v>
      </c>
      <c r="AA1034" s="24">
        <f t="shared" si="169"/>
        <v>209.33333333333334</v>
      </c>
      <c r="AJ1034" s="21">
        <v>334.93333333333334</v>
      </c>
      <c r="AK1034" s="21">
        <v>20</v>
      </c>
      <c r="AL1034" s="22" t="s">
        <v>161</v>
      </c>
      <c r="AM1034" s="22">
        <v>0.16</v>
      </c>
      <c r="AO1034" s="22" t="s">
        <v>1015</v>
      </c>
      <c r="AP1034" s="22" t="s">
        <v>162</v>
      </c>
      <c r="AQ1034" s="22" t="str">
        <f t="shared" si="170"/>
        <v>Microphytoplankton</v>
      </c>
      <c r="AR1034" s="22">
        <v>0</v>
      </c>
      <c r="AS1034" s="22">
        <v>0</v>
      </c>
      <c r="AT1034" s="22">
        <v>0</v>
      </c>
      <c r="AU1034" s="22">
        <v>0</v>
      </c>
      <c r="AV1034" s="22">
        <v>0</v>
      </c>
      <c r="AW1034" s="22">
        <v>0</v>
      </c>
      <c r="AX1034" s="22">
        <v>0</v>
      </c>
      <c r="AY1034" s="22">
        <v>1</v>
      </c>
    </row>
    <row r="1035" spans="1:57">
      <c r="A1035" s="22" t="s">
        <v>3031</v>
      </c>
      <c r="B1035" s="22" t="s">
        <v>663</v>
      </c>
      <c r="C1035" s="22" t="s">
        <v>2223</v>
      </c>
      <c r="D1035" s="22" t="s">
        <v>2224</v>
      </c>
      <c r="E1035" s="23" t="s">
        <v>63</v>
      </c>
      <c r="F1035" s="23" t="s">
        <v>2225</v>
      </c>
      <c r="G1035" s="23" t="s">
        <v>2226</v>
      </c>
      <c r="H1035" s="22" t="s">
        <v>2457</v>
      </c>
      <c r="I1035" s="22" t="s">
        <v>3026</v>
      </c>
      <c r="J1035" s="22" t="s">
        <v>3032</v>
      </c>
      <c r="N1035" s="22" t="s">
        <v>3033</v>
      </c>
      <c r="O1035" s="22" t="s">
        <v>2229</v>
      </c>
      <c r="P1035" s="22">
        <v>86210</v>
      </c>
      <c r="Q1035" s="22">
        <v>40</v>
      </c>
      <c r="R1035" s="22">
        <v>5</v>
      </c>
      <c r="S1035" s="22">
        <v>5</v>
      </c>
      <c r="T1035" s="22" t="s">
        <v>874</v>
      </c>
      <c r="U1035" s="21">
        <v>1</v>
      </c>
      <c r="V1035" s="21">
        <v>1</v>
      </c>
      <c r="W1035" s="24">
        <f t="shared" si="158"/>
        <v>1953.0057648453731</v>
      </c>
      <c r="X1035" s="24">
        <f>3.14/12*R1035*S1035*Q1035*U1035</f>
        <v>261.66666666666669</v>
      </c>
      <c r="Y1035" s="22">
        <v>1</v>
      </c>
      <c r="Z1035" s="24">
        <f t="shared" si="168"/>
        <v>1953.0057648453731</v>
      </c>
      <c r="AA1035" s="24">
        <f t="shared" si="169"/>
        <v>261.66666666666669</v>
      </c>
      <c r="AJ1035" s="21">
        <v>261.66666666666663</v>
      </c>
      <c r="AK1035" s="21">
        <v>40</v>
      </c>
      <c r="AL1035" s="22" t="s">
        <v>161</v>
      </c>
      <c r="AM1035" s="22">
        <v>0.16</v>
      </c>
      <c r="AO1035" s="22" t="s">
        <v>1015</v>
      </c>
      <c r="AP1035" s="22" t="s">
        <v>162</v>
      </c>
      <c r="AQ1035" s="22" t="str">
        <f t="shared" si="170"/>
        <v>Microphytoplankton</v>
      </c>
      <c r="AR1035" s="22">
        <v>0</v>
      </c>
      <c r="AS1035" s="22">
        <v>0</v>
      </c>
      <c r="AT1035" s="22">
        <v>0</v>
      </c>
      <c r="AU1035" s="22">
        <v>0</v>
      </c>
      <c r="AV1035" s="22">
        <v>0</v>
      </c>
      <c r="AW1035" s="22">
        <v>0</v>
      </c>
      <c r="AX1035" s="22">
        <v>0</v>
      </c>
      <c r="AY1035" s="22">
        <v>1</v>
      </c>
      <c r="AZ1035" s="22">
        <v>0</v>
      </c>
      <c r="BA1035" s="22">
        <v>0</v>
      </c>
      <c r="BB1035" s="22">
        <v>0</v>
      </c>
      <c r="BC1035" s="22">
        <v>2</v>
      </c>
      <c r="BD1035" s="22">
        <v>6</v>
      </c>
      <c r="BE1035" s="22">
        <v>2</v>
      </c>
    </row>
    <row r="1036" spans="1:57">
      <c r="A1036" s="22" t="s">
        <v>3034</v>
      </c>
      <c r="B1036" s="22" t="s">
        <v>663</v>
      </c>
      <c r="C1036" s="22" t="s">
        <v>2223</v>
      </c>
      <c r="D1036" s="22" t="s">
        <v>2224</v>
      </c>
      <c r="E1036" s="23" t="s">
        <v>63</v>
      </c>
      <c r="F1036" s="23" t="s">
        <v>2225</v>
      </c>
      <c r="G1036" s="23" t="s">
        <v>2226</v>
      </c>
      <c r="H1036" s="22" t="s">
        <v>2253</v>
      </c>
      <c r="I1036" s="22" t="s">
        <v>3035</v>
      </c>
      <c r="J1036" s="22" t="s">
        <v>3036</v>
      </c>
      <c r="N1036" s="22" t="s">
        <v>2497</v>
      </c>
      <c r="O1036" s="22" t="s">
        <v>2229</v>
      </c>
      <c r="P1036" s="22">
        <v>86410</v>
      </c>
      <c r="Q1036" s="22">
        <v>5.85</v>
      </c>
      <c r="R1036" s="22">
        <v>1.9</v>
      </c>
      <c r="S1036" s="22">
        <v>1.9</v>
      </c>
      <c r="T1036" s="22" t="s">
        <v>281</v>
      </c>
      <c r="U1036" s="22">
        <v>1</v>
      </c>
      <c r="V1036" s="22">
        <v>1</v>
      </c>
      <c r="W1036" s="24">
        <f t="shared" si="158"/>
        <v>112.32108765690867</v>
      </c>
      <c r="X1036" s="24">
        <f t="shared" ref="X1036:X1045" si="171">3.14/6*Q1036*R1036*S1036*U1036</f>
        <v>11.052014999999997</v>
      </c>
      <c r="Y1036" s="22">
        <v>1</v>
      </c>
      <c r="Z1036" s="24">
        <f t="shared" si="168"/>
        <v>112.32108765690867</v>
      </c>
      <c r="AA1036" s="24">
        <f t="shared" si="169"/>
        <v>11.052014999999997</v>
      </c>
      <c r="AJ1036" s="21">
        <v>17</v>
      </c>
      <c r="AK1036" s="21">
        <v>6</v>
      </c>
      <c r="AL1036" s="22" t="s">
        <v>161</v>
      </c>
      <c r="AM1036" s="22">
        <v>0.16</v>
      </c>
      <c r="AP1036" s="22" t="s">
        <v>626</v>
      </c>
      <c r="AQ1036" s="22" t="str">
        <f t="shared" si="170"/>
        <v>Nanophytoplankton</v>
      </c>
      <c r="AR1036" s="22">
        <v>0</v>
      </c>
      <c r="AS1036" s="22">
        <v>0</v>
      </c>
      <c r="AT1036" s="22">
        <v>0</v>
      </c>
      <c r="AU1036" s="22">
        <v>1</v>
      </c>
      <c r="AV1036" s="22">
        <v>0</v>
      </c>
      <c r="AW1036" s="22">
        <v>0</v>
      </c>
      <c r="AX1036" s="22">
        <v>0</v>
      </c>
      <c r="AY1036" s="22">
        <v>1</v>
      </c>
    </row>
    <row r="1037" spans="1:57">
      <c r="A1037" s="22" t="s">
        <v>3037</v>
      </c>
      <c r="B1037" s="22" t="s">
        <v>663</v>
      </c>
      <c r="C1037" s="22" t="s">
        <v>2223</v>
      </c>
      <c r="D1037" s="22" t="s">
        <v>2224</v>
      </c>
      <c r="E1037" s="23" t="s">
        <v>63</v>
      </c>
      <c r="F1037" s="23" t="s">
        <v>2859</v>
      </c>
      <c r="G1037" s="23" t="s">
        <v>2860</v>
      </c>
      <c r="H1037" s="23" t="s">
        <v>3038</v>
      </c>
      <c r="I1037" s="22" t="s">
        <v>3039</v>
      </c>
      <c r="J1037" s="22" t="s">
        <v>3040</v>
      </c>
      <c r="N1037" s="22" t="s">
        <v>3041</v>
      </c>
      <c r="O1037" s="22" t="s">
        <v>2229</v>
      </c>
      <c r="P1037" s="22">
        <v>86211</v>
      </c>
      <c r="Q1037" s="21">
        <v>14</v>
      </c>
      <c r="R1037" s="21">
        <v>4</v>
      </c>
      <c r="S1037" s="21">
        <v>2.2000000000000002</v>
      </c>
      <c r="T1037" s="21" t="s">
        <v>281</v>
      </c>
      <c r="U1037" s="21">
        <v>0.9</v>
      </c>
      <c r="V1037" s="21">
        <v>0.9</v>
      </c>
      <c r="W1037" s="24">
        <f t="shared" ref="W1037:W1045" si="172">(4*3.14*(((Q1037^1.6*R1037^1.6+Q1037^1.6*S1037^1.6+R1037^1.6+S1037^1.6)/3)^(1/1.6)))*(1/V1037)</f>
        <v>486.33835421970497</v>
      </c>
      <c r="X1037" s="24">
        <f t="shared" si="171"/>
        <v>58.027200000000001</v>
      </c>
      <c r="Y1037" s="21">
        <v>1</v>
      </c>
      <c r="Z1037" s="24">
        <f t="shared" si="168"/>
        <v>486.33835421970497</v>
      </c>
      <c r="AA1037" s="24">
        <f t="shared" si="169"/>
        <v>58.027200000000001</v>
      </c>
      <c r="AB1037" s="21"/>
      <c r="AC1037" s="21"/>
      <c r="AD1037" s="21"/>
      <c r="AE1037" s="21"/>
      <c r="AF1037" s="21"/>
      <c r="AG1037" s="21"/>
      <c r="AH1037" s="24"/>
      <c r="AI1037" s="24"/>
      <c r="AJ1037" s="21">
        <v>110</v>
      </c>
      <c r="AK1037" s="21">
        <v>14</v>
      </c>
      <c r="AL1037" s="22" t="s">
        <v>161</v>
      </c>
      <c r="AM1037" s="22">
        <v>0.16</v>
      </c>
      <c r="AP1037" s="22" t="s">
        <v>626</v>
      </c>
      <c r="AQ1037" s="22" t="str">
        <f t="shared" si="170"/>
        <v>Nanophytoplankton</v>
      </c>
      <c r="AR1037" s="22">
        <v>1</v>
      </c>
      <c r="AS1037" s="22">
        <v>1</v>
      </c>
      <c r="AT1037" s="22">
        <v>0</v>
      </c>
      <c r="AU1037" s="22">
        <v>0</v>
      </c>
      <c r="AV1037" s="22">
        <v>0</v>
      </c>
      <c r="AW1037" s="22">
        <v>0</v>
      </c>
      <c r="AX1037" s="22">
        <v>0</v>
      </c>
      <c r="AY1037" s="22">
        <v>1</v>
      </c>
    </row>
    <row r="1038" spans="1:57">
      <c r="A1038" s="22" t="s">
        <v>3042</v>
      </c>
      <c r="B1038" s="22" t="s">
        <v>663</v>
      </c>
      <c r="C1038" s="22" t="s">
        <v>2223</v>
      </c>
      <c r="D1038" s="22" t="s">
        <v>2224</v>
      </c>
      <c r="E1038" s="23" t="s">
        <v>63</v>
      </c>
      <c r="F1038" s="23" t="s">
        <v>2225</v>
      </c>
      <c r="G1038" s="23" t="s">
        <v>2226</v>
      </c>
      <c r="H1038" s="23" t="s">
        <v>2239</v>
      </c>
      <c r="I1038" s="22" t="s">
        <v>3043</v>
      </c>
      <c r="J1038" s="22" t="s">
        <v>1294</v>
      </c>
      <c r="N1038" s="22" t="s">
        <v>3044</v>
      </c>
      <c r="O1038" s="22" t="s">
        <v>2229</v>
      </c>
      <c r="P1038" s="22">
        <v>81623</v>
      </c>
      <c r="Q1038" s="22">
        <v>5</v>
      </c>
      <c r="R1038" s="22">
        <v>5</v>
      </c>
      <c r="S1038" s="22">
        <v>5</v>
      </c>
      <c r="T1038" s="21" t="s">
        <v>281</v>
      </c>
      <c r="U1038" s="22">
        <v>1</v>
      </c>
      <c r="V1038" s="22">
        <v>1</v>
      </c>
      <c r="W1038" s="24">
        <f t="shared" si="172"/>
        <v>255.14798814971115</v>
      </c>
      <c r="X1038" s="24">
        <f t="shared" si="171"/>
        <v>65.416666666666671</v>
      </c>
      <c r="Y1038" s="21">
        <v>1</v>
      </c>
      <c r="Z1038" s="24">
        <f t="shared" si="168"/>
        <v>255.14798814971115</v>
      </c>
      <c r="AA1038" s="24">
        <f t="shared" si="169"/>
        <v>65.416666666666671</v>
      </c>
      <c r="AJ1038" s="21">
        <v>65.416666666666657</v>
      </c>
      <c r="AK1038" s="21">
        <v>5</v>
      </c>
      <c r="AL1038" s="22" t="s">
        <v>161</v>
      </c>
      <c r="AM1038" s="22">
        <v>0.16</v>
      </c>
      <c r="AP1038" s="22" t="s">
        <v>626</v>
      </c>
      <c r="AQ1038" s="22" t="str">
        <f t="shared" si="170"/>
        <v>Nanophytoplankton</v>
      </c>
      <c r="AR1038" s="22">
        <v>0</v>
      </c>
      <c r="AS1038" s="22">
        <v>0</v>
      </c>
      <c r="AT1038" s="22">
        <v>0</v>
      </c>
      <c r="AU1038" s="22">
        <v>1</v>
      </c>
      <c r="AV1038" s="22">
        <v>0</v>
      </c>
      <c r="AW1038" s="22">
        <v>0</v>
      </c>
      <c r="AX1038" s="22">
        <v>0</v>
      </c>
      <c r="AY1038" s="22">
        <v>1</v>
      </c>
    </row>
    <row r="1039" spans="1:57">
      <c r="A1039" s="22" t="s">
        <v>3045</v>
      </c>
      <c r="B1039" s="22" t="s">
        <v>663</v>
      </c>
      <c r="C1039" s="22" t="s">
        <v>2223</v>
      </c>
      <c r="D1039" s="22" t="s">
        <v>2224</v>
      </c>
      <c r="E1039" s="23" t="s">
        <v>63</v>
      </c>
      <c r="F1039" s="23" t="s">
        <v>2225</v>
      </c>
      <c r="G1039" s="23" t="s">
        <v>2226</v>
      </c>
      <c r="H1039" s="23" t="s">
        <v>2239</v>
      </c>
      <c r="I1039" s="22" t="s">
        <v>3043</v>
      </c>
      <c r="J1039" s="22" t="s">
        <v>3046</v>
      </c>
      <c r="N1039" s="22" t="s">
        <v>3044</v>
      </c>
      <c r="O1039" s="22" t="s">
        <v>2229</v>
      </c>
      <c r="P1039" s="22">
        <v>81624</v>
      </c>
      <c r="Q1039" s="22">
        <v>5</v>
      </c>
      <c r="R1039" s="22">
        <v>3</v>
      </c>
      <c r="S1039" s="22">
        <v>3</v>
      </c>
      <c r="T1039" s="21" t="s">
        <v>281</v>
      </c>
      <c r="U1039" s="22">
        <v>1</v>
      </c>
      <c r="V1039" s="22">
        <v>1</v>
      </c>
      <c r="W1039" s="24">
        <f t="shared" si="172"/>
        <v>153.08879288982666</v>
      </c>
      <c r="X1039" s="24">
        <f t="shared" si="171"/>
        <v>23.549999999999997</v>
      </c>
      <c r="Y1039" s="21">
        <v>1</v>
      </c>
      <c r="Z1039" s="24">
        <f t="shared" si="168"/>
        <v>153.08879288982666</v>
      </c>
      <c r="AA1039" s="24">
        <f t="shared" si="169"/>
        <v>23.549999999999997</v>
      </c>
      <c r="AJ1039" s="21">
        <v>23.55</v>
      </c>
      <c r="AK1039" s="21">
        <v>5</v>
      </c>
      <c r="AL1039" s="22" t="s">
        <v>161</v>
      </c>
      <c r="AM1039" s="22">
        <v>0.16</v>
      </c>
      <c r="AP1039" s="22" t="s">
        <v>626</v>
      </c>
      <c r="AQ1039" s="22" t="str">
        <f t="shared" si="170"/>
        <v>Nanophytoplankton</v>
      </c>
      <c r="AR1039" s="22">
        <v>0</v>
      </c>
      <c r="AS1039" s="22">
        <v>0</v>
      </c>
      <c r="AT1039" s="22">
        <v>0</v>
      </c>
      <c r="AU1039" s="22">
        <v>1</v>
      </c>
      <c r="AV1039" s="22">
        <v>0</v>
      </c>
      <c r="AW1039" s="22">
        <v>0</v>
      </c>
      <c r="AX1039" s="22">
        <v>0</v>
      </c>
      <c r="AY1039" s="22">
        <v>1</v>
      </c>
    </row>
    <row r="1040" spans="1:57">
      <c r="A1040" s="22" t="s">
        <v>3047</v>
      </c>
      <c r="B1040" s="22" t="s">
        <v>663</v>
      </c>
      <c r="C1040" s="22" t="s">
        <v>2223</v>
      </c>
      <c r="D1040" s="22" t="s">
        <v>2224</v>
      </c>
      <c r="E1040" s="23" t="s">
        <v>63</v>
      </c>
      <c r="F1040" s="23" t="s">
        <v>2225</v>
      </c>
      <c r="G1040" s="23" t="s">
        <v>2226</v>
      </c>
      <c r="H1040" s="23" t="s">
        <v>2239</v>
      </c>
      <c r="I1040" s="22" t="s">
        <v>3043</v>
      </c>
      <c r="J1040" s="22" t="s">
        <v>3048</v>
      </c>
      <c r="N1040" s="22" t="s">
        <v>1003</v>
      </c>
      <c r="O1040" s="22" t="s">
        <v>2229</v>
      </c>
      <c r="P1040" s="22">
        <v>81625</v>
      </c>
      <c r="Q1040" s="22">
        <v>10</v>
      </c>
      <c r="R1040" s="22">
        <v>6</v>
      </c>
      <c r="S1040" s="22">
        <v>6</v>
      </c>
      <c r="T1040" s="21" t="s">
        <v>281</v>
      </c>
      <c r="U1040" s="22">
        <v>1</v>
      </c>
      <c r="V1040" s="22">
        <v>1</v>
      </c>
      <c r="W1040" s="24">
        <f t="shared" si="172"/>
        <v>594.04281007695658</v>
      </c>
      <c r="X1040" s="24">
        <f t="shared" si="171"/>
        <v>188.39999999999998</v>
      </c>
      <c r="Y1040" s="21">
        <v>1</v>
      </c>
      <c r="Z1040" s="24">
        <f t="shared" si="168"/>
        <v>594.04281007695658</v>
      </c>
      <c r="AA1040" s="24">
        <f t="shared" si="169"/>
        <v>188.39999999999998</v>
      </c>
      <c r="AJ1040" s="21">
        <v>188.4</v>
      </c>
      <c r="AK1040" s="21">
        <v>10</v>
      </c>
      <c r="AL1040" s="22" t="s">
        <v>161</v>
      </c>
      <c r="AM1040" s="22">
        <v>0.16</v>
      </c>
      <c r="AQ1040" s="22" t="str">
        <f t="shared" si="170"/>
        <v>Nanophytoplankton</v>
      </c>
      <c r="AR1040" s="22">
        <v>0</v>
      </c>
      <c r="AS1040" s="22">
        <v>0</v>
      </c>
      <c r="AT1040" s="22">
        <v>0</v>
      </c>
      <c r="AU1040" s="22">
        <v>1</v>
      </c>
      <c r="AV1040" s="22">
        <v>0</v>
      </c>
      <c r="AW1040" s="22">
        <v>0</v>
      </c>
      <c r="AX1040" s="22">
        <v>0</v>
      </c>
      <c r="AY1040" s="22">
        <v>1</v>
      </c>
    </row>
    <row r="1041" spans="1:57">
      <c r="A1041" s="22" t="s">
        <v>3049</v>
      </c>
      <c r="B1041" s="22" t="s">
        <v>663</v>
      </c>
      <c r="C1041" s="22" t="s">
        <v>2223</v>
      </c>
      <c r="D1041" s="22" t="s">
        <v>2224</v>
      </c>
      <c r="E1041" s="23" t="s">
        <v>63</v>
      </c>
      <c r="F1041" s="23" t="s">
        <v>2225</v>
      </c>
      <c r="G1041" s="23" t="s">
        <v>2226</v>
      </c>
      <c r="H1041" s="23" t="s">
        <v>2239</v>
      </c>
      <c r="I1041" s="22" t="s">
        <v>3043</v>
      </c>
      <c r="J1041" s="22" t="s">
        <v>211</v>
      </c>
      <c r="M1041" s="22" t="s">
        <v>1</v>
      </c>
      <c r="N1041" s="22" t="s">
        <v>3050</v>
      </c>
      <c r="O1041" s="22" t="s">
        <v>2229</v>
      </c>
      <c r="P1041" s="22">
        <v>81626</v>
      </c>
      <c r="Q1041" s="22">
        <v>6</v>
      </c>
      <c r="R1041" s="22">
        <v>4</v>
      </c>
      <c r="S1041" s="22">
        <v>4</v>
      </c>
      <c r="T1041" s="21" t="s">
        <v>281</v>
      </c>
      <c r="U1041" s="22">
        <v>1</v>
      </c>
      <c r="V1041" s="22">
        <v>1</v>
      </c>
      <c r="W1041" s="24">
        <f t="shared" si="172"/>
        <v>242.19202616254199</v>
      </c>
      <c r="X1041" s="24">
        <f t="shared" si="171"/>
        <v>50.239999999999995</v>
      </c>
      <c r="Y1041" s="21">
        <v>1</v>
      </c>
      <c r="Z1041" s="24">
        <f t="shared" si="168"/>
        <v>242.19202616254199</v>
      </c>
      <c r="AA1041" s="24">
        <f t="shared" si="169"/>
        <v>50.239999999999995</v>
      </c>
      <c r="AJ1041" s="21">
        <v>50.239999999999995</v>
      </c>
      <c r="AK1041" s="21">
        <v>6</v>
      </c>
      <c r="AL1041" s="22" t="s">
        <v>161</v>
      </c>
      <c r="AM1041" s="22">
        <v>0.16</v>
      </c>
      <c r="AP1041" s="22" t="s">
        <v>626</v>
      </c>
      <c r="AQ1041" s="22" t="str">
        <f t="shared" si="170"/>
        <v>Nanophytoplankton</v>
      </c>
      <c r="AR1041" s="22">
        <v>0</v>
      </c>
      <c r="AS1041" s="22">
        <v>0</v>
      </c>
      <c r="AT1041" s="22">
        <v>0</v>
      </c>
      <c r="AU1041" s="22">
        <v>1</v>
      </c>
      <c r="AV1041" s="22">
        <v>0</v>
      </c>
      <c r="AW1041" s="22">
        <v>0</v>
      </c>
      <c r="AX1041" s="22">
        <v>0</v>
      </c>
      <c r="AY1041" s="22">
        <v>1</v>
      </c>
    </row>
    <row r="1042" spans="1:57">
      <c r="A1042" s="22" t="s">
        <v>3051</v>
      </c>
      <c r="B1042" s="22" t="s">
        <v>663</v>
      </c>
      <c r="C1042" s="22" t="s">
        <v>2223</v>
      </c>
      <c r="D1042" s="22" t="s">
        <v>2224</v>
      </c>
      <c r="E1042" s="23" t="s">
        <v>63</v>
      </c>
      <c r="F1042" s="23" t="s">
        <v>2225</v>
      </c>
      <c r="G1042" s="23" t="s">
        <v>2284</v>
      </c>
      <c r="H1042" s="23" t="s">
        <v>2285</v>
      </c>
      <c r="I1042" s="22" t="s">
        <v>3052</v>
      </c>
      <c r="J1042" s="22" t="s">
        <v>3053</v>
      </c>
      <c r="N1042" s="22" t="s">
        <v>3054</v>
      </c>
      <c r="O1042" s="22" t="s">
        <v>2229</v>
      </c>
      <c r="P1042" s="22">
        <v>89700</v>
      </c>
      <c r="Q1042" s="21">
        <v>21</v>
      </c>
      <c r="R1042" s="21">
        <v>9</v>
      </c>
      <c r="S1042" s="21">
        <v>9</v>
      </c>
      <c r="T1042" s="21" t="s">
        <v>281</v>
      </c>
      <c r="U1042" s="21">
        <v>1</v>
      </c>
      <c r="V1042" s="21">
        <v>1</v>
      </c>
      <c r="W1042" s="24">
        <f t="shared" si="172"/>
        <v>1851.2570092549347</v>
      </c>
      <c r="X1042" s="24">
        <f t="shared" si="171"/>
        <v>890.18999999999994</v>
      </c>
      <c r="Y1042" s="21">
        <v>1</v>
      </c>
      <c r="Z1042" s="24">
        <f t="shared" si="168"/>
        <v>1851.2570092549347</v>
      </c>
      <c r="AA1042" s="24">
        <f t="shared" si="169"/>
        <v>890.18999999999994</v>
      </c>
      <c r="AB1042" s="21"/>
      <c r="AC1042" s="21"/>
      <c r="AD1042" s="21"/>
      <c r="AE1042" s="21"/>
      <c r="AF1042" s="21"/>
      <c r="AG1042" s="21"/>
      <c r="AH1042" s="24"/>
      <c r="AI1042" s="24"/>
      <c r="AJ1042" s="21">
        <v>890.2</v>
      </c>
      <c r="AK1042" s="21">
        <v>21</v>
      </c>
      <c r="AL1042" s="22" t="s">
        <v>161</v>
      </c>
      <c r="AM1042" s="22">
        <v>0.16</v>
      </c>
      <c r="AP1042" s="22" t="s">
        <v>673</v>
      </c>
      <c r="AQ1042" s="22" t="str">
        <f t="shared" si="170"/>
        <v>Microphytoplankton</v>
      </c>
      <c r="AR1042" s="22">
        <v>1</v>
      </c>
      <c r="AS1042" s="22">
        <v>1</v>
      </c>
      <c r="AT1042" s="22">
        <v>0</v>
      </c>
      <c r="AU1042" s="22">
        <v>0</v>
      </c>
      <c r="AV1042" s="22">
        <v>0</v>
      </c>
      <c r="AW1042" s="22">
        <v>0</v>
      </c>
      <c r="AX1042" s="22">
        <v>0</v>
      </c>
      <c r="AY1042" s="22">
        <v>1</v>
      </c>
    </row>
    <row r="1043" spans="1:57">
      <c r="A1043" s="21" t="s">
        <v>3055</v>
      </c>
      <c r="B1043" s="22" t="s">
        <v>663</v>
      </c>
      <c r="C1043" s="22" t="s">
        <v>2223</v>
      </c>
      <c r="D1043" s="22" t="s">
        <v>2224</v>
      </c>
      <c r="E1043" s="23" t="s">
        <v>63</v>
      </c>
      <c r="F1043" s="23" t="s">
        <v>2225</v>
      </c>
      <c r="G1043" s="23" t="s">
        <v>2226</v>
      </c>
      <c r="H1043" s="22" t="s">
        <v>2311</v>
      </c>
      <c r="I1043" s="22" t="s">
        <v>3056</v>
      </c>
      <c r="J1043" s="22" t="s">
        <v>3057</v>
      </c>
      <c r="N1043" s="22" t="s">
        <v>409</v>
      </c>
      <c r="O1043" s="22" t="s">
        <v>2229</v>
      </c>
      <c r="P1043" s="21">
        <v>81110</v>
      </c>
      <c r="Q1043" s="21">
        <v>5</v>
      </c>
      <c r="R1043" s="21">
        <v>5</v>
      </c>
      <c r="S1043" s="21">
        <v>5</v>
      </c>
      <c r="T1043" s="21" t="s">
        <v>281</v>
      </c>
      <c r="U1043" s="21">
        <v>1</v>
      </c>
      <c r="V1043" s="21">
        <v>1</v>
      </c>
      <c r="W1043" s="24">
        <f t="shared" si="172"/>
        <v>255.14798814971115</v>
      </c>
      <c r="X1043" s="24">
        <f t="shared" si="171"/>
        <v>65.416666666666671</v>
      </c>
      <c r="Y1043" s="21">
        <v>16</v>
      </c>
      <c r="Z1043" s="24">
        <f t="shared" si="168"/>
        <v>4082.3678103953785</v>
      </c>
      <c r="AA1043" s="24">
        <f t="shared" si="169"/>
        <v>1046.6666666666667</v>
      </c>
      <c r="AB1043" s="21">
        <v>60</v>
      </c>
      <c r="AC1043" s="21">
        <v>60</v>
      </c>
      <c r="AD1043" s="21">
        <v>60</v>
      </c>
      <c r="AE1043" s="21" t="s">
        <v>246</v>
      </c>
      <c r="AF1043" s="21">
        <v>0.1</v>
      </c>
      <c r="AG1043" s="21">
        <v>0.1</v>
      </c>
      <c r="AH1043" s="25">
        <f>4*3.14*(AC1043/2)*(AB1043/2)/AG1043</f>
        <v>113040</v>
      </c>
      <c r="AI1043" s="25">
        <f>(3.14/6*(AD1043*AB1043*AC1043))*AF1043</f>
        <v>11304</v>
      </c>
      <c r="AJ1043" s="21">
        <v>1047.2</v>
      </c>
      <c r="AK1043" s="21">
        <v>50</v>
      </c>
      <c r="AL1043" s="22" t="s">
        <v>161</v>
      </c>
      <c r="AM1043" s="22">
        <v>0.16</v>
      </c>
      <c r="AN1043" s="22" t="s">
        <v>2282</v>
      </c>
      <c r="AO1043" s="22" t="s">
        <v>2282</v>
      </c>
      <c r="AP1043" s="22" t="s">
        <v>230</v>
      </c>
      <c r="AQ1043" s="22" t="str">
        <f t="shared" si="170"/>
        <v>Microphytoplankton</v>
      </c>
      <c r="AR1043" s="22">
        <v>0</v>
      </c>
      <c r="AS1043" s="22">
        <v>0</v>
      </c>
      <c r="AT1043" s="22">
        <v>0</v>
      </c>
      <c r="AU1043" s="22">
        <v>1</v>
      </c>
      <c r="AV1043" s="22">
        <v>0</v>
      </c>
      <c r="AW1043" s="22">
        <v>0</v>
      </c>
      <c r="AX1043" s="22">
        <v>0</v>
      </c>
      <c r="AY1043" s="22">
        <v>1</v>
      </c>
      <c r="AZ1043" s="22">
        <v>0</v>
      </c>
      <c r="BA1043" s="22">
        <v>0</v>
      </c>
      <c r="BB1043" s="22">
        <v>0</v>
      </c>
      <c r="BC1043" s="22">
        <v>2</v>
      </c>
      <c r="BD1043" s="22">
        <v>3</v>
      </c>
      <c r="BE1043" s="22">
        <v>5</v>
      </c>
    </row>
    <row r="1044" spans="1:57">
      <c r="A1044" s="21" t="s">
        <v>3058</v>
      </c>
      <c r="B1044" s="22" t="s">
        <v>663</v>
      </c>
      <c r="C1044" s="22" t="s">
        <v>2223</v>
      </c>
      <c r="D1044" s="22" t="s">
        <v>2224</v>
      </c>
      <c r="E1044" s="23" t="s">
        <v>63</v>
      </c>
      <c r="F1044" s="23" t="s">
        <v>2225</v>
      </c>
      <c r="G1044" s="23" t="s">
        <v>2226</v>
      </c>
      <c r="H1044" s="22" t="s">
        <v>2311</v>
      </c>
      <c r="I1044" s="22" t="s">
        <v>3056</v>
      </c>
      <c r="J1044" s="22" t="s">
        <v>3057</v>
      </c>
      <c r="K1044" s="22" t="s">
        <v>184</v>
      </c>
      <c r="L1044" s="22" t="s">
        <v>245</v>
      </c>
      <c r="N1044" s="22" t="s">
        <v>409</v>
      </c>
      <c r="O1044" s="22" t="s">
        <v>2229</v>
      </c>
      <c r="P1044" s="21">
        <v>81111</v>
      </c>
      <c r="Q1044" s="21">
        <v>8</v>
      </c>
      <c r="R1044" s="21">
        <v>8</v>
      </c>
      <c r="S1044" s="21">
        <v>8</v>
      </c>
      <c r="T1044" s="21" t="s">
        <v>281</v>
      </c>
      <c r="U1044" s="21">
        <v>1</v>
      </c>
      <c r="V1044" s="21">
        <v>1</v>
      </c>
      <c r="W1044" s="24">
        <f t="shared" si="172"/>
        <v>637.80128491389792</v>
      </c>
      <c r="X1044" s="24">
        <f t="shared" si="171"/>
        <v>267.94666666666666</v>
      </c>
      <c r="Y1044" s="21">
        <v>1</v>
      </c>
      <c r="Z1044" s="24">
        <f t="shared" si="168"/>
        <v>637.80128491389792</v>
      </c>
      <c r="AA1044" s="24">
        <f t="shared" si="169"/>
        <v>267.94666666666666</v>
      </c>
      <c r="AB1044" s="21"/>
      <c r="AC1044" s="21"/>
      <c r="AD1044" s="21"/>
      <c r="AE1044" s="21"/>
      <c r="AF1044" s="21"/>
      <c r="AG1044" s="21"/>
      <c r="AH1044" s="24"/>
      <c r="AI1044" s="24"/>
      <c r="AJ1044" s="21">
        <v>512</v>
      </c>
      <c r="AK1044" s="21">
        <v>8</v>
      </c>
      <c r="AL1044" s="22" t="s">
        <v>161</v>
      </c>
      <c r="AM1044" s="22">
        <v>0.16</v>
      </c>
      <c r="AN1044" s="22" t="s">
        <v>2282</v>
      </c>
      <c r="AO1044" s="22" t="s">
        <v>2282</v>
      </c>
      <c r="AP1044" s="22" t="s">
        <v>230</v>
      </c>
      <c r="AQ1044" s="22" t="str">
        <f t="shared" si="170"/>
        <v>Nanophytoplankton</v>
      </c>
      <c r="AR1044" s="22">
        <v>0</v>
      </c>
      <c r="AS1044" s="22">
        <v>0</v>
      </c>
      <c r="AT1044" s="22">
        <v>0</v>
      </c>
      <c r="AU1044" s="22">
        <v>1</v>
      </c>
      <c r="AV1044" s="22">
        <v>0</v>
      </c>
      <c r="AW1044" s="22">
        <v>0</v>
      </c>
      <c r="AX1044" s="22">
        <v>0</v>
      </c>
      <c r="AY1044" s="22">
        <v>1</v>
      </c>
      <c r="AZ1044" s="22">
        <v>0</v>
      </c>
      <c r="BA1044" s="22">
        <v>0</v>
      </c>
      <c r="BB1044" s="22">
        <v>0</v>
      </c>
      <c r="BC1044" s="22">
        <v>2</v>
      </c>
      <c r="BD1044" s="22">
        <v>3</v>
      </c>
      <c r="BE1044" s="22">
        <v>5</v>
      </c>
    </row>
    <row r="1045" spans="1:57">
      <c r="A1045" s="21" t="s">
        <v>3059</v>
      </c>
      <c r="B1045" s="22" t="s">
        <v>663</v>
      </c>
      <c r="C1045" s="22" t="s">
        <v>2223</v>
      </c>
      <c r="D1045" s="22" t="s">
        <v>2224</v>
      </c>
      <c r="E1045" s="23" t="s">
        <v>63</v>
      </c>
      <c r="F1045" s="23" t="s">
        <v>2225</v>
      </c>
      <c r="G1045" s="23" t="s">
        <v>2226</v>
      </c>
      <c r="H1045" s="22" t="s">
        <v>2311</v>
      </c>
      <c r="I1045" s="22" t="s">
        <v>3056</v>
      </c>
      <c r="J1045" s="22" t="s">
        <v>209</v>
      </c>
      <c r="N1045" s="22" t="s">
        <v>3060</v>
      </c>
      <c r="O1045" s="22" t="s">
        <v>2229</v>
      </c>
      <c r="P1045" s="21">
        <v>81112</v>
      </c>
      <c r="Q1045" s="21">
        <v>5</v>
      </c>
      <c r="R1045" s="21">
        <v>5</v>
      </c>
      <c r="S1045" s="21">
        <v>5</v>
      </c>
      <c r="T1045" s="21" t="s">
        <v>281</v>
      </c>
      <c r="U1045" s="21">
        <v>1</v>
      </c>
      <c r="V1045" s="21">
        <v>1</v>
      </c>
      <c r="W1045" s="24">
        <f t="shared" si="172"/>
        <v>255.14798814971115</v>
      </c>
      <c r="X1045" s="24">
        <f t="shared" si="171"/>
        <v>65.416666666666671</v>
      </c>
      <c r="Y1045" s="21">
        <v>4</v>
      </c>
      <c r="Z1045" s="24">
        <f t="shared" si="168"/>
        <v>1020.5919525988446</v>
      </c>
      <c r="AA1045" s="24">
        <f t="shared" si="169"/>
        <v>261.66666666666669</v>
      </c>
      <c r="AB1045" s="21">
        <v>25</v>
      </c>
      <c r="AC1045" s="21">
        <v>25</v>
      </c>
      <c r="AD1045" s="21">
        <v>25</v>
      </c>
      <c r="AE1045" s="21" t="s">
        <v>246</v>
      </c>
      <c r="AF1045" s="21">
        <v>0.2</v>
      </c>
      <c r="AG1045" s="21">
        <v>0.2</v>
      </c>
      <c r="AH1045" s="25">
        <f>4*3.14*(AC1045/2)*(AB1045/2)/AG1045</f>
        <v>9812.5</v>
      </c>
      <c r="AI1045" s="25">
        <f>(3.14/6*(AD1045*AB1045*AC1045))*AF1045</f>
        <v>1635.4166666666667</v>
      </c>
      <c r="AJ1045" s="21">
        <v>261.66666666666663</v>
      </c>
      <c r="AK1045" s="21">
        <v>20</v>
      </c>
      <c r="AL1045" s="22" t="s">
        <v>3061</v>
      </c>
      <c r="AM1045" s="22">
        <v>0.16</v>
      </c>
      <c r="AN1045" s="22" t="s">
        <v>2282</v>
      </c>
      <c r="AO1045" s="22" t="s">
        <v>2282</v>
      </c>
      <c r="AP1045" s="22" t="s">
        <v>230</v>
      </c>
      <c r="AQ1045" s="22" t="str">
        <f t="shared" si="170"/>
        <v>Microphytoplankton</v>
      </c>
      <c r="AR1045" s="22">
        <v>0</v>
      </c>
      <c r="AS1045" s="22">
        <v>0</v>
      </c>
      <c r="AT1045" s="22">
        <v>0</v>
      </c>
      <c r="AU1045" s="22">
        <v>1</v>
      </c>
      <c r="AV1045" s="22">
        <v>0</v>
      </c>
      <c r="AW1045" s="22">
        <v>0</v>
      </c>
      <c r="AX1045" s="22">
        <v>0</v>
      </c>
      <c r="AY1045" s="22">
        <v>1</v>
      </c>
      <c r="AZ1045" s="22">
        <v>0</v>
      </c>
      <c r="BA1045" s="22">
        <v>0</v>
      </c>
      <c r="BB1045" s="22">
        <v>0</v>
      </c>
      <c r="BC1045" s="22">
        <v>2</v>
      </c>
      <c r="BD1045" s="22">
        <v>3</v>
      </c>
      <c r="BE1045" s="22">
        <v>5</v>
      </c>
    </row>
    <row r="1046" spans="1:57">
      <c r="A1046" s="21" t="s">
        <v>3062</v>
      </c>
      <c r="B1046" s="22" t="s">
        <v>663</v>
      </c>
      <c r="C1046" s="22" t="s">
        <v>2223</v>
      </c>
      <c r="D1046" s="22" t="s">
        <v>2224</v>
      </c>
      <c r="E1046" s="23" t="s">
        <v>63</v>
      </c>
      <c r="F1046" s="23" t="s">
        <v>2840</v>
      </c>
      <c r="G1046" s="23" t="s">
        <v>2841</v>
      </c>
      <c r="H1046" s="23" t="s">
        <v>3063</v>
      </c>
      <c r="I1046" s="22" t="s">
        <v>3064</v>
      </c>
      <c r="J1046" s="22" t="s">
        <v>3065</v>
      </c>
      <c r="N1046" s="22" t="s">
        <v>3066</v>
      </c>
      <c r="O1046" s="22" t="s">
        <v>2229</v>
      </c>
      <c r="P1046" s="21">
        <v>89900</v>
      </c>
      <c r="Q1046" s="21">
        <v>12</v>
      </c>
      <c r="R1046" s="21">
        <v>2.5</v>
      </c>
      <c r="S1046" s="21">
        <v>2.5</v>
      </c>
      <c r="T1046" s="21" t="s">
        <v>160</v>
      </c>
      <c r="U1046" s="21">
        <v>1</v>
      </c>
      <c r="V1046" s="21">
        <v>1</v>
      </c>
      <c r="W1046" s="24">
        <f>3.14*R1046*Q1046+2*3.14*(S1046/2)^2/V1046</f>
        <v>104.0125</v>
      </c>
      <c r="X1046" s="25">
        <f>(3.14/4*R1046^2*Q1046)*U1046</f>
        <v>58.875</v>
      </c>
      <c r="Y1046" s="21">
        <v>1</v>
      </c>
      <c r="Z1046" s="24">
        <f t="shared" si="168"/>
        <v>104.0125</v>
      </c>
      <c r="AA1046" s="24">
        <f t="shared" si="169"/>
        <v>58.875</v>
      </c>
      <c r="AB1046" s="21"/>
      <c r="AC1046" s="21"/>
      <c r="AD1046" s="21"/>
      <c r="AE1046" s="21"/>
      <c r="AF1046" s="21"/>
      <c r="AG1046" s="21"/>
      <c r="AH1046" s="24"/>
      <c r="AI1046" s="24"/>
      <c r="AJ1046" s="21">
        <v>47</v>
      </c>
      <c r="AK1046" s="21">
        <v>12</v>
      </c>
      <c r="AL1046" s="22" t="s">
        <v>3067</v>
      </c>
      <c r="AM1046" s="22">
        <v>0.16</v>
      </c>
      <c r="AO1046" s="22" t="s">
        <v>2257</v>
      </c>
      <c r="AP1046" s="22" t="s">
        <v>626</v>
      </c>
      <c r="AQ1046" s="22" t="str">
        <f t="shared" si="170"/>
        <v>Nanophytoplankton</v>
      </c>
      <c r="AR1046" s="22">
        <v>0</v>
      </c>
      <c r="AS1046" s="22">
        <v>0</v>
      </c>
      <c r="AT1046" s="22">
        <v>0</v>
      </c>
      <c r="AU1046" s="22">
        <v>0</v>
      </c>
      <c r="AV1046" s="22">
        <v>0</v>
      </c>
      <c r="AW1046" s="22">
        <v>0</v>
      </c>
      <c r="AX1046" s="22">
        <v>0</v>
      </c>
      <c r="AY1046" s="22">
        <v>1</v>
      </c>
    </row>
    <row r="1047" spans="1:57">
      <c r="A1047" s="21" t="s">
        <v>3068</v>
      </c>
      <c r="B1047" s="22" t="s">
        <v>663</v>
      </c>
      <c r="C1047" s="22" t="s">
        <v>2223</v>
      </c>
      <c r="D1047" s="22" t="s">
        <v>2224</v>
      </c>
      <c r="E1047" s="23" t="s">
        <v>63</v>
      </c>
      <c r="F1047" s="23" t="s">
        <v>2840</v>
      </c>
      <c r="G1047" s="23" t="s">
        <v>2841</v>
      </c>
      <c r="H1047" s="23" t="s">
        <v>3063</v>
      </c>
      <c r="I1047" s="22" t="s">
        <v>3064</v>
      </c>
      <c r="J1047" s="22" t="s">
        <v>3069</v>
      </c>
      <c r="N1047" s="22" t="s">
        <v>2955</v>
      </c>
      <c r="O1047" s="22" t="s">
        <v>2229</v>
      </c>
      <c r="P1047" s="21">
        <v>89901</v>
      </c>
      <c r="Q1047" s="21">
        <v>25</v>
      </c>
      <c r="R1047" s="21">
        <v>2</v>
      </c>
      <c r="S1047" s="21">
        <v>2</v>
      </c>
      <c r="T1047" s="21" t="s">
        <v>160</v>
      </c>
      <c r="U1047" s="21">
        <v>1</v>
      </c>
      <c r="V1047" s="21">
        <v>1</v>
      </c>
      <c r="W1047" s="24">
        <f>3.14*R1047*Q1047+2*3.14*(S1047/2)^2/V1047</f>
        <v>163.28</v>
      </c>
      <c r="X1047" s="25">
        <f>(3.14/4*R1047^2*Q1047)*U1047</f>
        <v>78.5</v>
      </c>
      <c r="Y1047" s="21">
        <v>1</v>
      </c>
      <c r="Z1047" s="24">
        <f t="shared" si="168"/>
        <v>163.28</v>
      </c>
      <c r="AA1047" s="24">
        <f t="shared" si="169"/>
        <v>78.5</v>
      </c>
      <c r="AB1047" s="21"/>
      <c r="AC1047" s="21"/>
      <c r="AD1047" s="21"/>
      <c r="AE1047" s="21"/>
      <c r="AF1047" s="21"/>
      <c r="AG1047" s="21"/>
      <c r="AH1047" s="24"/>
      <c r="AI1047" s="24"/>
      <c r="AJ1047" s="21">
        <v>78.5</v>
      </c>
      <c r="AK1047" s="21">
        <v>25</v>
      </c>
      <c r="AL1047" s="22" t="s">
        <v>161</v>
      </c>
      <c r="AM1047" s="22">
        <v>0.16</v>
      </c>
      <c r="AQ1047" s="22" t="str">
        <f t="shared" si="170"/>
        <v>Microphytoplankton</v>
      </c>
      <c r="AR1047" s="22">
        <v>0</v>
      </c>
      <c r="AS1047" s="22">
        <v>0</v>
      </c>
      <c r="AT1047" s="22">
        <v>0</v>
      </c>
      <c r="AU1047" s="22">
        <v>1</v>
      </c>
      <c r="AV1047" s="22">
        <v>0</v>
      </c>
      <c r="AW1047" s="22">
        <v>0</v>
      </c>
      <c r="AX1047" s="22">
        <v>0</v>
      </c>
      <c r="AY1047" s="22">
        <v>1</v>
      </c>
    </row>
    <row r="1048" spans="1:57">
      <c r="A1048" s="21" t="s">
        <v>3070</v>
      </c>
      <c r="B1048" s="22" t="s">
        <v>663</v>
      </c>
      <c r="C1048" s="22" t="s">
        <v>2223</v>
      </c>
      <c r="D1048" s="22" t="s">
        <v>2224</v>
      </c>
      <c r="E1048" s="23" t="s">
        <v>63</v>
      </c>
      <c r="F1048" s="23" t="s">
        <v>2225</v>
      </c>
      <c r="G1048" s="23" t="s">
        <v>2226</v>
      </c>
      <c r="H1048" s="22" t="s">
        <v>2457</v>
      </c>
      <c r="I1048" s="22" t="s">
        <v>3071</v>
      </c>
      <c r="J1048" s="22" t="s">
        <v>1402</v>
      </c>
      <c r="N1048" s="22" t="s">
        <v>2618</v>
      </c>
      <c r="O1048" s="22" t="s">
        <v>2229</v>
      </c>
      <c r="P1048" s="21">
        <v>83910</v>
      </c>
      <c r="Q1048" s="21">
        <v>12</v>
      </c>
      <c r="R1048" s="21">
        <v>6</v>
      </c>
      <c r="S1048" s="21">
        <v>6</v>
      </c>
      <c r="T1048" s="21" t="s">
        <v>281</v>
      </c>
      <c r="U1048" s="21">
        <v>1</v>
      </c>
      <c r="V1048" s="21">
        <v>1</v>
      </c>
      <c r="W1048" s="24">
        <f t="shared" ref="W1048:W1054" si="173">(4*3.14*(((Q1048^1.6*R1048^1.6+Q1048^1.6*S1048^1.6+R1048^1.6+S1048^1.6)/3)^(1/1.6)))*(1/V1048)</f>
        <v>710.08594265680301</v>
      </c>
      <c r="X1048" s="24">
        <f t="shared" ref="X1048:X1054" si="174">3.14/6*Q1048*R1048*S1048*U1048</f>
        <v>226.07999999999996</v>
      </c>
      <c r="Y1048" s="21">
        <v>4</v>
      </c>
      <c r="Z1048" s="24">
        <f t="shared" si="168"/>
        <v>2840.3437706272121</v>
      </c>
      <c r="AA1048" s="24">
        <f t="shared" si="169"/>
        <v>904.31999999999982</v>
      </c>
      <c r="AB1048" s="21">
        <v>20</v>
      </c>
      <c r="AC1048" s="21">
        <v>20</v>
      </c>
      <c r="AD1048" s="21">
        <v>6</v>
      </c>
      <c r="AE1048" s="21" t="s">
        <v>246</v>
      </c>
      <c r="AF1048" s="21">
        <v>0.7</v>
      </c>
      <c r="AG1048" s="21">
        <v>0.7</v>
      </c>
      <c r="AH1048" s="25">
        <f>4*3.14*(AC1048/2)*(AB1048/2)/AG1048</f>
        <v>1794.2857142857144</v>
      </c>
      <c r="AI1048" s="25">
        <f>(3.14/6*(AD1048*AB1048*AC1048))*AF1048</f>
        <v>879.19999999999993</v>
      </c>
      <c r="AJ1048" s="21">
        <v>904.8</v>
      </c>
      <c r="AK1048" s="21">
        <v>47</v>
      </c>
      <c r="AL1048" s="22" t="s">
        <v>161</v>
      </c>
      <c r="AM1048" s="22">
        <v>0.16</v>
      </c>
      <c r="AP1048" s="22" t="s">
        <v>162</v>
      </c>
      <c r="AQ1048" s="22" t="str">
        <f t="shared" si="170"/>
        <v>Microphytoplankton</v>
      </c>
      <c r="AR1048" s="22">
        <v>0</v>
      </c>
      <c r="AS1048" s="22">
        <v>0</v>
      </c>
      <c r="AT1048" s="22">
        <v>0</v>
      </c>
      <c r="AU1048" s="22">
        <v>1</v>
      </c>
      <c r="AV1048" s="22">
        <v>0</v>
      </c>
      <c r="AW1048" s="22">
        <v>0</v>
      </c>
      <c r="AX1048" s="22">
        <v>0</v>
      </c>
      <c r="AY1048" s="22">
        <v>1</v>
      </c>
    </row>
    <row r="1049" spans="1:57">
      <c r="A1049" s="21" t="s">
        <v>3072</v>
      </c>
      <c r="B1049" s="22" t="s">
        <v>663</v>
      </c>
      <c r="C1049" s="22" t="s">
        <v>2223</v>
      </c>
      <c r="D1049" s="22" t="s">
        <v>2224</v>
      </c>
      <c r="E1049" s="23" t="s">
        <v>63</v>
      </c>
      <c r="F1049" s="23" t="s">
        <v>2225</v>
      </c>
      <c r="G1049" s="23" t="s">
        <v>2226</v>
      </c>
      <c r="H1049" s="22" t="s">
        <v>2457</v>
      </c>
      <c r="I1049" s="22" t="s">
        <v>3071</v>
      </c>
      <c r="J1049" s="22" t="s">
        <v>268</v>
      </c>
      <c r="N1049" s="22" t="s">
        <v>3073</v>
      </c>
      <c r="O1049" s="22" t="s">
        <v>2229</v>
      </c>
      <c r="P1049" s="21">
        <v>83912</v>
      </c>
      <c r="Q1049" s="21">
        <v>6</v>
      </c>
      <c r="R1049" s="21">
        <v>3</v>
      </c>
      <c r="S1049" s="21">
        <v>3</v>
      </c>
      <c r="T1049" s="21" t="s">
        <v>159</v>
      </c>
      <c r="U1049" s="21">
        <v>1</v>
      </c>
      <c r="V1049" s="21">
        <v>1</v>
      </c>
      <c r="W1049" s="24">
        <f t="shared" si="173"/>
        <v>181.64401962190658</v>
      </c>
      <c r="X1049" s="24">
        <f t="shared" si="174"/>
        <v>28.259999999999994</v>
      </c>
      <c r="Y1049" s="21">
        <v>4</v>
      </c>
      <c r="Z1049" s="24">
        <f t="shared" si="168"/>
        <v>726.57607848762632</v>
      </c>
      <c r="AA1049" s="24">
        <f t="shared" si="169"/>
        <v>113.03999999999998</v>
      </c>
      <c r="AB1049" s="21">
        <v>10</v>
      </c>
      <c r="AC1049" s="21">
        <v>10</v>
      </c>
      <c r="AD1049" s="21">
        <v>3</v>
      </c>
      <c r="AE1049" s="21" t="s">
        <v>246</v>
      </c>
      <c r="AF1049" s="21">
        <v>0.7</v>
      </c>
      <c r="AG1049" s="21">
        <v>0.7</v>
      </c>
      <c r="AH1049" s="25">
        <f>4*3.14*(AC1049/2)*(AB1049/2)/AG1049</f>
        <v>448.57142857142861</v>
      </c>
      <c r="AI1049" s="25">
        <f>(3.14/6*(AD1049*AB1049*AC1049))*AF1049</f>
        <v>109.89999999999999</v>
      </c>
      <c r="AJ1049" s="21">
        <v>113.03999999999999</v>
      </c>
      <c r="AK1049" s="21">
        <v>12</v>
      </c>
      <c r="AL1049" s="22" t="s">
        <v>161</v>
      </c>
      <c r="AM1049" s="22">
        <v>0.16</v>
      </c>
      <c r="AP1049" s="22" t="s">
        <v>162</v>
      </c>
      <c r="AQ1049" s="22" t="str">
        <f t="shared" si="170"/>
        <v>Nanophytoplankton</v>
      </c>
      <c r="AR1049" s="22">
        <v>0</v>
      </c>
      <c r="AS1049" s="22">
        <v>0</v>
      </c>
      <c r="AT1049" s="22">
        <v>0</v>
      </c>
      <c r="AU1049" s="22">
        <v>1</v>
      </c>
      <c r="AV1049" s="22">
        <v>0</v>
      </c>
      <c r="AW1049" s="22">
        <v>0</v>
      </c>
      <c r="AX1049" s="22">
        <v>0</v>
      </c>
      <c r="AY1049" s="22">
        <v>1</v>
      </c>
    </row>
    <row r="1050" spans="1:57">
      <c r="A1050" s="22" t="s">
        <v>3074</v>
      </c>
      <c r="B1050" s="22" t="s">
        <v>663</v>
      </c>
      <c r="C1050" s="22" t="s">
        <v>2223</v>
      </c>
      <c r="D1050" s="22" t="s">
        <v>2224</v>
      </c>
      <c r="E1050" s="23" t="s">
        <v>63</v>
      </c>
      <c r="F1050" s="23" t="s">
        <v>2225</v>
      </c>
      <c r="G1050" s="23" t="s">
        <v>2226</v>
      </c>
      <c r="H1050" s="22" t="s">
        <v>2457</v>
      </c>
      <c r="I1050" s="22" t="s">
        <v>3071</v>
      </c>
      <c r="J1050" s="22" t="s">
        <v>3048</v>
      </c>
      <c r="N1050" s="22" t="s">
        <v>2352</v>
      </c>
      <c r="O1050" s="22" t="s">
        <v>2229</v>
      </c>
      <c r="P1050" s="21">
        <v>83911</v>
      </c>
      <c r="Q1050" s="22">
        <v>11</v>
      </c>
      <c r="R1050" s="22">
        <v>6</v>
      </c>
      <c r="S1050" s="22">
        <v>6</v>
      </c>
      <c r="T1050" s="22" t="s">
        <v>281</v>
      </c>
      <c r="U1050" s="22">
        <v>1</v>
      </c>
      <c r="V1050" s="22">
        <v>1</v>
      </c>
      <c r="W1050" s="24">
        <f t="shared" si="173"/>
        <v>652.03076045135776</v>
      </c>
      <c r="X1050" s="24">
        <f t="shared" si="174"/>
        <v>207.24</v>
      </c>
      <c r="Y1050" s="22">
        <v>4</v>
      </c>
      <c r="Z1050" s="24">
        <f t="shared" si="168"/>
        <v>2608.1230418054311</v>
      </c>
      <c r="AA1050" s="24">
        <f t="shared" si="169"/>
        <v>828.96</v>
      </c>
      <c r="AB1050" s="22">
        <v>18</v>
      </c>
      <c r="AC1050" s="22">
        <v>18</v>
      </c>
      <c r="AD1050" s="22">
        <v>6</v>
      </c>
      <c r="AE1050" s="21" t="s">
        <v>246</v>
      </c>
      <c r="AF1050" s="21">
        <v>0.7</v>
      </c>
      <c r="AG1050" s="21">
        <v>0.7</v>
      </c>
      <c r="AH1050" s="25">
        <f>4*3.14*(AC1050/2)*(AB1050/2)/AG1050</f>
        <v>1453.3714285714286</v>
      </c>
      <c r="AI1050" s="25">
        <f>(3.14/6*(AD1050*AB1050*AC1050))*AF1050</f>
        <v>712.15199999999993</v>
      </c>
      <c r="AJ1050" s="21">
        <v>828.96</v>
      </c>
      <c r="AK1050" s="21">
        <v>22</v>
      </c>
      <c r="AL1050" s="22" t="s">
        <v>161</v>
      </c>
      <c r="AM1050" s="22">
        <v>0.16</v>
      </c>
      <c r="AP1050" s="22" t="s">
        <v>162</v>
      </c>
      <c r="AQ1050" s="22" t="str">
        <f t="shared" si="170"/>
        <v>Microphytoplankton</v>
      </c>
      <c r="AR1050" s="22">
        <v>0</v>
      </c>
      <c r="AS1050" s="22">
        <v>0</v>
      </c>
      <c r="AT1050" s="22">
        <v>0</v>
      </c>
      <c r="AU1050" s="22">
        <v>1</v>
      </c>
      <c r="AV1050" s="22">
        <v>0</v>
      </c>
      <c r="AW1050" s="22">
        <v>0</v>
      </c>
      <c r="AX1050" s="22">
        <v>0</v>
      </c>
      <c r="AY1050" s="22">
        <v>1</v>
      </c>
    </row>
    <row r="1051" spans="1:57">
      <c r="A1051" s="21" t="s">
        <v>3075</v>
      </c>
      <c r="B1051" s="22" t="s">
        <v>663</v>
      </c>
      <c r="C1051" s="22" t="s">
        <v>2223</v>
      </c>
      <c r="D1051" s="22" t="s">
        <v>2224</v>
      </c>
      <c r="E1051" s="23" t="s">
        <v>63</v>
      </c>
      <c r="F1051" s="23" t="s">
        <v>2225</v>
      </c>
      <c r="G1051" s="23" t="s">
        <v>2226</v>
      </c>
      <c r="H1051" s="22" t="s">
        <v>2253</v>
      </c>
      <c r="I1051" s="22" t="s">
        <v>54</v>
      </c>
      <c r="J1051" s="21" t="s">
        <v>3076</v>
      </c>
      <c r="K1051" s="21"/>
      <c r="L1051" s="21"/>
      <c r="N1051" s="22" t="s">
        <v>3077</v>
      </c>
      <c r="O1051" s="22" t="s">
        <v>2229</v>
      </c>
      <c r="P1051" s="22">
        <v>80840</v>
      </c>
      <c r="Q1051" s="21">
        <v>15</v>
      </c>
      <c r="R1051" s="21">
        <v>15</v>
      </c>
      <c r="S1051" s="21">
        <v>7.5</v>
      </c>
      <c r="T1051" s="21" t="s">
        <v>281</v>
      </c>
      <c r="U1051" s="21">
        <v>0.5</v>
      </c>
      <c r="V1051" s="21">
        <v>0.5</v>
      </c>
      <c r="W1051" s="24">
        <f t="shared" si="173"/>
        <v>3427.0795386238351</v>
      </c>
      <c r="X1051" s="24">
        <f t="shared" si="174"/>
        <v>441.5625</v>
      </c>
      <c r="Y1051" s="21">
        <v>1</v>
      </c>
      <c r="Z1051" s="24">
        <f t="shared" si="168"/>
        <v>3427.0795386238351</v>
      </c>
      <c r="AA1051" s="24">
        <f t="shared" si="169"/>
        <v>441.5625</v>
      </c>
      <c r="AB1051" s="21"/>
      <c r="AC1051" s="21"/>
      <c r="AD1051" s="21"/>
      <c r="AE1051" s="21"/>
      <c r="AF1051" s="21"/>
      <c r="AG1051" s="21"/>
      <c r="AH1051" s="24"/>
      <c r="AI1051" s="24"/>
      <c r="AJ1051" s="21">
        <v>441.8</v>
      </c>
      <c r="AK1051" s="21">
        <v>15</v>
      </c>
      <c r="AL1051" s="22" t="s">
        <v>161</v>
      </c>
      <c r="AM1051" s="22">
        <v>0.16</v>
      </c>
      <c r="AN1051" s="38"/>
      <c r="AO1051" s="22" t="s">
        <v>1364</v>
      </c>
      <c r="AP1051" s="22" t="s">
        <v>162</v>
      </c>
      <c r="AQ1051" s="22" t="str">
        <f t="shared" si="170"/>
        <v>Nanophytoplankton</v>
      </c>
      <c r="AR1051" s="22">
        <v>0</v>
      </c>
      <c r="AS1051" s="22">
        <v>0</v>
      </c>
      <c r="AT1051" s="22">
        <v>0</v>
      </c>
      <c r="AU1051" s="38">
        <v>0</v>
      </c>
      <c r="AV1051" s="38">
        <v>0</v>
      </c>
      <c r="AW1051" s="22">
        <v>0</v>
      </c>
      <c r="AX1051" s="22">
        <v>0</v>
      </c>
      <c r="AY1051" s="22">
        <v>1</v>
      </c>
    </row>
    <row r="1052" spans="1:57">
      <c r="A1052" s="22" t="s">
        <v>3078</v>
      </c>
      <c r="B1052" s="22" t="s">
        <v>663</v>
      </c>
      <c r="C1052" s="22" t="s">
        <v>2223</v>
      </c>
      <c r="D1052" s="22" t="s">
        <v>2224</v>
      </c>
      <c r="E1052" s="23" t="s">
        <v>63</v>
      </c>
      <c r="F1052" s="23" t="s">
        <v>2225</v>
      </c>
      <c r="G1052" s="23" t="s">
        <v>2226</v>
      </c>
      <c r="H1052" s="22" t="s">
        <v>2253</v>
      </c>
      <c r="I1052" s="22" t="s">
        <v>54</v>
      </c>
      <c r="J1052" s="22" t="s">
        <v>3079</v>
      </c>
      <c r="N1052" s="22" t="s">
        <v>3080</v>
      </c>
      <c r="O1052" s="22" t="s">
        <v>2229</v>
      </c>
      <c r="P1052" s="21">
        <v>80841</v>
      </c>
      <c r="Q1052" s="22">
        <v>18.5</v>
      </c>
      <c r="R1052" s="22">
        <v>18.5</v>
      </c>
      <c r="S1052" s="22">
        <v>9</v>
      </c>
      <c r="T1052" s="22" t="s">
        <v>281</v>
      </c>
      <c r="U1052" s="22">
        <v>0.6</v>
      </c>
      <c r="V1052" s="22">
        <v>0.6</v>
      </c>
      <c r="W1052" s="24">
        <f t="shared" si="173"/>
        <v>4305.2261067424161</v>
      </c>
      <c r="X1052" s="24">
        <f t="shared" si="174"/>
        <v>967.19850000000008</v>
      </c>
      <c r="Y1052" s="21">
        <v>1</v>
      </c>
      <c r="Z1052" s="24">
        <f t="shared" si="168"/>
        <v>4305.2261067424161</v>
      </c>
      <c r="AA1052" s="24">
        <f t="shared" si="169"/>
        <v>967.19850000000008</v>
      </c>
      <c r="AJ1052" s="21">
        <v>1988.1302499999997</v>
      </c>
      <c r="AK1052" s="21">
        <v>18.5</v>
      </c>
      <c r="AL1052" s="22" t="s">
        <v>161</v>
      </c>
      <c r="AM1052" s="22">
        <v>0.16</v>
      </c>
      <c r="AO1052" s="22" t="s">
        <v>1364</v>
      </c>
      <c r="AP1052" s="22" t="s">
        <v>162</v>
      </c>
      <c r="AQ1052" s="22" t="str">
        <f t="shared" si="170"/>
        <v>Nanophytoplankton</v>
      </c>
      <c r="AR1052" s="22">
        <v>0</v>
      </c>
      <c r="AS1052" s="22">
        <v>0</v>
      </c>
      <c r="AT1052" s="22">
        <v>0</v>
      </c>
      <c r="AU1052" s="38">
        <v>0</v>
      </c>
      <c r="AV1052" s="38">
        <v>0</v>
      </c>
      <c r="AW1052" s="22">
        <v>0</v>
      </c>
      <c r="AX1052" s="22">
        <v>0</v>
      </c>
      <c r="AY1052" s="22">
        <v>1</v>
      </c>
    </row>
    <row r="1053" spans="1:57">
      <c r="A1053" s="21" t="s">
        <v>3081</v>
      </c>
      <c r="B1053" s="22" t="s">
        <v>663</v>
      </c>
      <c r="C1053" s="22" t="s">
        <v>2223</v>
      </c>
      <c r="D1053" s="22" t="s">
        <v>2224</v>
      </c>
      <c r="E1053" s="23" t="s">
        <v>63</v>
      </c>
      <c r="F1053" s="23" t="s">
        <v>2225</v>
      </c>
      <c r="G1053" s="23" t="s">
        <v>2226</v>
      </c>
      <c r="H1053" s="22" t="s">
        <v>2253</v>
      </c>
      <c r="I1053" s="22" t="s">
        <v>54</v>
      </c>
      <c r="J1053" s="21" t="s">
        <v>2444</v>
      </c>
      <c r="K1053" s="21"/>
      <c r="L1053" s="21"/>
      <c r="N1053" s="22" t="s">
        <v>3082</v>
      </c>
      <c r="O1053" s="22" t="s">
        <v>2229</v>
      </c>
      <c r="P1053" s="21">
        <v>80820</v>
      </c>
      <c r="Q1053" s="21">
        <v>20</v>
      </c>
      <c r="R1053" s="21">
        <v>20</v>
      </c>
      <c r="S1053" s="21">
        <v>10</v>
      </c>
      <c r="T1053" s="21" t="s">
        <v>281</v>
      </c>
      <c r="U1053" s="21">
        <v>0.6</v>
      </c>
      <c r="V1053" s="21">
        <v>0.6</v>
      </c>
      <c r="W1053" s="24">
        <f t="shared" si="173"/>
        <v>5061.9707990018487</v>
      </c>
      <c r="X1053" s="24">
        <f t="shared" si="174"/>
        <v>1256</v>
      </c>
      <c r="Y1053" s="21">
        <v>1</v>
      </c>
      <c r="Z1053" s="24">
        <f t="shared" si="168"/>
        <v>5061.9707990018487</v>
      </c>
      <c r="AA1053" s="24">
        <f t="shared" si="169"/>
        <v>1256</v>
      </c>
      <c r="AB1053" s="21"/>
      <c r="AC1053" s="21"/>
      <c r="AD1053" s="21"/>
      <c r="AE1053" s="21"/>
      <c r="AF1053" s="21"/>
      <c r="AG1053" s="21"/>
      <c r="AH1053" s="24"/>
      <c r="AI1053" s="24"/>
      <c r="AJ1053" s="21">
        <v>2400</v>
      </c>
      <c r="AK1053" s="21">
        <v>20</v>
      </c>
      <c r="AL1053" s="22" t="s">
        <v>161</v>
      </c>
      <c r="AM1053" s="22">
        <v>0.16</v>
      </c>
      <c r="AO1053" s="22" t="s">
        <v>1364</v>
      </c>
      <c r="AP1053" s="22" t="s">
        <v>162</v>
      </c>
      <c r="AQ1053" s="22" t="str">
        <f t="shared" si="170"/>
        <v>Microphytoplankton</v>
      </c>
      <c r="AR1053" s="22">
        <v>0</v>
      </c>
      <c r="AS1053" s="22">
        <v>0</v>
      </c>
      <c r="AT1053" s="22">
        <v>0</v>
      </c>
      <c r="AU1053" s="38">
        <v>0</v>
      </c>
      <c r="AV1053" s="38">
        <v>0</v>
      </c>
      <c r="AW1053" s="22">
        <v>0</v>
      </c>
      <c r="AX1053" s="22">
        <v>0</v>
      </c>
      <c r="AY1053" s="22">
        <v>1</v>
      </c>
      <c r="AZ1053" s="22">
        <v>0</v>
      </c>
      <c r="BA1053" s="22">
        <v>0</v>
      </c>
      <c r="BB1053" s="22">
        <v>1</v>
      </c>
      <c r="BC1053" s="22">
        <v>3</v>
      </c>
      <c r="BD1053" s="22">
        <v>5</v>
      </c>
      <c r="BE1053" s="22">
        <v>1</v>
      </c>
    </row>
    <row r="1054" spans="1:57">
      <c r="A1054" s="22" t="s">
        <v>3083</v>
      </c>
      <c r="B1054" s="22" t="s">
        <v>663</v>
      </c>
      <c r="C1054" s="22" t="s">
        <v>2223</v>
      </c>
      <c r="D1054" s="22" t="s">
        <v>2224</v>
      </c>
      <c r="E1054" s="23" t="s">
        <v>63</v>
      </c>
      <c r="F1054" s="23" t="s">
        <v>2225</v>
      </c>
      <c r="G1054" s="23" t="s">
        <v>2226</v>
      </c>
      <c r="H1054" s="22" t="s">
        <v>2253</v>
      </c>
      <c r="I1054" s="22" t="s">
        <v>54</v>
      </c>
      <c r="J1054" s="22" t="s">
        <v>2444</v>
      </c>
      <c r="K1054" s="22" t="s">
        <v>175</v>
      </c>
      <c r="L1054" s="22" t="s">
        <v>3084</v>
      </c>
      <c r="N1054" s="22" t="s">
        <v>3085</v>
      </c>
      <c r="O1054" s="22" t="s">
        <v>2229</v>
      </c>
      <c r="P1054" s="22">
        <v>80821</v>
      </c>
      <c r="Q1054" s="22">
        <v>20</v>
      </c>
      <c r="R1054" s="22">
        <v>20</v>
      </c>
      <c r="S1054" s="22">
        <v>10</v>
      </c>
      <c r="T1054" s="22" t="s">
        <v>281</v>
      </c>
      <c r="U1054" s="22">
        <v>0.6</v>
      </c>
      <c r="V1054" s="22">
        <v>0.6</v>
      </c>
      <c r="W1054" s="24">
        <f t="shared" si="173"/>
        <v>5061.9707990018487</v>
      </c>
      <c r="X1054" s="24">
        <f t="shared" si="174"/>
        <v>1256</v>
      </c>
      <c r="Y1054" s="21">
        <v>1</v>
      </c>
      <c r="Z1054" s="24">
        <f t="shared" si="168"/>
        <v>5061.9707990018487</v>
      </c>
      <c r="AA1054" s="24">
        <f t="shared" si="169"/>
        <v>1256</v>
      </c>
      <c r="AJ1054" s="21">
        <v>1256.5999999999999</v>
      </c>
      <c r="AK1054" s="21">
        <v>20</v>
      </c>
      <c r="AL1054" s="22" t="s">
        <v>161</v>
      </c>
      <c r="AM1054" s="22">
        <v>0.16</v>
      </c>
      <c r="AO1054" s="22" t="s">
        <v>1364</v>
      </c>
      <c r="AP1054" s="22" t="s">
        <v>162</v>
      </c>
      <c r="AQ1054" s="22" t="str">
        <f t="shared" si="170"/>
        <v>Microphytoplankton</v>
      </c>
      <c r="AR1054" s="22">
        <v>0</v>
      </c>
      <c r="AS1054" s="22">
        <v>0</v>
      </c>
      <c r="AT1054" s="22">
        <v>0</v>
      </c>
      <c r="AU1054" s="38">
        <v>0</v>
      </c>
      <c r="AV1054" s="38">
        <v>0</v>
      </c>
      <c r="AW1054" s="22">
        <v>0</v>
      </c>
      <c r="AX1054" s="22">
        <v>0</v>
      </c>
      <c r="AY1054" s="22">
        <v>1</v>
      </c>
      <c r="AZ1054" s="22">
        <v>0</v>
      </c>
      <c r="BA1054" s="22">
        <v>0</v>
      </c>
      <c r="BB1054" s="22">
        <v>1</v>
      </c>
      <c r="BC1054" s="22">
        <v>3</v>
      </c>
      <c r="BD1054" s="22">
        <v>5</v>
      </c>
      <c r="BE1054" s="22">
        <v>1</v>
      </c>
    </row>
    <row r="1055" spans="1:57" ht="14" customHeight="1">
      <c r="A1055" s="22" t="s">
        <v>3086</v>
      </c>
      <c r="B1055" s="22" t="s">
        <v>663</v>
      </c>
      <c r="C1055" s="22" t="s">
        <v>2223</v>
      </c>
      <c r="D1055" s="22" t="s">
        <v>2224</v>
      </c>
      <c r="E1055" s="23" t="s">
        <v>63</v>
      </c>
      <c r="F1055" s="23" t="s">
        <v>2225</v>
      </c>
      <c r="G1055" s="23" t="s">
        <v>2226</v>
      </c>
      <c r="H1055" s="22" t="s">
        <v>2253</v>
      </c>
      <c r="I1055" s="22" t="s">
        <v>54</v>
      </c>
      <c r="J1055" s="22" t="s">
        <v>2444</v>
      </c>
      <c r="K1055" s="22" t="s">
        <v>184</v>
      </c>
      <c r="L1055" s="22" t="s">
        <v>3087</v>
      </c>
      <c r="N1055" s="22" t="s">
        <v>2809</v>
      </c>
      <c r="O1055" s="22" t="s">
        <v>2229</v>
      </c>
      <c r="P1055" s="22">
        <v>80822</v>
      </c>
      <c r="Q1055" s="22">
        <v>10</v>
      </c>
      <c r="R1055" s="22">
        <v>10</v>
      </c>
      <c r="S1055" s="22">
        <v>2</v>
      </c>
      <c r="T1055" s="22" t="s">
        <v>330</v>
      </c>
      <c r="U1055" s="22">
        <v>0.5</v>
      </c>
      <c r="V1055" s="22">
        <v>0.5</v>
      </c>
      <c r="W1055" s="25">
        <f>(Q1055*R1055*2+Q1055*S1055*2+R1055*S1055*2)/V1055</f>
        <v>560</v>
      </c>
      <c r="X1055" s="25">
        <f>Q1055*R1055*S1055*U1055</f>
        <v>100</v>
      </c>
      <c r="Y1055" s="21">
        <v>1</v>
      </c>
      <c r="Z1055" s="24">
        <f t="shared" si="168"/>
        <v>560</v>
      </c>
      <c r="AA1055" s="24">
        <f t="shared" si="169"/>
        <v>100</v>
      </c>
      <c r="AJ1055" s="21">
        <v>100</v>
      </c>
      <c r="AK1055" s="21">
        <v>10</v>
      </c>
      <c r="AL1055" s="22" t="s">
        <v>161</v>
      </c>
      <c r="AM1055" s="22">
        <v>0.16</v>
      </c>
      <c r="AO1055" s="22" t="s">
        <v>1364</v>
      </c>
      <c r="AP1055" s="22" t="s">
        <v>162</v>
      </c>
      <c r="AQ1055" s="22" t="str">
        <f t="shared" si="170"/>
        <v>Nanophytoplankton</v>
      </c>
      <c r="AR1055" s="22">
        <v>0</v>
      </c>
      <c r="AS1055" s="22">
        <v>0</v>
      </c>
      <c r="AT1055" s="22">
        <v>0</v>
      </c>
      <c r="AU1055" s="38">
        <v>0</v>
      </c>
      <c r="AV1055" s="38">
        <v>0</v>
      </c>
      <c r="AW1055" s="22">
        <v>0</v>
      </c>
      <c r="AX1055" s="22">
        <v>0</v>
      </c>
      <c r="AY1055" s="22">
        <v>1</v>
      </c>
    </row>
    <row r="1056" spans="1:57">
      <c r="A1056" s="22" t="s">
        <v>3088</v>
      </c>
      <c r="B1056" s="22" t="s">
        <v>663</v>
      </c>
      <c r="C1056" s="22" t="s">
        <v>2223</v>
      </c>
      <c r="D1056" s="22" t="s">
        <v>2224</v>
      </c>
      <c r="E1056" s="23" t="s">
        <v>63</v>
      </c>
      <c r="F1056" s="23" t="s">
        <v>2225</v>
      </c>
      <c r="G1056" s="23" t="s">
        <v>2226</v>
      </c>
      <c r="H1056" s="22" t="s">
        <v>2253</v>
      </c>
      <c r="I1056" s="22" t="s">
        <v>54</v>
      </c>
      <c r="J1056" s="22" t="s">
        <v>3089</v>
      </c>
      <c r="N1056" s="22" t="s">
        <v>413</v>
      </c>
      <c r="O1056" s="22" t="s">
        <v>2229</v>
      </c>
      <c r="P1056" s="21">
        <v>80842</v>
      </c>
      <c r="Q1056" s="22">
        <v>8.5</v>
      </c>
      <c r="R1056" s="22">
        <v>8.5</v>
      </c>
      <c r="S1056" s="22">
        <v>8.5</v>
      </c>
      <c r="T1056" s="22" t="s">
        <v>281</v>
      </c>
      <c r="U1056" s="22">
        <v>0.6</v>
      </c>
      <c r="V1056" s="22">
        <v>0.6</v>
      </c>
      <c r="W1056" s="24">
        <f t="shared" ref="W1056:W1061" si="175">(4*3.14*(((Q1056^1.6*R1056^1.6+Q1056^1.6*S1056^1.6+R1056^1.6+S1056^1.6)/3)^(1/1.6)))*(1/V1056)</f>
        <v>1197.6256817728777</v>
      </c>
      <c r="X1056" s="24">
        <f t="shared" ref="X1056:X1061" si="176">3.14/6*Q1056*R1056*S1056*U1056</f>
        <v>192.83525</v>
      </c>
      <c r="Y1056" s="21">
        <v>1</v>
      </c>
      <c r="Z1056" s="24">
        <f t="shared" si="168"/>
        <v>1197.6256817728777</v>
      </c>
      <c r="AA1056" s="24">
        <f t="shared" si="169"/>
        <v>192.83525</v>
      </c>
      <c r="AJ1056" s="21">
        <v>192.83525</v>
      </c>
      <c r="AK1056" s="21">
        <v>8.5</v>
      </c>
      <c r="AL1056" s="22" t="s">
        <v>161</v>
      </c>
      <c r="AM1056" s="22">
        <v>0.16</v>
      </c>
      <c r="AO1056" s="22" t="s">
        <v>1364</v>
      </c>
      <c r="AP1056" s="22" t="s">
        <v>162</v>
      </c>
      <c r="AQ1056" s="22" t="str">
        <f t="shared" si="170"/>
        <v>Nanophytoplankton</v>
      </c>
      <c r="AR1056" s="22">
        <v>0</v>
      </c>
      <c r="AS1056" s="22">
        <v>0</v>
      </c>
      <c r="AT1056" s="22">
        <v>0</v>
      </c>
      <c r="AU1056" s="38">
        <v>0</v>
      </c>
      <c r="AV1056" s="38">
        <v>0</v>
      </c>
      <c r="AW1056" s="22">
        <v>0</v>
      </c>
      <c r="AX1056" s="22">
        <v>0</v>
      </c>
      <c r="AY1056" s="22">
        <v>1</v>
      </c>
    </row>
    <row r="1057" spans="1:51">
      <c r="A1057" s="21" t="s">
        <v>3090</v>
      </c>
      <c r="B1057" s="22" t="s">
        <v>663</v>
      </c>
      <c r="C1057" s="22" t="s">
        <v>2223</v>
      </c>
      <c r="D1057" s="22" t="s">
        <v>2224</v>
      </c>
      <c r="E1057" s="23" t="s">
        <v>63</v>
      </c>
      <c r="F1057" s="23" t="s">
        <v>2225</v>
      </c>
      <c r="G1057" s="23" t="s">
        <v>2226</v>
      </c>
      <c r="H1057" s="22" t="s">
        <v>2253</v>
      </c>
      <c r="I1057" s="22" t="s">
        <v>54</v>
      </c>
      <c r="J1057" s="21" t="s">
        <v>3091</v>
      </c>
      <c r="K1057" s="21"/>
      <c r="L1057" s="21"/>
      <c r="M1057" s="22" t="s">
        <v>1</v>
      </c>
      <c r="N1057" s="22" t="s">
        <v>413</v>
      </c>
      <c r="O1057" s="22" t="s">
        <v>2229</v>
      </c>
      <c r="P1057" s="22">
        <v>80890</v>
      </c>
      <c r="Q1057" s="21">
        <v>18</v>
      </c>
      <c r="R1057" s="21">
        <v>18</v>
      </c>
      <c r="S1057" s="21">
        <v>9</v>
      </c>
      <c r="T1057" s="21" t="s">
        <v>281</v>
      </c>
      <c r="U1057" s="21">
        <v>0.5</v>
      </c>
      <c r="V1057" s="21">
        <v>0.5</v>
      </c>
      <c r="W1057" s="24">
        <f t="shared" si="175"/>
        <v>4924.8746693073299</v>
      </c>
      <c r="X1057" s="24">
        <f t="shared" si="176"/>
        <v>763.02</v>
      </c>
      <c r="Y1057" s="21">
        <v>1</v>
      </c>
      <c r="Z1057" s="24">
        <f t="shared" si="168"/>
        <v>4924.8746693073299</v>
      </c>
      <c r="AA1057" s="24">
        <f t="shared" si="169"/>
        <v>763.02</v>
      </c>
      <c r="AB1057" s="21"/>
      <c r="AC1057" s="21"/>
      <c r="AD1057" s="21"/>
      <c r="AE1057" s="21"/>
      <c r="AF1057" s="21"/>
      <c r="AG1057" s="21"/>
      <c r="AH1057" s="24"/>
      <c r="AI1057" s="24"/>
      <c r="AJ1057" s="21">
        <v>1458</v>
      </c>
      <c r="AK1057" s="21">
        <v>18</v>
      </c>
      <c r="AL1057" s="22" t="s">
        <v>161</v>
      </c>
      <c r="AM1057" s="22">
        <v>0.16</v>
      </c>
      <c r="AO1057" s="22" t="s">
        <v>1364</v>
      </c>
      <c r="AP1057" s="22" t="s">
        <v>162</v>
      </c>
      <c r="AQ1057" s="22" t="str">
        <f t="shared" si="170"/>
        <v>Nanophytoplankton</v>
      </c>
      <c r="AR1057" s="22">
        <v>0</v>
      </c>
      <c r="AS1057" s="22">
        <v>0</v>
      </c>
      <c r="AT1057" s="22">
        <v>0</v>
      </c>
      <c r="AU1057" s="38">
        <v>0</v>
      </c>
      <c r="AV1057" s="38">
        <v>0</v>
      </c>
      <c r="AW1057" s="22">
        <v>0</v>
      </c>
      <c r="AX1057" s="22">
        <v>0</v>
      </c>
      <c r="AY1057" s="22">
        <v>1</v>
      </c>
    </row>
    <row r="1058" spans="1:51">
      <c r="A1058" s="22" t="s">
        <v>3092</v>
      </c>
      <c r="B1058" s="22" t="s">
        <v>663</v>
      </c>
      <c r="C1058" s="22" t="s">
        <v>2223</v>
      </c>
      <c r="D1058" s="22" t="s">
        <v>2224</v>
      </c>
      <c r="E1058" s="23" t="s">
        <v>63</v>
      </c>
      <c r="F1058" s="23" t="s">
        <v>2225</v>
      </c>
      <c r="G1058" s="23" t="s">
        <v>2226</v>
      </c>
      <c r="H1058" s="22" t="s">
        <v>2253</v>
      </c>
      <c r="I1058" s="22" t="s">
        <v>54</v>
      </c>
      <c r="J1058" s="22" t="s">
        <v>3093</v>
      </c>
      <c r="N1058" s="22" t="s">
        <v>2352</v>
      </c>
      <c r="O1058" s="22" t="s">
        <v>2229</v>
      </c>
      <c r="P1058" s="22">
        <v>80850</v>
      </c>
      <c r="Q1058" s="22">
        <v>9</v>
      </c>
      <c r="R1058" s="22">
        <v>9</v>
      </c>
      <c r="S1058" s="22">
        <v>9</v>
      </c>
      <c r="T1058" s="22" t="s">
        <v>281</v>
      </c>
      <c r="U1058" s="22">
        <v>1</v>
      </c>
      <c r="V1058" s="22">
        <v>1</v>
      </c>
      <c r="W1058" s="24">
        <f t="shared" si="175"/>
        <v>804.21104428016463</v>
      </c>
      <c r="X1058" s="24">
        <f t="shared" si="176"/>
        <v>381.51</v>
      </c>
      <c r="Y1058" s="21">
        <v>1</v>
      </c>
      <c r="Z1058" s="24">
        <f t="shared" si="168"/>
        <v>804.21104428016463</v>
      </c>
      <c r="AA1058" s="24">
        <f t="shared" si="169"/>
        <v>381.51</v>
      </c>
      <c r="AJ1058" s="21">
        <v>190.9</v>
      </c>
      <c r="AK1058" s="21">
        <v>9</v>
      </c>
      <c r="AL1058" s="22" t="s">
        <v>161</v>
      </c>
      <c r="AM1058" s="22">
        <v>0.16</v>
      </c>
      <c r="AN1058" s="38"/>
      <c r="AO1058" s="22" t="s">
        <v>1364</v>
      </c>
      <c r="AP1058" s="22" t="s">
        <v>162</v>
      </c>
      <c r="AQ1058" s="22" t="str">
        <f t="shared" si="170"/>
        <v>Nanophytoplankton</v>
      </c>
      <c r="AR1058" s="22">
        <v>0</v>
      </c>
      <c r="AS1058" s="22">
        <v>0</v>
      </c>
      <c r="AT1058" s="22">
        <v>0</v>
      </c>
      <c r="AU1058" s="38">
        <v>0</v>
      </c>
      <c r="AV1058" s="38">
        <v>0</v>
      </c>
      <c r="AW1058" s="22">
        <v>0</v>
      </c>
      <c r="AX1058" s="22">
        <v>0</v>
      </c>
      <c r="AY1058" s="22">
        <v>1</v>
      </c>
    </row>
    <row r="1059" spans="1:51">
      <c r="A1059" s="22" t="s">
        <v>3094</v>
      </c>
      <c r="B1059" s="22" t="s">
        <v>663</v>
      </c>
      <c r="C1059" s="22" t="s">
        <v>2223</v>
      </c>
      <c r="D1059" s="22" t="s">
        <v>2224</v>
      </c>
      <c r="E1059" s="23" t="s">
        <v>63</v>
      </c>
      <c r="F1059" s="23" t="s">
        <v>2225</v>
      </c>
      <c r="G1059" s="23" t="s">
        <v>2226</v>
      </c>
      <c r="H1059" s="22" t="s">
        <v>2253</v>
      </c>
      <c r="I1059" s="22" t="s">
        <v>54</v>
      </c>
      <c r="J1059" s="22" t="s">
        <v>3095</v>
      </c>
      <c r="N1059" s="22" t="s">
        <v>3096</v>
      </c>
      <c r="O1059" s="22" t="s">
        <v>2229</v>
      </c>
      <c r="P1059" s="22">
        <v>80843</v>
      </c>
      <c r="Q1059" s="21">
        <v>18</v>
      </c>
      <c r="R1059" s="21">
        <v>18</v>
      </c>
      <c r="S1059" s="21">
        <v>9</v>
      </c>
      <c r="T1059" s="22" t="s">
        <v>281</v>
      </c>
      <c r="U1059" s="21">
        <v>0.6</v>
      </c>
      <c r="V1059" s="21">
        <v>0.6</v>
      </c>
      <c r="W1059" s="24">
        <f t="shared" si="175"/>
        <v>4104.0622244227752</v>
      </c>
      <c r="X1059" s="24">
        <f t="shared" si="176"/>
        <v>915.62399999999991</v>
      </c>
      <c r="Y1059" s="21">
        <v>1</v>
      </c>
      <c r="Z1059" s="24">
        <f t="shared" si="168"/>
        <v>4104.0622244227752</v>
      </c>
      <c r="AA1059" s="24">
        <f t="shared" si="169"/>
        <v>915.62399999999991</v>
      </c>
      <c r="AB1059" s="21"/>
      <c r="AC1059" s="21"/>
      <c r="AD1059" s="21"/>
      <c r="AE1059" s="21"/>
      <c r="AF1059" s="21"/>
      <c r="AG1059" s="21"/>
      <c r="AH1059" s="24"/>
      <c r="AI1059" s="24"/>
      <c r="AJ1059" s="21">
        <v>1831.2479999999998</v>
      </c>
      <c r="AK1059" s="21">
        <v>10</v>
      </c>
      <c r="AL1059" s="22" t="s">
        <v>161</v>
      </c>
      <c r="AM1059" s="22">
        <v>0.16</v>
      </c>
      <c r="AO1059" s="22" t="s">
        <v>1364</v>
      </c>
      <c r="AP1059" s="22" t="s">
        <v>162</v>
      </c>
      <c r="AQ1059" s="22" t="str">
        <f t="shared" si="170"/>
        <v>Nanophytoplankton</v>
      </c>
      <c r="AR1059" s="22">
        <v>0</v>
      </c>
      <c r="AS1059" s="22">
        <v>0</v>
      </c>
      <c r="AT1059" s="22">
        <v>0</v>
      </c>
      <c r="AU1059" s="38">
        <v>0</v>
      </c>
      <c r="AV1059" s="38">
        <v>0</v>
      </c>
      <c r="AW1059" s="22">
        <v>0</v>
      </c>
      <c r="AX1059" s="22">
        <v>0</v>
      </c>
      <c r="AY1059" s="22">
        <v>1</v>
      </c>
    </row>
    <row r="1060" spans="1:51">
      <c r="A1060" s="22" t="s">
        <v>3097</v>
      </c>
      <c r="B1060" s="22" t="s">
        <v>663</v>
      </c>
      <c r="C1060" s="22" t="s">
        <v>2223</v>
      </c>
      <c r="D1060" s="22" t="s">
        <v>2224</v>
      </c>
      <c r="E1060" s="23" t="s">
        <v>63</v>
      </c>
      <c r="F1060" s="23" t="s">
        <v>2859</v>
      </c>
      <c r="G1060" s="23" t="s">
        <v>3098</v>
      </c>
      <c r="H1060" s="23" t="s">
        <v>3099</v>
      </c>
      <c r="I1060" s="22" t="s">
        <v>3100</v>
      </c>
      <c r="J1060" s="22" t="s">
        <v>3101</v>
      </c>
      <c r="N1060" s="22" t="s">
        <v>3102</v>
      </c>
      <c r="O1060" s="22" t="s">
        <v>2229</v>
      </c>
      <c r="P1060" s="22">
        <v>80211</v>
      </c>
      <c r="Q1060" s="21">
        <v>13.5</v>
      </c>
      <c r="R1060" s="21">
        <v>11</v>
      </c>
      <c r="S1060" s="21">
        <v>11</v>
      </c>
      <c r="T1060" s="22" t="s">
        <v>281</v>
      </c>
      <c r="U1060" s="22">
        <v>1</v>
      </c>
      <c r="V1060" s="22">
        <v>1</v>
      </c>
      <c r="W1060" s="24">
        <f t="shared" si="175"/>
        <v>1461.6548953872277</v>
      </c>
      <c r="X1060" s="24">
        <f t="shared" si="176"/>
        <v>854.8649999999999</v>
      </c>
      <c r="Y1060" s="21">
        <v>1</v>
      </c>
      <c r="Z1060" s="24">
        <f t="shared" si="168"/>
        <v>1461.6548953872277</v>
      </c>
      <c r="AA1060" s="24">
        <f t="shared" si="169"/>
        <v>854.8649999999999</v>
      </c>
      <c r="AB1060" s="21"/>
      <c r="AC1060" s="21"/>
      <c r="AD1060" s="21"/>
      <c r="AE1060" s="21"/>
      <c r="AF1060" s="21"/>
      <c r="AG1060" s="21"/>
      <c r="AH1060" s="24"/>
      <c r="AI1060" s="24"/>
      <c r="AJ1060" s="21">
        <v>854.86500000000001</v>
      </c>
      <c r="AK1060" s="21">
        <v>13.5</v>
      </c>
      <c r="AL1060" s="22" t="s">
        <v>161</v>
      </c>
      <c r="AM1060" s="22">
        <v>0.16</v>
      </c>
      <c r="AO1060" s="22" t="s">
        <v>1364</v>
      </c>
      <c r="AP1060" s="22" t="s">
        <v>162</v>
      </c>
      <c r="AQ1060" s="22" t="str">
        <f t="shared" si="170"/>
        <v>Nanophytoplankton</v>
      </c>
      <c r="AR1060" s="22">
        <v>0</v>
      </c>
      <c r="AS1060" s="22">
        <v>0</v>
      </c>
      <c r="AT1060" s="22">
        <v>0</v>
      </c>
      <c r="AU1060" s="38">
        <v>0</v>
      </c>
      <c r="AV1060" s="38">
        <v>0</v>
      </c>
      <c r="AW1060" s="22">
        <v>0</v>
      </c>
      <c r="AX1060" s="22">
        <v>0</v>
      </c>
      <c r="AY1060" s="22">
        <v>1</v>
      </c>
    </row>
    <row r="1061" spans="1:51">
      <c r="A1061" s="21" t="s">
        <v>3103</v>
      </c>
      <c r="B1061" s="22" t="s">
        <v>663</v>
      </c>
      <c r="C1061" s="22" t="s">
        <v>2223</v>
      </c>
      <c r="D1061" s="22" t="s">
        <v>2224</v>
      </c>
      <c r="E1061" s="23" t="s">
        <v>63</v>
      </c>
      <c r="F1061" s="23" t="s">
        <v>2859</v>
      </c>
      <c r="G1061" s="23" t="s">
        <v>3098</v>
      </c>
      <c r="H1061" s="23" t="s">
        <v>3099</v>
      </c>
      <c r="I1061" s="22" t="s">
        <v>3100</v>
      </c>
      <c r="J1061" s="22" t="s">
        <v>2854</v>
      </c>
      <c r="N1061" s="22" t="s">
        <v>3104</v>
      </c>
      <c r="O1061" s="22" t="s">
        <v>2229</v>
      </c>
      <c r="P1061" s="21">
        <v>80210</v>
      </c>
      <c r="Q1061" s="21">
        <v>18</v>
      </c>
      <c r="R1061" s="21">
        <v>15</v>
      </c>
      <c r="S1061" s="21">
        <v>8</v>
      </c>
      <c r="T1061" s="22" t="s">
        <v>281</v>
      </c>
      <c r="U1061" s="22">
        <v>1</v>
      </c>
      <c r="V1061" s="22">
        <v>1</v>
      </c>
      <c r="W1061" s="24">
        <f t="shared" si="175"/>
        <v>2086.4647931666159</v>
      </c>
      <c r="X1061" s="24">
        <f t="shared" si="176"/>
        <v>1130.4000000000001</v>
      </c>
      <c r="Y1061" s="21">
        <v>1</v>
      </c>
      <c r="Z1061" s="24">
        <f t="shared" si="168"/>
        <v>2086.4647931666159</v>
      </c>
      <c r="AA1061" s="24">
        <f t="shared" si="169"/>
        <v>1130.4000000000001</v>
      </c>
      <c r="AB1061" s="21"/>
      <c r="AC1061" s="21"/>
      <c r="AD1061" s="21"/>
      <c r="AE1061" s="21"/>
      <c r="AF1061" s="21"/>
      <c r="AG1061" s="21"/>
      <c r="AH1061" s="24"/>
      <c r="AI1061" s="24"/>
      <c r="AJ1061" s="21">
        <v>1131</v>
      </c>
      <c r="AK1061" s="21">
        <v>18</v>
      </c>
      <c r="AL1061" s="22" t="s">
        <v>161</v>
      </c>
      <c r="AM1061" s="22">
        <v>0.16</v>
      </c>
      <c r="AO1061" s="22" t="s">
        <v>1364</v>
      </c>
      <c r="AP1061" s="22" t="s">
        <v>673</v>
      </c>
      <c r="AQ1061" s="22" t="str">
        <f t="shared" si="170"/>
        <v>Nanophytoplankton</v>
      </c>
      <c r="AR1061" s="22">
        <v>1</v>
      </c>
      <c r="AS1061" s="22">
        <v>1</v>
      </c>
      <c r="AT1061" s="22">
        <v>0</v>
      </c>
      <c r="AU1061" s="22">
        <v>0</v>
      </c>
      <c r="AV1061" s="22">
        <v>0</v>
      </c>
      <c r="AW1061" s="22">
        <v>0</v>
      </c>
      <c r="AX1061" s="22">
        <v>0</v>
      </c>
      <c r="AY1061" s="22">
        <v>1</v>
      </c>
    </row>
    <row r="1062" spans="1:51">
      <c r="A1062" s="22" t="s">
        <v>3105</v>
      </c>
      <c r="B1062" s="22" t="s">
        <v>663</v>
      </c>
      <c r="C1062" s="22" t="s">
        <v>2223</v>
      </c>
      <c r="D1062" s="22" t="s">
        <v>2224</v>
      </c>
      <c r="E1062" s="23" t="s">
        <v>63</v>
      </c>
      <c r="F1062" s="23" t="s">
        <v>2225</v>
      </c>
      <c r="G1062" s="23" t="s">
        <v>2226</v>
      </c>
      <c r="H1062" s="22" t="s">
        <v>2457</v>
      </c>
      <c r="I1062" s="22" t="s">
        <v>55</v>
      </c>
      <c r="J1062" s="22" t="s">
        <v>496</v>
      </c>
      <c r="N1062" s="22" t="s">
        <v>494</v>
      </c>
      <c r="O1062" s="22" t="s">
        <v>2229</v>
      </c>
      <c r="P1062" s="22">
        <v>87102</v>
      </c>
      <c r="Q1062" s="22">
        <v>5.5</v>
      </c>
      <c r="R1062" s="22">
        <v>5.5</v>
      </c>
      <c r="S1062" s="22">
        <v>4</v>
      </c>
      <c r="T1062" s="22" t="s">
        <v>246</v>
      </c>
      <c r="U1062" s="22">
        <v>1</v>
      </c>
      <c r="V1062" s="22">
        <v>1</v>
      </c>
      <c r="W1062" s="25">
        <f>4*3.14*(R1062/2)*(Q1062/2)/V1062</f>
        <v>94.984999999999999</v>
      </c>
      <c r="X1062" s="25">
        <f>(3.14/6*(Q1062*S1062*R1062))*U1062</f>
        <v>63.323333333333331</v>
      </c>
      <c r="Y1062" s="22">
        <v>4</v>
      </c>
      <c r="Z1062" s="24">
        <f t="shared" si="168"/>
        <v>379.94</v>
      </c>
      <c r="AA1062" s="24">
        <f t="shared" si="169"/>
        <v>253.29333333333332</v>
      </c>
      <c r="AB1062" s="22">
        <v>11</v>
      </c>
      <c r="AC1062" s="22">
        <v>11</v>
      </c>
      <c r="AD1062" s="22">
        <v>4</v>
      </c>
      <c r="AE1062" s="22" t="s">
        <v>330</v>
      </c>
      <c r="AF1062" s="22">
        <v>0.7</v>
      </c>
      <c r="AG1062" s="22">
        <v>0.7</v>
      </c>
      <c r="AH1062" s="25">
        <f t="shared" ref="AH1062:AH1068" si="177">(AB1062*AC1062*2+AB1062*AD1062*2+AC1062*AD1062*2)/AG1062</f>
        <v>597.14285714285722</v>
      </c>
      <c r="AI1062" s="25">
        <f t="shared" ref="AI1062:AI1068" si="178">AB1062*AC1062*AD1062*AF1062</f>
        <v>338.79999999999995</v>
      </c>
      <c r="AJ1062" s="21">
        <v>348.27833333333331</v>
      </c>
      <c r="AK1062" s="21">
        <v>11</v>
      </c>
      <c r="AL1062" s="22" t="s">
        <v>161</v>
      </c>
      <c r="AM1062" s="22">
        <v>0.16</v>
      </c>
      <c r="AO1062" s="22" t="s">
        <v>1364</v>
      </c>
      <c r="AP1062" s="22" t="s">
        <v>162</v>
      </c>
      <c r="AQ1062" s="22" t="str">
        <f t="shared" si="170"/>
        <v>Nanophytoplankton</v>
      </c>
      <c r="AR1062" s="22">
        <v>0</v>
      </c>
      <c r="AS1062" s="22">
        <v>0</v>
      </c>
      <c r="AT1062" s="22">
        <v>0</v>
      </c>
      <c r="AU1062" s="22">
        <v>1</v>
      </c>
      <c r="AV1062" s="22">
        <v>0</v>
      </c>
      <c r="AW1062" s="22">
        <v>0</v>
      </c>
      <c r="AX1062" s="22">
        <v>0</v>
      </c>
      <c r="AY1062" s="22">
        <v>1</v>
      </c>
    </row>
    <row r="1063" spans="1:51">
      <c r="A1063" s="22" t="s">
        <v>3106</v>
      </c>
      <c r="B1063" s="22" t="s">
        <v>663</v>
      </c>
      <c r="C1063" s="22" t="s">
        <v>2223</v>
      </c>
      <c r="D1063" s="22" t="s">
        <v>2224</v>
      </c>
      <c r="E1063" s="23" t="s">
        <v>63</v>
      </c>
      <c r="F1063" s="23" t="s">
        <v>2225</v>
      </c>
      <c r="G1063" s="23" t="s">
        <v>2226</v>
      </c>
      <c r="H1063" s="22" t="s">
        <v>2457</v>
      </c>
      <c r="I1063" s="22" t="s">
        <v>55</v>
      </c>
      <c r="J1063" s="22" t="s">
        <v>3107</v>
      </c>
      <c r="N1063" s="22" t="s">
        <v>3108</v>
      </c>
      <c r="O1063" s="22" t="s">
        <v>2229</v>
      </c>
      <c r="P1063" s="22">
        <v>87103</v>
      </c>
      <c r="Q1063" s="22">
        <v>7</v>
      </c>
      <c r="R1063" s="22">
        <v>7</v>
      </c>
      <c r="S1063" s="22">
        <v>4</v>
      </c>
      <c r="T1063" s="22" t="s">
        <v>246</v>
      </c>
      <c r="U1063" s="22">
        <v>1</v>
      </c>
      <c r="V1063" s="22">
        <v>1</v>
      </c>
      <c r="W1063" s="25">
        <f>4*3.14*(R1063/2)*(Q1063/2)/V1063</f>
        <v>153.86000000000001</v>
      </c>
      <c r="X1063" s="25">
        <f>(3.14/6*(Q1063*S1063*R1063))*U1063</f>
        <v>102.57333333333332</v>
      </c>
      <c r="Y1063" s="22">
        <v>4</v>
      </c>
      <c r="Z1063" s="24">
        <f t="shared" si="168"/>
        <v>615.44000000000005</v>
      </c>
      <c r="AA1063" s="24">
        <f t="shared" si="169"/>
        <v>410.29333333333329</v>
      </c>
      <c r="AB1063" s="22">
        <v>14</v>
      </c>
      <c r="AC1063" s="22">
        <v>14</v>
      </c>
      <c r="AD1063" s="22">
        <v>4</v>
      </c>
      <c r="AE1063" s="22" t="s">
        <v>330</v>
      </c>
      <c r="AF1063" s="22">
        <v>0.7</v>
      </c>
      <c r="AG1063" s="22">
        <v>0.7</v>
      </c>
      <c r="AH1063" s="25">
        <f t="shared" si="177"/>
        <v>880</v>
      </c>
      <c r="AI1063" s="25">
        <f t="shared" si="178"/>
        <v>548.79999999999995</v>
      </c>
      <c r="AJ1063" s="21">
        <v>718.01333333333332</v>
      </c>
      <c r="AK1063" s="21">
        <v>14</v>
      </c>
      <c r="AL1063" s="22" t="s">
        <v>161</v>
      </c>
      <c r="AM1063" s="22">
        <v>0.16</v>
      </c>
      <c r="AO1063" s="22" t="s">
        <v>1364</v>
      </c>
      <c r="AP1063" s="22" t="s">
        <v>162</v>
      </c>
      <c r="AQ1063" s="22" t="str">
        <f t="shared" si="170"/>
        <v>Nanophytoplankton</v>
      </c>
      <c r="AR1063" s="22">
        <v>0</v>
      </c>
      <c r="AS1063" s="22">
        <v>0</v>
      </c>
      <c r="AT1063" s="22">
        <v>0</v>
      </c>
      <c r="AU1063" s="22">
        <v>1</v>
      </c>
      <c r="AV1063" s="22">
        <v>0</v>
      </c>
      <c r="AW1063" s="22">
        <v>0</v>
      </c>
      <c r="AX1063" s="22">
        <v>0</v>
      </c>
      <c r="AY1063" s="22">
        <v>1</v>
      </c>
    </row>
    <row r="1064" spans="1:51">
      <c r="A1064" s="21" t="s">
        <v>3109</v>
      </c>
      <c r="B1064" s="22" t="s">
        <v>663</v>
      </c>
      <c r="C1064" s="22" t="s">
        <v>2223</v>
      </c>
      <c r="D1064" s="22" t="s">
        <v>2224</v>
      </c>
      <c r="E1064" s="23" t="s">
        <v>63</v>
      </c>
      <c r="F1064" s="23" t="s">
        <v>2225</v>
      </c>
      <c r="G1064" s="23" t="s">
        <v>2226</v>
      </c>
      <c r="H1064" s="22" t="s">
        <v>2457</v>
      </c>
      <c r="I1064" s="22" t="s">
        <v>55</v>
      </c>
      <c r="J1064" s="21" t="s">
        <v>3110</v>
      </c>
      <c r="K1064" s="21"/>
      <c r="L1064" s="21"/>
      <c r="N1064" s="22" t="s">
        <v>3111</v>
      </c>
      <c r="O1064" s="22" t="s">
        <v>2229</v>
      </c>
      <c r="P1064" s="21">
        <v>87101</v>
      </c>
      <c r="Q1064" s="21">
        <v>8</v>
      </c>
      <c r="R1064" s="21">
        <v>5</v>
      </c>
      <c r="S1064" s="21">
        <v>3.4</v>
      </c>
      <c r="T1064" s="21" t="s">
        <v>281</v>
      </c>
      <c r="U1064" s="22">
        <v>1</v>
      </c>
      <c r="V1064" s="22">
        <v>1</v>
      </c>
      <c r="W1064" s="24">
        <f>(4*3.14*(((Q1064^1.6*R1064^1.6+Q1064^1.6*S1064^1.6+R1064^1.6+S1064^1.6)/3)^(1/1.6)))*(1/V1064)</f>
        <v>338.48463901489424</v>
      </c>
      <c r="X1064" s="24">
        <f>3.14/6*Q1064*R1064*S1064*U1064</f>
        <v>71.173333333333332</v>
      </c>
      <c r="Y1064" s="21">
        <v>4</v>
      </c>
      <c r="Z1064" s="24">
        <f t="shared" si="168"/>
        <v>1353.938556059577</v>
      </c>
      <c r="AA1064" s="24">
        <f t="shared" si="169"/>
        <v>284.69333333333333</v>
      </c>
      <c r="AB1064" s="21">
        <v>12</v>
      </c>
      <c r="AC1064" s="21">
        <v>12</v>
      </c>
      <c r="AD1064" s="21">
        <v>3.4</v>
      </c>
      <c r="AE1064" s="22" t="s">
        <v>330</v>
      </c>
      <c r="AF1064" s="22">
        <v>0.7</v>
      </c>
      <c r="AG1064" s="22">
        <v>0.7</v>
      </c>
      <c r="AH1064" s="25">
        <f t="shared" si="177"/>
        <v>644.57142857142867</v>
      </c>
      <c r="AI1064" s="25">
        <f t="shared" si="178"/>
        <v>342.71999999999997</v>
      </c>
      <c r="AJ1064" s="21">
        <v>137.19999999999999</v>
      </c>
      <c r="AK1064" s="21">
        <v>12</v>
      </c>
      <c r="AL1064" s="22" t="s">
        <v>161</v>
      </c>
      <c r="AM1064" s="22">
        <v>0.16</v>
      </c>
      <c r="AO1064" s="22" t="s">
        <v>1364</v>
      </c>
      <c r="AP1064" s="22" t="s">
        <v>162</v>
      </c>
      <c r="AQ1064" s="22" t="str">
        <f t="shared" si="170"/>
        <v>Nanophytoplankton</v>
      </c>
      <c r="AR1064" s="22">
        <v>0</v>
      </c>
      <c r="AS1064" s="22">
        <v>0</v>
      </c>
      <c r="AT1064" s="22">
        <v>0</v>
      </c>
      <c r="AU1064" s="22">
        <v>1</v>
      </c>
      <c r="AV1064" s="22">
        <v>0</v>
      </c>
      <c r="AW1064" s="22">
        <v>0</v>
      </c>
      <c r="AX1064" s="22">
        <v>0</v>
      </c>
      <c r="AY1064" s="22">
        <v>1</v>
      </c>
    </row>
    <row r="1065" spans="1:51">
      <c r="A1065" s="22" t="s">
        <v>3112</v>
      </c>
      <c r="B1065" s="22" t="s">
        <v>663</v>
      </c>
      <c r="C1065" s="22" t="s">
        <v>2223</v>
      </c>
      <c r="D1065" s="22" t="s">
        <v>2224</v>
      </c>
      <c r="E1065" s="23" t="s">
        <v>63</v>
      </c>
      <c r="F1065" s="23" t="s">
        <v>2225</v>
      </c>
      <c r="G1065" s="23" t="s">
        <v>2226</v>
      </c>
      <c r="H1065" s="22" t="s">
        <v>2457</v>
      </c>
      <c r="I1065" s="22" t="s">
        <v>55</v>
      </c>
      <c r="J1065" s="22" t="s">
        <v>3113</v>
      </c>
      <c r="N1065" s="22" t="s">
        <v>3114</v>
      </c>
      <c r="O1065" s="22" t="s">
        <v>2229</v>
      </c>
      <c r="P1065" s="22">
        <v>87104</v>
      </c>
      <c r="Q1065" s="22">
        <v>5</v>
      </c>
      <c r="R1065" s="22">
        <v>5</v>
      </c>
      <c r="S1065" s="22">
        <v>5</v>
      </c>
      <c r="T1065" s="22" t="s">
        <v>281</v>
      </c>
      <c r="U1065" s="22">
        <v>1</v>
      </c>
      <c r="V1065" s="22">
        <v>1</v>
      </c>
      <c r="W1065" s="24">
        <f>(4*3.14*(((Q1065^1.6*R1065^1.6+Q1065^1.6*S1065^1.6+R1065^1.6+S1065^1.6)/3)^(1/1.6)))*(1/V1065)</f>
        <v>255.14798814971115</v>
      </c>
      <c r="X1065" s="24">
        <f>3.14/6*Q1065*R1065*S1065*U1065</f>
        <v>65.416666666666671</v>
      </c>
      <c r="Y1065" s="22">
        <v>4</v>
      </c>
      <c r="Z1065" s="24">
        <f t="shared" si="168"/>
        <v>1020.5919525988446</v>
      </c>
      <c r="AA1065" s="24">
        <f t="shared" si="169"/>
        <v>261.66666666666669</v>
      </c>
      <c r="AB1065" s="22">
        <v>12</v>
      </c>
      <c r="AC1065" s="22">
        <v>12</v>
      </c>
      <c r="AD1065" s="22">
        <v>5</v>
      </c>
      <c r="AE1065" s="22" t="s">
        <v>330</v>
      </c>
      <c r="AF1065" s="22">
        <v>0.7</v>
      </c>
      <c r="AG1065" s="22">
        <v>0.7</v>
      </c>
      <c r="AH1065" s="25">
        <f t="shared" si="177"/>
        <v>754.28571428571433</v>
      </c>
      <c r="AI1065" s="25">
        <f t="shared" si="178"/>
        <v>503.99999999999994</v>
      </c>
      <c r="AJ1065" s="21">
        <v>261.66666666666663</v>
      </c>
      <c r="AK1065" s="21">
        <v>12</v>
      </c>
      <c r="AL1065" s="22" t="s">
        <v>161</v>
      </c>
      <c r="AM1065" s="22">
        <v>0.16</v>
      </c>
      <c r="AO1065" s="22" t="s">
        <v>1364</v>
      </c>
      <c r="AP1065" s="22" t="s">
        <v>162</v>
      </c>
      <c r="AQ1065" s="22" t="str">
        <f t="shared" si="170"/>
        <v>Nanophytoplankton</v>
      </c>
      <c r="AR1065" s="22">
        <v>0</v>
      </c>
      <c r="AS1065" s="22">
        <v>0</v>
      </c>
      <c r="AT1065" s="22">
        <v>0</v>
      </c>
      <c r="AU1065" s="22">
        <v>1</v>
      </c>
      <c r="AV1065" s="22">
        <v>0</v>
      </c>
      <c r="AW1065" s="22">
        <v>0</v>
      </c>
      <c r="AX1065" s="22">
        <v>0</v>
      </c>
      <c r="AY1065" s="22">
        <v>1</v>
      </c>
    </row>
    <row r="1066" spans="1:51">
      <c r="A1066" s="21" t="s">
        <v>3115</v>
      </c>
      <c r="B1066" s="22" t="s">
        <v>663</v>
      </c>
      <c r="C1066" s="22" t="s">
        <v>2223</v>
      </c>
      <c r="D1066" s="22" t="s">
        <v>2224</v>
      </c>
      <c r="E1066" s="23" t="s">
        <v>63</v>
      </c>
      <c r="F1066" s="23" t="s">
        <v>2225</v>
      </c>
      <c r="G1066" s="23" t="s">
        <v>2226</v>
      </c>
      <c r="H1066" s="22" t="s">
        <v>2457</v>
      </c>
      <c r="I1066" s="22" t="s">
        <v>55</v>
      </c>
      <c r="J1066" s="21" t="s">
        <v>3116</v>
      </c>
      <c r="K1066" s="21"/>
      <c r="L1066" s="21"/>
      <c r="N1066" s="22" t="s">
        <v>3033</v>
      </c>
      <c r="O1066" s="22" t="s">
        <v>2229</v>
      </c>
      <c r="P1066" s="21">
        <v>87100</v>
      </c>
      <c r="Q1066" s="22">
        <v>5</v>
      </c>
      <c r="R1066" s="22">
        <v>5</v>
      </c>
      <c r="S1066" s="22">
        <v>5</v>
      </c>
      <c r="T1066" s="22" t="s">
        <v>281</v>
      </c>
      <c r="U1066" s="22">
        <v>1</v>
      </c>
      <c r="V1066" s="22">
        <v>1</v>
      </c>
      <c r="W1066" s="24">
        <f>(4*3.14*(((Q1066^1.6*R1066^1.6+Q1066^1.6*S1066^1.6+R1066^1.6+S1066^1.6)/3)^(1/1.6)))*(1/V1066)</f>
        <v>255.14798814971115</v>
      </c>
      <c r="X1066" s="24">
        <f>3.14/6*Q1066*R1066*S1066*U1066</f>
        <v>65.416666666666671</v>
      </c>
      <c r="Y1066" s="22">
        <v>4</v>
      </c>
      <c r="Z1066" s="24">
        <f t="shared" si="168"/>
        <v>1020.5919525988446</v>
      </c>
      <c r="AA1066" s="24">
        <f t="shared" si="169"/>
        <v>261.66666666666669</v>
      </c>
      <c r="AB1066" s="22">
        <v>20</v>
      </c>
      <c r="AC1066" s="22">
        <v>20</v>
      </c>
      <c r="AD1066" s="22">
        <v>5</v>
      </c>
      <c r="AE1066" s="22" t="s">
        <v>330</v>
      </c>
      <c r="AF1066" s="22">
        <v>0.7</v>
      </c>
      <c r="AG1066" s="22">
        <v>0.7</v>
      </c>
      <c r="AH1066" s="25">
        <f t="shared" si="177"/>
        <v>1714.2857142857144</v>
      </c>
      <c r="AI1066" s="25">
        <f t="shared" si="178"/>
        <v>1400</v>
      </c>
      <c r="AJ1066" s="21">
        <v>261.8</v>
      </c>
      <c r="AK1066" s="21">
        <v>20</v>
      </c>
      <c r="AL1066" s="22" t="s">
        <v>161</v>
      </c>
      <c r="AM1066" s="22">
        <v>0.16</v>
      </c>
      <c r="AO1066" s="22" t="s">
        <v>1364</v>
      </c>
      <c r="AP1066" s="22" t="s">
        <v>162</v>
      </c>
      <c r="AQ1066" s="22" t="str">
        <f t="shared" si="170"/>
        <v>Microphytoplankton</v>
      </c>
      <c r="AR1066" s="22">
        <v>0</v>
      </c>
      <c r="AS1066" s="22">
        <v>0</v>
      </c>
      <c r="AT1066" s="22">
        <v>0</v>
      </c>
      <c r="AU1066" s="22">
        <v>1</v>
      </c>
      <c r="AV1066" s="22">
        <v>0</v>
      </c>
      <c r="AW1066" s="22">
        <v>0</v>
      </c>
      <c r="AX1066" s="22">
        <v>0</v>
      </c>
      <c r="AY1066" s="22">
        <v>1</v>
      </c>
    </row>
    <row r="1067" spans="1:51">
      <c r="A1067" s="22" t="s">
        <v>3117</v>
      </c>
      <c r="B1067" s="22" t="s">
        <v>663</v>
      </c>
      <c r="C1067" s="22" t="s">
        <v>2223</v>
      </c>
      <c r="D1067" s="22" t="s">
        <v>2224</v>
      </c>
      <c r="E1067" s="23" t="s">
        <v>63</v>
      </c>
      <c r="F1067" s="23" t="s">
        <v>2225</v>
      </c>
      <c r="G1067" s="23" t="s">
        <v>2226</v>
      </c>
      <c r="H1067" s="22" t="s">
        <v>2457</v>
      </c>
      <c r="I1067" s="22" t="s">
        <v>55</v>
      </c>
      <c r="J1067" s="22" t="s">
        <v>3118</v>
      </c>
      <c r="N1067" s="22" t="s">
        <v>2242</v>
      </c>
      <c r="O1067" s="22" t="s">
        <v>2229</v>
      </c>
      <c r="P1067" s="22">
        <v>87105</v>
      </c>
      <c r="Q1067" s="22">
        <v>11.5</v>
      </c>
      <c r="R1067" s="22">
        <v>11.5</v>
      </c>
      <c r="S1067" s="22">
        <v>4</v>
      </c>
      <c r="T1067" s="22" t="s">
        <v>246</v>
      </c>
      <c r="U1067" s="22">
        <v>1</v>
      </c>
      <c r="V1067" s="22">
        <v>1</v>
      </c>
      <c r="W1067" s="25">
        <f>4*3.14*(R1067/2)*(Q1067/2)/V1067</f>
        <v>415.26499999999999</v>
      </c>
      <c r="X1067" s="25">
        <f>(3.14/6*(Q1067*S1067*R1067))*U1067</f>
        <v>276.84333333333331</v>
      </c>
      <c r="Y1067" s="22">
        <v>4</v>
      </c>
      <c r="Z1067" s="24">
        <f t="shared" si="168"/>
        <v>1661.06</v>
      </c>
      <c r="AA1067" s="24">
        <f t="shared" si="169"/>
        <v>1107.3733333333332</v>
      </c>
      <c r="AB1067" s="22">
        <v>30</v>
      </c>
      <c r="AC1067" s="22">
        <v>30</v>
      </c>
      <c r="AD1067" s="22">
        <v>4</v>
      </c>
      <c r="AE1067" s="22" t="s">
        <v>330</v>
      </c>
      <c r="AF1067" s="22">
        <v>0.7</v>
      </c>
      <c r="AG1067" s="22">
        <v>0.7</v>
      </c>
      <c r="AH1067" s="25">
        <f t="shared" si="177"/>
        <v>3257.1428571428573</v>
      </c>
      <c r="AI1067" s="25">
        <f t="shared" si="178"/>
        <v>2520</v>
      </c>
      <c r="AJ1067" s="21">
        <v>3183.6983333333333</v>
      </c>
      <c r="AK1067" s="21">
        <v>30</v>
      </c>
      <c r="AL1067" s="22" t="s">
        <v>161</v>
      </c>
      <c r="AM1067" s="22">
        <v>0.16</v>
      </c>
      <c r="AO1067" s="22" t="s">
        <v>1364</v>
      </c>
      <c r="AP1067" s="22" t="s">
        <v>162</v>
      </c>
      <c r="AQ1067" s="22" t="str">
        <f t="shared" si="170"/>
        <v>Microphytoplankton</v>
      </c>
      <c r="AR1067" s="22">
        <v>0</v>
      </c>
      <c r="AS1067" s="22">
        <v>0</v>
      </c>
      <c r="AT1067" s="22">
        <v>0</v>
      </c>
      <c r="AU1067" s="22">
        <v>1</v>
      </c>
      <c r="AV1067" s="22">
        <v>0</v>
      </c>
      <c r="AW1067" s="22">
        <v>0</v>
      </c>
      <c r="AX1067" s="22">
        <v>0</v>
      </c>
      <c r="AY1067" s="22">
        <v>1</v>
      </c>
    </row>
    <row r="1068" spans="1:51">
      <c r="A1068" s="22" t="s">
        <v>3119</v>
      </c>
      <c r="B1068" s="22" t="s">
        <v>663</v>
      </c>
      <c r="C1068" s="22" t="s">
        <v>2223</v>
      </c>
      <c r="D1068" s="22" t="s">
        <v>2224</v>
      </c>
      <c r="E1068" s="23" t="s">
        <v>63</v>
      </c>
      <c r="F1068" s="23" t="s">
        <v>2225</v>
      </c>
      <c r="G1068" s="23" t="s">
        <v>2226</v>
      </c>
      <c r="H1068" s="22" t="s">
        <v>2457</v>
      </c>
      <c r="I1068" s="22" t="s">
        <v>55</v>
      </c>
      <c r="J1068" s="22" t="s">
        <v>3093</v>
      </c>
      <c r="N1068" s="22" t="s">
        <v>3120</v>
      </c>
      <c r="O1068" s="22" t="s">
        <v>2229</v>
      </c>
      <c r="P1068" s="21">
        <v>87106</v>
      </c>
      <c r="Q1068" s="22">
        <v>5</v>
      </c>
      <c r="R1068" s="22">
        <v>5</v>
      </c>
      <c r="S1068" s="22">
        <v>4</v>
      </c>
      <c r="T1068" s="22" t="s">
        <v>246</v>
      </c>
      <c r="U1068" s="22">
        <v>1</v>
      </c>
      <c r="V1068" s="22">
        <v>1</v>
      </c>
      <c r="W1068" s="25">
        <f>4*3.14*(R1068/2)*(Q1068/2)/V1068</f>
        <v>78.5</v>
      </c>
      <c r="X1068" s="25">
        <f>(3.14/6*(Q1068*S1068*R1068))*U1068</f>
        <v>52.333333333333329</v>
      </c>
      <c r="Y1068" s="22">
        <v>4</v>
      </c>
      <c r="Z1068" s="24">
        <f t="shared" si="168"/>
        <v>314</v>
      </c>
      <c r="AA1068" s="24">
        <f t="shared" si="169"/>
        <v>209.33333333333331</v>
      </c>
      <c r="AB1068" s="22">
        <v>12</v>
      </c>
      <c r="AC1068" s="22">
        <v>12</v>
      </c>
      <c r="AD1068" s="22">
        <v>4</v>
      </c>
      <c r="AE1068" s="22" t="s">
        <v>330</v>
      </c>
      <c r="AF1068" s="22">
        <v>0.7</v>
      </c>
      <c r="AG1068" s="22">
        <v>0.7</v>
      </c>
      <c r="AH1068" s="25">
        <f t="shared" si="177"/>
        <v>685.71428571428578</v>
      </c>
      <c r="AI1068" s="25">
        <f t="shared" si="178"/>
        <v>403.2</v>
      </c>
      <c r="AJ1068" s="21">
        <v>261.66666666666669</v>
      </c>
      <c r="AK1068" s="21">
        <v>12</v>
      </c>
      <c r="AL1068" s="22" t="s">
        <v>161</v>
      </c>
      <c r="AM1068" s="22">
        <v>0.16</v>
      </c>
      <c r="AO1068" s="22" t="s">
        <v>1364</v>
      </c>
      <c r="AP1068" s="22" t="s">
        <v>162</v>
      </c>
      <c r="AQ1068" s="22" t="str">
        <f t="shared" si="170"/>
        <v>Nanophytoplankton</v>
      </c>
      <c r="AR1068" s="22">
        <v>0</v>
      </c>
      <c r="AS1068" s="22">
        <v>0</v>
      </c>
      <c r="AT1068" s="22">
        <v>0</v>
      </c>
      <c r="AU1068" s="22">
        <v>1</v>
      </c>
      <c r="AV1068" s="22">
        <v>0</v>
      </c>
      <c r="AW1068" s="22">
        <v>0</v>
      </c>
      <c r="AX1068" s="22">
        <v>0</v>
      </c>
      <c r="AY1068" s="22">
        <v>1</v>
      </c>
    </row>
    <row r="1069" spans="1:51">
      <c r="A1069" s="22" t="s">
        <v>3121</v>
      </c>
      <c r="B1069" s="22" t="s">
        <v>663</v>
      </c>
      <c r="C1069" s="22" t="s">
        <v>2223</v>
      </c>
      <c r="D1069" s="22" t="s">
        <v>2224</v>
      </c>
      <c r="E1069" s="23" t="s">
        <v>63</v>
      </c>
      <c r="F1069" s="23" t="s">
        <v>2225</v>
      </c>
      <c r="G1069" s="23" t="s">
        <v>2226</v>
      </c>
      <c r="H1069" s="23" t="s">
        <v>2239</v>
      </c>
      <c r="I1069" s="22" t="s">
        <v>3122</v>
      </c>
      <c r="J1069" s="22" t="s">
        <v>2545</v>
      </c>
      <c r="N1069" s="22" t="s">
        <v>2299</v>
      </c>
      <c r="O1069" s="22" t="s">
        <v>2229</v>
      </c>
      <c r="P1069" s="22">
        <v>88101</v>
      </c>
      <c r="Q1069" s="22">
        <v>5.5</v>
      </c>
      <c r="R1069" s="22">
        <v>5.5</v>
      </c>
      <c r="S1069" s="22">
        <v>5</v>
      </c>
      <c r="T1069" s="22" t="s">
        <v>246</v>
      </c>
      <c r="U1069" s="22">
        <v>1</v>
      </c>
      <c r="V1069" s="22">
        <v>1</v>
      </c>
      <c r="W1069" s="25">
        <f>4*3.14*(R1069/2)*(Q1069/2)/V1069</f>
        <v>94.984999999999999</v>
      </c>
      <c r="X1069" s="25">
        <f>(3.14/6*(Q1069*S1069*R1069))*U1069</f>
        <v>79.154166666666669</v>
      </c>
      <c r="Y1069" s="22">
        <v>4</v>
      </c>
      <c r="Z1069" s="24">
        <f t="shared" si="168"/>
        <v>379.94</v>
      </c>
      <c r="AA1069" s="24">
        <f t="shared" si="169"/>
        <v>316.61666666666667</v>
      </c>
      <c r="AB1069" s="22">
        <v>15</v>
      </c>
      <c r="AC1069" s="22">
        <v>15</v>
      </c>
      <c r="AD1069" s="22">
        <v>15</v>
      </c>
      <c r="AE1069" s="22" t="s">
        <v>246</v>
      </c>
      <c r="AF1069" s="22">
        <v>0.4</v>
      </c>
      <c r="AG1069" s="22">
        <v>0.4</v>
      </c>
      <c r="AH1069" s="25">
        <f>4*3.14*(AC1069/2)*(AB1069/2)/AG1069</f>
        <v>1766.25</v>
      </c>
      <c r="AI1069" s="25">
        <f>(3.14/6*(AD1069*AB1069*AC1069))*AF1069</f>
        <v>706.5</v>
      </c>
      <c r="AJ1069" s="21">
        <v>348.27833333333331</v>
      </c>
      <c r="AK1069" s="21">
        <v>16</v>
      </c>
      <c r="AL1069" s="22" t="s">
        <v>161</v>
      </c>
      <c r="AM1069" s="22">
        <v>0.16</v>
      </c>
      <c r="AQ1069" s="22" t="str">
        <f t="shared" si="170"/>
        <v>Nanophytoplankton</v>
      </c>
      <c r="AR1069" s="22">
        <v>0</v>
      </c>
      <c r="AS1069" s="22">
        <v>0</v>
      </c>
      <c r="AT1069" s="22">
        <v>0</v>
      </c>
      <c r="AU1069" s="22">
        <v>1</v>
      </c>
      <c r="AV1069" s="22">
        <v>0</v>
      </c>
      <c r="AW1069" s="22">
        <v>0</v>
      </c>
      <c r="AX1069" s="22">
        <v>0</v>
      </c>
      <c r="AY1069" s="22">
        <v>1</v>
      </c>
    </row>
    <row r="1070" spans="1:51">
      <c r="A1070" s="21" t="s">
        <v>3123</v>
      </c>
      <c r="B1070" s="22" t="s">
        <v>663</v>
      </c>
      <c r="C1070" s="22" t="s">
        <v>2223</v>
      </c>
      <c r="D1070" s="22" t="s">
        <v>2224</v>
      </c>
      <c r="E1070" s="23" t="s">
        <v>63</v>
      </c>
      <c r="F1070" s="23" t="s">
        <v>2225</v>
      </c>
      <c r="G1070" s="23" t="s">
        <v>2226</v>
      </c>
      <c r="H1070" s="23" t="s">
        <v>2239</v>
      </c>
      <c r="I1070" s="22" t="s">
        <v>3122</v>
      </c>
      <c r="J1070" s="22" t="s">
        <v>2820</v>
      </c>
      <c r="N1070" s="22" t="s">
        <v>1173</v>
      </c>
      <c r="O1070" s="22" t="s">
        <v>2229</v>
      </c>
      <c r="P1070" s="21">
        <v>88100</v>
      </c>
      <c r="Q1070" s="22">
        <v>13.5</v>
      </c>
      <c r="R1070" s="22">
        <v>13.5</v>
      </c>
      <c r="S1070" s="22">
        <v>13.5</v>
      </c>
      <c r="T1070" s="22" t="s">
        <v>281</v>
      </c>
      <c r="U1070" s="22">
        <v>1</v>
      </c>
      <c r="V1070" s="22">
        <v>1</v>
      </c>
      <c r="W1070" s="24">
        <f>(4*3.14*(((Q1070^1.6*R1070^1.6+Q1070^1.6*S1070^1.6+R1070^1.6+S1070^1.6)/3)^(1/1.6)))*(1/V1070)</f>
        <v>1793.8491897934157</v>
      </c>
      <c r="X1070" s="24">
        <f>3.14/6*Q1070*R1070*S1070*U1070</f>
        <v>1287.5962500000001</v>
      </c>
      <c r="Y1070" s="22">
        <v>4</v>
      </c>
      <c r="Z1070" s="24">
        <f t="shared" si="168"/>
        <v>7175.3967591736628</v>
      </c>
      <c r="AA1070" s="24">
        <f t="shared" si="169"/>
        <v>5150.3850000000002</v>
      </c>
      <c r="AB1070" s="22">
        <v>15</v>
      </c>
      <c r="AC1070" s="22">
        <v>15</v>
      </c>
      <c r="AD1070" s="22">
        <v>15</v>
      </c>
      <c r="AE1070" s="22" t="s">
        <v>246</v>
      </c>
      <c r="AF1070" s="22">
        <v>0.4</v>
      </c>
      <c r="AG1070" s="22">
        <v>0.4</v>
      </c>
      <c r="AH1070" s="25">
        <f>4*3.14*(AC1070/2)*(AB1070/2)/AG1070</f>
        <v>1766.25</v>
      </c>
      <c r="AI1070" s="25">
        <f>(3.14/6*(AD1070*AB1070*AC1070))*AF1070</f>
        <v>706.5</v>
      </c>
      <c r="AJ1070" s="21">
        <v>9840</v>
      </c>
      <c r="AK1070" s="21">
        <v>40</v>
      </c>
      <c r="AL1070" s="22" t="s">
        <v>161</v>
      </c>
      <c r="AM1070" s="22">
        <v>0.16</v>
      </c>
      <c r="AQ1070" s="22" t="str">
        <f t="shared" si="170"/>
        <v>Microphytoplankton</v>
      </c>
      <c r="AR1070" s="22">
        <v>0</v>
      </c>
      <c r="AS1070" s="22">
        <v>0</v>
      </c>
      <c r="AT1070" s="22">
        <v>0</v>
      </c>
      <c r="AU1070" s="22">
        <v>1</v>
      </c>
      <c r="AV1070" s="22">
        <v>0</v>
      </c>
      <c r="AW1070" s="22">
        <v>0</v>
      </c>
      <c r="AX1070" s="22">
        <v>0</v>
      </c>
      <c r="AY1070" s="22">
        <v>1</v>
      </c>
    </row>
    <row r="1071" spans="1:51">
      <c r="A1071" s="22" t="s">
        <v>3124</v>
      </c>
      <c r="B1071" s="22" t="s">
        <v>663</v>
      </c>
      <c r="C1071" s="22" t="s">
        <v>2223</v>
      </c>
      <c r="D1071" s="22" t="s">
        <v>2224</v>
      </c>
      <c r="E1071" s="23" t="s">
        <v>63</v>
      </c>
      <c r="F1071" s="23" t="s">
        <v>2225</v>
      </c>
      <c r="G1071" s="23" t="s">
        <v>2226</v>
      </c>
      <c r="H1071" s="22" t="s">
        <v>3125</v>
      </c>
      <c r="I1071" s="22" t="s">
        <v>3126</v>
      </c>
      <c r="J1071" s="22" t="s">
        <v>3127</v>
      </c>
      <c r="N1071" s="22" t="s">
        <v>3128</v>
      </c>
      <c r="O1071" s="22" t="s">
        <v>2229</v>
      </c>
      <c r="P1071" s="22">
        <v>83024</v>
      </c>
      <c r="Q1071" s="22">
        <v>14.5</v>
      </c>
      <c r="R1071" s="22">
        <v>14.5</v>
      </c>
      <c r="S1071" s="22">
        <v>14.5</v>
      </c>
      <c r="T1071" s="22" t="s">
        <v>246</v>
      </c>
      <c r="U1071" s="22">
        <v>1</v>
      </c>
      <c r="V1071" s="22">
        <v>1</v>
      </c>
      <c r="W1071" s="25">
        <f>4*3.14*(R1071/2)*(Q1071/2)/V1071</f>
        <v>660.18500000000006</v>
      </c>
      <c r="X1071" s="25">
        <f>(3.14/6*(Q1071*S1071*R1071))*U1071</f>
        <v>1595.4470833333332</v>
      </c>
      <c r="Y1071" s="22">
        <v>1</v>
      </c>
      <c r="Z1071" s="24">
        <f t="shared" si="168"/>
        <v>660.18500000000006</v>
      </c>
      <c r="AA1071" s="24">
        <f t="shared" si="169"/>
        <v>1595.4470833333332</v>
      </c>
      <c r="AJ1071" s="21">
        <v>1595.4470833333332</v>
      </c>
      <c r="AK1071" s="21">
        <v>14.5</v>
      </c>
      <c r="AL1071" s="22" t="s">
        <v>161</v>
      </c>
      <c r="AM1071" s="22">
        <v>0.16</v>
      </c>
      <c r="AN1071" s="22" t="s">
        <v>2257</v>
      </c>
      <c r="AO1071" s="22" t="s">
        <v>2257</v>
      </c>
      <c r="AQ1071" s="22" t="str">
        <f t="shared" si="170"/>
        <v>Nanophytoplankton</v>
      </c>
      <c r="AR1071" s="22">
        <v>0</v>
      </c>
      <c r="AS1071" s="22">
        <v>0</v>
      </c>
      <c r="AT1071" s="22">
        <v>0</v>
      </c>
      <c r="AU1071" s="22">
        <v>0</v>
      </c>
      <c r="AV1071" s="22">
        <v>0</v>
      </c>
      <c r="AW1071" s="22">
        <v>0</v>
      </c>
      <c r="AX1071" s="22">
        <v>0</v>
      </c>
      <c r="AY1071" s="22">
        <v>1</v>
      </c>
    </row>
    <row r="1072" spans="1:51">
      <c r="A1072" s="22" t="s">
        <v>3129</v>
      </c>
      <c r="B1072" s="22" t="s">
        <v>663</v>
      </c>
      <c r="C1072" s="22" t="s">
        <v>2223</v>
      </c>
      <c r="D1072" s="22" t="s">
        <v>2224</v>
      </c>
      <c r="E1072" s="23" t="s">
        <v>63</v>
      </c>
      <c r="F1072" s="23" t="s">
        <v>2225</v>
      </c>
      <c r="G1072" s="23" t="s">
        <v>2226</v>
      </c>
      <c r="H1072" s="22" t="s">
        <v>3125</v>
      </c>
      <c r="I1072" s="22" t="s">
        <v>3126</v>
      </c>
      <c r="J1072" s="22" t="s">
        <v>209</v>
      </c>
      <c r="N1072" s="22" t="s">
        <v>3130</v>
      </c>
      <c r="O1072" s="22" t="s">
        <v>2229</v>
      </c>
      <c r="P1072" s="21">
        <v>83025</v>
      </c>
      <c r="Q1072" s="22">
        <v>10</v>
      </c>
      <c r="R1072" s="22">
        <v>10</v>
      </c>
      <c r="S1072" s="22">
        <v>10</v>
      </c>
      <c r="T1072" s="22" t="s">
        <v>246</v>
      </c>
      <c r="U1072" s="22">
        <v>1</v>
      </c>
      <c r="V1072" s="22">
        <v>1</v>
      </c>
      <c r="W1072" s="25">
        <f>4*3.14*(R1072/2)*(Q1072/2)/V1072</f>
        <v>314</v>
      </c>
      <c r="X1072" s="25">
        <f>(3.14/6*(Q1072*S1072*R1072))*U1072</f>
        <v>523.33333333333337</v>
      </c>
      <c r="Y1072" s="22">
        <v>1</v>
      </c>
      <c r="Z1072" s="24">
        <f t="shared" si="168"/>
        <v>314</v>
      </c>
      <c r="AA1072" s="24">
        <f t="shared" si="169"/>
        <v>523.33333333333337</v>
      </c>
      <c r="AJ1072" s="21">
        <v>523.33333333333337</v>
      </c>
      <c r="AK1072" s="21">
        <v>10</v>
      </c>
      <c r="AL1072" s="22" t="s">
        <v>161</v>
      </c>
      <c r="AM1072" s="22">
        <v>0.16</v>
      </c>
      <c r="AN1072" s="22" t="s">
        <v>2257</v>
      </c>
      <c r="AO1072" s="22" t="s">
        <v>2257</v>
      </c>
      <c r="AQ1072" s="22" t="str">
        <f t="shared" si="170"/>
        <v>Nanophytoplankton</v>
      </c>
      <c r="AR1072" s="22">
        <v>0</v>
      </c>
      <c r="AS1072" s="22">
        <v>0</v>
      </c>
      <c r="AT1072" s="22">
        <v>0</v>
      </c>
      <c r="AU1072" s="22">
        <v>0</v>
      </c>
      <c r="AV1072" s="22">
        <v>0</v>
      </c>
      <c r="AW1072" s="22">
        <v>0</v>
      </c>
      <c r="AX1072" s="22">
        <v>0</v>
      </c>
      <c r="AY1072" s="22">
        <v>1</v>
      </c>
    </row>
    <row r="1073" spans="1:51">
      <c r="A1073" s="21" t="s">
        <v>3131</v>
      </c>
      <c r="B1073" s="22" t="s">
        <v>663</v>
      </c>
      <c r="C1073" s="22" t="s">
        <v>2223</v>
      </c>
      <c r="D1073" s="22" t="s">
        <v>2224</v>
      </c>
      <c r="E1073" s="23" t="s">
        <v>63</v>
      </c>
      <c r="F1073" s="23" t="s">
        <v>2225</v>
      </c>
      <c r="G1073" s="23" t="s">
        <v>2226</v>
      </c>
      <c r="H1073" s="22" t="s">
        <v>3125</v>
      </c>
      <c r="I1073" s="22" t="s">
        <v>3126</v>
      </c>
      <c r="J1073" s="21" t="s">
        <v>3132</v>
      </c>
      <c r="K1073" s="21"/>
      <c r="L1073" s="21"/>
      <c r="N1073" s="22" t="s">
        <v>3133</v>
      </c>
      <c r="O1073" s="22" t="s">
        <v>2229</v>
      </c>
      <c r="P1073" s="21">
        <v>83021</v>
      </c>
      <c r="Q1073" s="21">
        <v>50</v>
      </c>
      <c r="R1073" s="21">
        <v>3.2</v>
      </c>
      <c r="S1073" s="21">
        <v>3.2</v>
      </c>
      <c r="T1073" s="21" t="s">
        <v>281</v>
      </c>
      <c r="U1073" s="21">
        <v>1</v>
      </c>
      <c r="V1073" s="21">
        <v>1</v>
      </c>
      <c r="W1073" s="24">
        <f t="shared" ref="W1073:W1081" si="179">(4*3.14*(((Q1073^1.6*R1073^1.6+Q1073^1.6*S1073^1.6+R1073^1.6+S1073^1.6)/3)^(1/1.6)))*(1/V1073)</f>
        <v>1561.6052577056794</v>
      </c>
      <c r="X1073" s="24">
        <f t="shared" ref="X1073:X1081" si="180">3.14/6*Q1073*R1073*S1073*U1073</f>
        <v>267.94666666666666</v>
      </c>
      <c r="Y1073" s="22">
        <v>1</v>
      </c>
      <c r="Z1073" s="24">
        <f t="shared" si="168"/>
        <v>1561.6052577056794</v>
      </c>
      <c r="AA1073" s="24">
        <f t="shared" si="169"/>
        <v>267.94666666666666</v>
      </c>
      <c r="AB1073" s="21"/>
      <c r="AC1073" s="21"/>
      <c r="AD1073" s="21"/>
      <c r="AE1073" s="21"/>
      <c r="AF1073" s="21"/>
      <c r="AG1073" s="21"/>
      <c r="AH1073" s="24"/>
      <c r="AI1073" s="24"/>
      <c r="AJ1073" s="21">
        <v>402</v>
      </c>
      <c r="AK1073" s="21">
        <v>50</v>
      </c>
      <c r="AL1073" s="22" t="s">
        <v>161</v>
      </c>
      <c r="AM1073" s="22">
        <v>0.16</v>
      </c>
      <c r="AO1073" s="22" t="s">
        <v>2257</v>
      </c>
      <c r="AQ1073" s="22" t="str">
        <f t="shared" si="170"/>
        <v>Microphytoplankton</v>
      </c>
      <c r="AR1073" s="22">
        <v>0</v>
      </c>
      <c r="AS1073" s="22">
        <v>0</v>
      </c>
      <c r="AT1073" s="22">
        <v>0</v>
      </c>
      <c r="AU1073" s="22">
        <v>0</v>
      </c>
      <c r="AV1073" s="22">
        <v>0</v>
      </c>
      <c r="AW1073" s="22">
        <v>0</v>
      </c>
      <c r="AX1073" s="22">
        <v>0</v>
      </c>
      <c r="AY1073" s="22">
        <v>1</v>
      </c>
    </row>
    <row r="1074" spans="1:51">
      <c r="A1074" s="21" t="s">
        <v>3134</v>
      </c>
      <c r="B1074" s="22" t="s">
        <v>663</v>
      </c>
      <c r="C1074" s="22" t="s">
        <v>2223</v>
      </c>
      <c r="D1074" s="22" t="s">
        <v>2224</v>
      </c>
      <c r="E1074" s="23" t="s">
        <v>63</v>
      </c>
      <c r="F1074" s="23" t="s">
        <v>2225</v>
      </c>
      <c r="G1074" s="23" t="s">
        <v>2226</v>
      </c>
      <c r="H1074" s="22" t="s">
        <v>3125</v>
      </c>
      <c r="I1074" s="22" t="s">
        <v>3126</v>
      </c>
      <c r="J1074" s="21" t="s">
        <v>431</v>
      </c>
      <c r="K1074" s="21"/>
      <c r="L1074" s="21"/>
      <c r="N1074" s="22" t="s">
        <v>3135</v>
      </c>
      <c r="O1074" s="22" t="s">
        <v>2229</v>
      </c>
      <c r="P1074" s="21">
        <v>83020</v>
      </c>
      <c r="Q1074" s="21">
        <v>15</v>
      </c>
      <c r="R1074" s="21">
        <v>15</v>
      </c>
      <c r="S1074" s="21">
        <v>15</v>
      </c>
      <c r="T1074" s="21" t="s">
        <v>281</v>
      </c>
      <c r="U1074" s="21">
        <v>0.2</v>
      </c>
      <c r="V1074" s="21">
        <v>0.2</v>
      </c>
      <c r="W1074" s="24">
        <f t="shared" si="179"/>
        <v>11056.706276931502</v>
      </c>
      <c r="X1074" s="24">
        <f t="shared" si="180"/>
        <v>353.25</v>
      </c>
      <c r="Y1074" s="22">
        <v>1</v>
      </c>
      <c r="Z1074" s="24">
        <f t="shared" si="168"/>
        <v>11056.706276931502</v>
      </c>
      <c r="AA1074" s="24">
        <f t="shared" si="169"/>
        <v>353.25</v>
      </c>
      <c r="AB1074" s="21"/>
      <c r="AC1074" s="21"/>
      <c r="AD1074" s="21"/>
      <c r="AE1074" s="21"/>
      <c r="AF1074" s="21"/>
      <c r="AG1074" s="21"/>
      <c r="AH1074" s="24"/>
      <c r="AI1074" s="24"/>
      <c r="AJ1074" s="21">
        <v>353.4</v>
      </c>
      <c r="AK1074" s="21">
        <v>20</v>
      </c>
      <c r="AL1074" s="22" t="s">
        <v>161</v>
      </c>
      <c r="AM1074" s="22">
        <v>0.16</v>
      </c>
      <c r="AN1074" s="38"/>
      <c r="AO1074" s="22" t="s">
        <v>2257</v>
      </c>
      <c r="AQ1074" s="22" t="str">
        <f t="shared" si="170"/>
        <v>Microphytoplankton</v>
      </c>
      <c r="AR1074" s="22">
        <v>0</v>
      </c>
      <c r="AS1074" s="22">
        <v>0</v>
      </c>
      <c r="AT1074" s="22">
        <v>0</v>
      </c>
      <c r="AU1074" s="22">
        <v>0</v>
      </c>
      <c r="AV1074" s="22">
        <v>0</v>
      </c>
      <c r="AW1074" s="22">
        <v>0</v>
      </c>
      <c r="AX1074" s="22">
        <v>0</v>
      </c>
      <c r="AY1074" s="22">
        <v>1</v>
      </c>
    </row>
    <row r="1075" spans="1:51">
      <c r="A1075" s="21" t="s">
        <v>3136</v>
      </c>
      <c r="B1075" s="22" t="s">
        <v>663</v>
      </c>
      <c r="C1075" s="22" t="s">
        <v>2223</v>
      </c>
      <c r="D1075" s="22" t="s">
        <v>2224</v>
      </c>
      <c r="E1075" s="23" t="s">
        <v>63</v>
      </c>
      <c r="F1075" s="23" t="s">
        <v>2225</v>
      </c>
      <c r="G1075" s="23" t="s">
        <v>2226</v>
      </c>
      <c r="H1075" s="22" t="s">
        <v>3125</v>
      </c>
      <c r="I1075" s="22" t="s">
        <v>3126</v>
      </c>
      <c r="J1075" s="21" t="s">
        <v>3032</v>
      </c>
      <c r="K1075" s="21"/>
      <c r="L1075" s="21"/>
      <c r="N1075" s="22" t="s">
        <v>3137</v>
      </c>
      <c r="O1075" s="22" t="s">
        <v>2229</v>
      </c>
      <c r="P1075" s="21">
        <v>83022</v>
      </c>
      <c r="Q1075" s="21">
        <v>15</v>
      </c>
      <c r="R1075" s="21">
        <v>15</v>
      </c>
      <c r="S1075" s="21">
        <v>15</v>
      </c>
      <c r="T1075" s="21" t="s">
        <v>281</v>
      </c>
      <c r="U1075" s="21">
        <v>0.2</v>
      </c>
      <c r="V1075" s="21">
        <v>0.2</v>
      </c>
      <c r="W1075" s="24">
        <f t="shared" si="179"/>
        <v>11056.706276931502</v>
      </c>
      <c r="X1075" s="24">
        <f t="shared" si="180"/>
        <v>353.25</v>
      </c>
      <c r="Y1075" s="22">
        <v>1</v>
      </c>
      <c r="Z1075" s="24">
        <f t="shared" si="168"/>
        <v>11056.706276931502</v>
      </c>
      <c r="AA1075" s="24">
        <f t="shared" si="169"/>
        <v>353.25</v>
      </c>
      <c r="AB1075" s="21"/>
      <c r="AC1075" s="21"/>
      <c r="AD1075" s="21"/>
      <c r="AE1075" s="21"/>
      <c r="AF1075" s="21"/>
      <c r="AG1075" s="21"/>
      <c r="AH1075" s="24"/>
      <c r="AI1075" s="24"/>
      <c r="AJ1075" s="21">
        <v>353.4</v>
      </c>
      <c r="AK1075" s="21">
        <v>20</v>
      </c>
      <c r="AL1075" s="22" t="s">
        <v>161</v>
      </c>
      <c r="AM1075" s="22">
        <v>0.16</v>
      </c>
      <c r="AO1075" s="22" t="s">
        <v>2257</v>
      </c>
      <c r="AQ1075" s="22" t="str">
        <f t="shared" si="170"/>
        <v>Microphytoplankton</v>
      </c>
      <c r="AR1075" s="22">
        <v>0</v>
      </c>
      <c r="AS1075" s="22">
        <v>0</v>
      </c>
      <c r="AT1075" s="22">
        <v>0</v>
      </c>
      <c r="AU1075" s="22">
        <v>0</v>
      </c>
      <c r="AV1075" s="22">
        <v>0</v>
      </c>
      <c r="AW1075" s="22">
        <v>0</v>
      </c>
      <c r="AX1075" s="22">
        <v>0</v>
      </c>
      <c r="AY1075" s="22">
        <v>1</v>
      </c>
    </row>
    <row r="1076" spans="1:51">
      <c r="A1076" s="21" t="s">
        <v>3138</v>
      </c>
      <c r="B1076" s="22" t="s">
        <v>663</v>
      </c>
      <c r="C1076" s="22" t="s">
        <v>2223</v>
      </c>
      <c r="D1076" s="22" t="s">
        <v>2224</v>
      </c>
      <c r="E1076" s="23" t="s">
        <v>63</v>
      </c>
      <c r="F1076" s="23" t="s">
        <v>2225</v>
      </c>
      <c r="G1076" s="23" t="s">
        <v>2226</v>
      </c>
      <c r="H1076" s="22" t="s">
        <v>3125</v>
      </c>
      <c r="I1076" s="22" t="s">
        <v>3126</v>
      </c>
      <c r="J1076" s="21" t="s">
        <v>3139</v>
      </c>
      <c r="K1076" s="21"/>
      <c r="L1076" s="21"/>
      <c r="N1076" s="22" t="s">
        <v>3140</v>
      </c>
      <c r="O1076" s="22" t="s">
        <v>2229</v>
      </c>
      <c r="P1076" s="21">
        <v>83023</v>
      </c>
      <c r="Q1076" s="21">
        <v>16</v>
      </c>
      <c r="R1076" s="21">
        <v>16</v>
      </c>
      <c r="S1076" s="21">
        <v>16</v>
      </c>
      <c r="T1076" s="21" t="s">
        <v>281</v>
      </c>
      <c r="U1076" s="21">
        <v>0.2</v>
      </c>
      <c r="V1076" s="21">
        <v>0.2</v>
      </c>
      <c r="W1076" s="24">
        <f t="shared" si="179"/>
        <v>12570.075509685101</v>
      </c>
      <c r="X1076" s="24">
        <f t="shared" si="180"/>
        <v>428.71466666666669</v>
      </c>
      <c r="Y1076" s="22">
        <v>1</v>
      </c>
      <c r="Z1076" s="24">
        <f t="shared" si="168"/>
        <v>12570.075509685101</v>
      </c>
      <c r="AA1076" s="24">
        <f t="shared" si="169"/>
        <v>428.71466666666669</v>
      </c>
      <c r="AB1076" s="21"/>
      <c r="AC1076" s="21"/>
      <c r="AD1076" s="21"/>
      <c r="AE1076" s="21"/>
      <c r="AF1076" s="21"/>
      <c r="AG1076" s="21"/>
      <c r="AH1076" s="24"/>
      <c r="AI1076" s="24"/>
      <c r="AJ1076" s="21">
        <v>452.1</v>
      </c>
      <c r="AK1076" s="21">
        <v>25</v>
      </c>
      <c r="AL1076" s="22" t="s">
        <v>161</v>
      </c>
      <c r="AM1076" s="22">
        <v>0.16</v>
      </c>
      <c r="AN1076" s="38"/>
      <c r="AO1076" s="22" t="s">
        <v>2282</v>
      </c>
      <c r="AQ1076" s="22" t="str">
        <f t="shared" si="170"/>
        <v>Microphytoplankton</v>
      </c>
      <c r="AR1076" s="22">
        <v>0</v>
      </c>
      <c r="AS1076" s="22">
        <v>0</v>
      </c>
      <c r="AT1076" s="22">
        <v>0</v>
      </c>
      <c r="AU1076" s="22">
        <v>0</v>
      </c>
      <c r="AV1076" s="22">
        <v>0</v>
      </c>
      <c r="AW1076" s="22">
        <v>0</v>
      </c>
      <c r="AX1076" s="22">
        <v>0</v>
      </c>
      <c r="AY1076" s="22">
        <v>1</v>
      </c>
    </row>
    <row r="1077" spans="1:51">
      <c r="A1077" s="21" t="s">
        <v>3141</v>
      </c>
      <c r="B1077" s="22" t="s">
        <v>663</v>
      </c>
      <c r="C1077" s="22" t="s">
        <v>2223</v>
      </c>
      <c r="D1077" s="22" t="s">
        <v>2224</v>
      </c>
      <c r="E1077" s="23" t="s">
        <v>63</v>
      </c>
      <c r="F1077" s="23" t="s">
        <v>2225</v>
      </c>
      <c r="G1077" s="23" t="s">
        <v>2226</v>
      </c>
      <c r="H1077" s="22" t="s">
        <v>3125</v>
      </c>
      <c r="I1077" s="22" t="s">
        <v>3126</v>
      </c>
      <c r="J1077" s="21" t="s">
        <v>3142</v>
      </c>
      <c r="K1077" s="21"/>
      <c r="L1077" s="21"/>
      <c r="N1077" s="22" t="s">
        <v>3143</v>
      </c>
      <c r="O1077" s="22" t="s">
        <v>2229</v>
      </c>
      <c r="P1077" s="21">
        <v>83010</v>
      </c>
      <c r="Q1077" s="21">
        <v>7</v>
      </c>
      <c r="R1077" s="21">
        <v>7</v>
      </c>
      <c r="S1077" s="21">
        <v>7</v>
      </c>
      <c r="T1077" s="21" t="s">
        <v>281</v>
      </c>
      <c r="U1077" s="21">
        <v>1</v>
      </c>
      <c r="V1077" s="21">
        <v>1</v>
      </c>
      <c r="W1077" s="24">
        <f t="shared" si="179"/>
        <v>490.83181458055361</v>
      </c>
      <c r="X1077" s="24">
        <f t="shared" si="180"/>
        <v>179.50333333333333</v>
      </c>
      <c r="Y1077" s="22">
        <v>1</v>
      </c>
      <c r="Z1077" s="24">
        <f t="shared" si="168"/>
        <v>490.83181458055361</v>
      </c>
      <c r="AA1077" s="24">
        <f t="shared" si="169"/>
        <v>179.50333333333333</v>
      </c>
      <c r="AB1077" s="21"/>
      <c r="AC1077" s="21"/>
      <c r="AD1077" s="21"/>
      <c r="AE1077" s="21"/>
      <c r="AF1077" s="21"/>
      <c r="AG1077" s="21"/>
      <c r="AH1077" s="24"/>
      <c r="AI1077" s="24"/>
      <c r="AJ1077" s="21">
        <v>179.6</v>
      </c>
      <c r="AK1077" s="21">
        <v>50</v>
      </c>
      <c r="AL1077" s="22" t="s">
        <v>161</v>
      </c>
      <c r="AM1077" s="22">
        <v>0.16</v>
      </c>
      <c r="AQ1077" s="22" t="str">
        <f t="shared" si="170"/>
        <v>Microphytoplankton</v>
      </c>
      <c r="AR1077" s="22">
        <v>0</v>
      </c>
      <c r="AS1077" s="22">
        <v>0</v>
      </c>
      <c r="AT1077" s="22">
        <v>0</v>
      </c>
      <c r="AU1077" s="22">
        <v>0</v>
      </c>
      <c r="AV1077" s="22">
        <v>0</v>
      </c>
      <c r="AW1077" s="22">
        <v>0</v>
      </c>
      <c r="AX1077" s="22">
        <v>0</v>
      </c>
      <c r="AY1077" s="22">
        <v>1</v>
      </c>
    </row>
    <row r="1078" spans="1:51">
      <c r="A1078" s="21" t="s">
        <v>3144</v>
      </c>
      <c r="B1078" s="22" t="s">
        <v>663</v>
      </c>
      <c r="C1078" s="22" t="s">
        <v>2223</v>
      </c>
      <c r="D1078" s="22" t="s">
        <v>2224</v>
      </c>
      <c r="E1078" s="23" t="s">
        <v>63</v>
      </c>
      <c r="F1078" s="23" t="s">
        <v>2225</v>
      </c>
      <c r="G1078" s="23" t="s">
        <v>2226</v>
      </c>
      <c r="H1078" s="22" t="s">
        <v>2239</v>
      </c>
      <c r="I1078" s="22" t="s">
        <v>3145</v>
      </c>
      <c r="J1078" s="22" t="s">
        <v>1515</v>
      </c>
      <c r="N1078" s="22" t="s">
        <v>3146</v>
      </c>
      <c r="O1078" s="22" t="s">
        <v>2229</v>
      </c>
      <c r="P1078" s="21">
        <v>86510</v>
      </c>
      <c r="Q1078" s="21">
        <v>15</v>
      </c>
      <c r="R1078" s="21">
        <v>15</v>
      </c>
      <c r="S1078" s="21">
        <v>15</v>
      </c>
      <c r="T1078" s="21" t="s">
        <v>281</v>
      </c>
      <c r="U1078" s="21">
        <v>1</v>
      </c>
      <c r="V1078" s="21">
        <v>1</v>
      </c>
      <c r="W1078" s="24">
        <f t="shared" si="179"/>
        <v>2211.3412553863004</v>
      </c>
      <c r="X1078" s="24">
        <f t="shared" si="180"/>
        <v>1766.25</v>
      </c>
      <c r="Y1078" s="22">
        <v>1</v>
      </c>
      <c r="Z1078" s="24">
        <f t="shared" si="168"/>
        <v>2211.3412553863004</v>
      </c>
      <c r="AA1078" s="24">
        <f t="shared" si="169"/>
        <v>1766.25</v>
      </c>
      <c r="AB1078" s="21"/>
      <c r="AC1078" s="21"/>
      <c r="AD1078" s="21"/>
      <c r="AE1078" s="21"/>
      <c r="AF1078" s="21"/>
      <c r="AG1078" s="21"/>
      <c r="AH1078" s="24"/>
      <c r="AI1078" s="24"/>
      <c r="AJ1078" s="21">
        <v>1767</v>
      </c>
      <c r="AK1078" s="21">
        <v>15</v>
      </c>
      <c r="AL1078" s="22" t="s">
        <v>161</v>
      </c>
      <c r="AM1078" s="22">
        <v>0.16</v>
      </c>
      <c r="AQ1078" s="22" t="str">
        <f t="shared" si="170"/>
        <v>Nanophytoplankton</v>
      </c>
      <c r="AR1078" s="22">
        <v>0</v>
      </c>
      <c r="AS1078" s="22">
        <v>0</v>
      </c>
      <c r="AT1078" s="22">
        <v>0</v>
      </c>
      <c r="AU1078" s="22">
        <v>1</v>
      </c>
      <c r="AV1078" s="22">
        <v>0</v>
      </c>
      <c r="AW1078" s="22">
        <v>0</v>
      </c>
      <c r="AX1078" s="22">
        <v>0</v>
      </c>
      <c r="AY1078" s="22">
        <v>1</v>
      </c>
    </row>
    <row r="1079" spans="1:51">
      <c r="A1079" s="21" t="s">
        <v>3147</v>
      </c>
      <c r="B1079" s="22" t="s">
        <v>663</v>
      </c>
      <c r="C1079" s="22" t="s">
        <v>2223</v>
      </c>
      <c r="D1079" s="22" t="s">
        <v>2224</v>
      </c>
      <c r="E1079" s="23" t="s">
        <v>63</v>
      </c>
      <c r="F1079" s="23" t="s">
        <v>2225</v>
      </c>
      <c r="G1079" s="23" t="s">
        <v>2226</v>
      </c>
      <c r="H1079" s="22" t="s">
        <v>2239</v>
      </c>
      <c r="I1079" s="22" t="s">
        <v>3145</v>
      </c>
      <c r="J1079" s="22" t="s">
        <v>209</v>
      </c>
      <c r="N1079" s="22" t="s">
        <v>3148</v>
      </c>
      <c r="O1079" s="22" t="s">
        <v>2229</v>
      </c>
      <c r="P1079" s="21">
        <v>86500</v>
      </c>
      <c r="Q1079" s="21">
        <v>15</v>
      </c>
      <c r="R1079" s="21">
        <v>15</v>
      </c>
      <c r="S1079" s="21">
        <v>15</v>
      </c>
      <c r="T1079" s="21" t="s">
        <v>281</v>
      </c>
      <c r="U1079" s="21">
        <v>1</v>
      </c>
      <c r="V1079" s="21">
        <v>1</v>
      </c>
      <c r="W1079" s="24">
        <f t="shared" si="179"/>
        <v>2211.3412553863004</v>
      </c>
      <c r="X1079" s="24">
        <f t="shared" si="180"/>
        <v>1766.25</v>
      </c>
      <c r="Y1079" s="22">
        <v>1</v>
      </c>
      <c r="Z1079" s="24">
        <f t="shared" si="168"/>
        <v>2211.3412553863004</v>
      </c>
      <c r="AA1079" s="24">
        <f t="shared" si="169"/>
        <v>1766.25</v>
      </c>
      <c r="AB1079" s="21"/>
      <c r="AC1079" s="21"/>
      <c r="AD1079" s="21"/>
      <c r="AE1079" s="21"/>
      <c r="AF1079" s="21"/>
      <c r="AG1079" s="21"/>
      <c r="AH1079" s="24"/>
      <c r="AI1079" s="24"/>
      <c r="AJ1079" s="21">
        <v>1767.2</v>
      </c>
      <c r="AK1079" s="21">
        <v>15</v>
      </c>
      <c r="AL1079" s="22" t="s">
        <v>161</v>
      </c>
      <c r="AM1079" s="22">
        <v>0.16</v>
      </c>
      <c r="AQ1079" s="22" t="str">
        <f t="shared" si="170"/>
        <v>Nanophytoplankton</v>
      </c>
      <c r="AR1079" s="22">
        <v>0</v>
      </c>
      <c r="AS1079" s="22">
        <v>0</v>
      </c>
      <c r="AT1079" s="22">
        <v>0</v>
      </c>
      <c r="AU1079" s="22">
        <v>1</v>
      </c>
      <c r="AV1079" s="22">
        <v>0</v>
      </c>
      <c r="AW1079" s="22">
        <v>0</v>
      </c>
      <c r="AX1079" s="22">
        <v>0</v>
      </c>
      <c r="AY1079" s="22">
        <v>1</v>
      </c>
    </row>
    <row r="1080" spans="1:51">
      <c r="A1080" s="22" t="s">
        <v>3149</v>
      </c>
      <c r="B1080" s="22" t="s">
        <v>663</v>
      </c>
      <c r="C1080" s="22" t="s">
        <v>2223</v>
      </c>
      <c r="D1080" s="22" t="s">
        <v>2224</v>
      </c>
      <c r="E1080" s="23" t="s">
        <v>63</v>
      </c>
      <c r="F1080" s="23" t="s">
        <v>2225</v>
      </c>
      <c r="G1080" s="23" t="s">
        <v>2226</v>
      </c>
      <c r="H1080" s="22" t="s">
        <v>2239</v>
      </c>
      <c r="I1080" s="22" t="s">
        <v>3145</v>
      </c>
      <c r="J1080" s="22" t="s">
        <v>211</v>
      </c>
      <c r="M1080" s="22" t="s">
        <v>1</v>
      </c>
      <c r="N1080" s="22" t="s">
        <v>413</v>
      </c>
      <c r="O1080" s="22" t="s">
        <v>2229</v>
      </c>
      <c r="P1080" s="21">
        <v>86501</v>
      </c>
      <c r="Q1080" s="22">
        <v>18</v>
      </c>
      <c r="R1080" s="22">
        <v>18</v>
      </c>
      <c r="S1080" s="22">
        <v>18</v>
      </c>
      <c r="T1080" s="21" t="s">
        <v>281</v>
      </c>
      <c r="U1080" s="21">
        <v>1</v>
      </c>
      <c r="V1080" s="21">
        <v>1</v>
      </c>
      <c r="W1080" s="24">
        <f t="shared" si="179"/>
        <v>3177.8015103260286</v>
      </c>
      <c r="X1080" s="24">
        <f t="shared" si="180"/>
        <v>3052.08</v>
      </c>
      <c r="Y1080" s="22">
        <v>1</v>
      </c>
      <c r="Z1080" s="24">
        <f t="shared" si="168"/>
        <v>3177.8015103260286</v>
      </c>
      <c r="AA1080" s="24">
        <f t="shared" si="169"/>
        <v>3052.08</v>
      </c>
      <c r="AJ1080" s="21">
        <v>3052.08</v>
      </c>
      <c r="AK1080" s="21">
        <v>18</v>
      </c>
      <c r="AL1080" s="22" t="s">
        <v>748</v>
      </c>
      <c r="AM1080" s="22">
        <v>0.16</v>
      </c>
      <c r="AQ1080" s="22" t="str">
        <f t="shared" si="170"/>
        <v>Nanophytoplankton</v>
      </c>
      <c r="AR1080" s="22">
        <v>0</v>
      </c>
      <c r="AS1080" s="22">
        <v>0</v>
      </c>
      <c r="AT1080" s="22">
        <v>0</v>
      </c>
      <c r="AU1080" s="22">
        <v>1</v>
      </c>
      <c r="AV1080" s="22">
        <v>0</v>
      </c>
      <c r="AW1080" s="22">
        <v>0</v>
      </c>
      <c r="AX1080" s="22">
        <v>0</v>
      </c>
      <c r="AY1080" s="22">
        <v>1</v>
      </c>
    </row>
    <row r="1081" spans="1:51">
      <c r="A1081" s="22" t="s">
        <v>3150</v>
      </c>
      <c r="B1081" s="22" t="s">
        <v>663</v>
      </c>
      <c r="C1081" s="22" t="s">
        <v>2223</v>
      </c>
      <c r="D1081" s="22" t="s">
        <v>2224</v>
      </c>
      <c r="E1081" s="23" t="s">
        <v>63</v>
      </c>
      <c r="F1081" s="23" t="s">
        <v>2225</v>
      </c>
      <c r="G1081" s="23" t="s">
        <v>2226</v>
      </c>
      <c r="H1081" s="22" t="s">
        <v>2239</v>
      </c>
      <c r="I1081" s="22" t="s">
        <v>3145</v>
      </c>
      <c r="J1081" s="22" t="s">
        <v>3151</v>
      </c>
      <c r="N1081" s="22" t="s">
        <v>3152</v>
      </c>
      <c r="O1081" s="22" t="s">
        <v>2229</v>
      </c>
      <c r="P1081" s="21">
        <v>86502</v>
      </c>
      <c r="Q1081" s="22">
        <v>25</v>
      </c>
      <c r="R1081" s="22">
        <v>5.5</v>
      </c>
      <c r="S1081" s="22">
        <v>5.5</v>
      </c>
      <c r="T1081" s="21" t="s">
        <v>281</v>
      </c>
      <c r="U1081" s="21">
        <v>1</v>
      </c>
      <c r="V1081" s="21">
        <v>1</v>
      </c>
      <c r="W1081" s="24">
        <f t="shared" si="179"/>
        <v>1345.2549368777466</v>
      </c>
      <c r="X1081" s="24">
        <f t="shared" si="180"/>
        <v>395.77083333333331</v>
      </c>
      <c r="Y1081" s="22">
        <v>1</v>
      </c>
      <c r="Z1081" s="24">
        <f t="shared" si="168"/>
        <v>1345.2549368777466</v>
      </c>
      <c r="AA1081" s="24">
        <f t="shared" si="169"/>
        <v>395.77083333333331</v>
      </c>
      <c r="AJ1081" s="21">
        <v>395.77083333333331</v>
      </c>
      <c r="AK1081" s="21">
        <v>25</v>
      </c>
      <c r="AL1081" s="22" t="s">
        <v>161</v>
      </c>
      <c r="AM1081" s="22">
        <v>0.16</v>
      </c>
      <c r="AQ1081" s="22" t="str">
        <f t="shared" si="170"/>
        <v>Microphytoplankton</v>
      </c>
      <c r="AR1081" s="22">
        <v>0</v>
      </c>
      <c r="AS1081" s="22">
        <v>0</v>
      </c>
      <c r="AT1081" s="22">
        <v>0</v>
      </c>
      <c r="AU1081" s="22">
        <v>1</v>
      </c>
      <c r="AV1081" s="22">
        <v>0</v>
      </c>
      <c r="AW1081" s="22">
        <v>0</v>
      </c>
      <c r="AX1081" s="22">
        <v>0</v>
      </c>
      <c r="AY1081" s="22">
        <v>1</v>
      </c>
    </row>
    <row r="1082" spans="1:51">
      <c r="A1082" s="22" t="s">
        <v>3153</v>
      </c>
      <c r="B1082" s="22" t="s">
        <v>663</v>
      </c>
      <c r="C1082" s="22" t="s">
        <v>2223</v>
      </c>
      <c r="D1082" s="22" t="s">
        <v>2224</v>
      </c>
      <c r="E1082" s="23" t="s">
        <v>63</v>
      </c>
      <c r="F1082" s="23" t="s">
        <v>2370</v>
      </c>
      <c r="G1082" s="23" t="s">
        <v>2371</v>
      </c>
      <c r="H1082" s="23" t="s">
        <v>2372</v>
      </c>
      <c r="M1082" s="22" t="s">
        <v>104</v>
      </c>
      <c r="O1082" s="22" t="s">
        <v>2229</v>
      </c>
      <c r="P1082" s="21">
        <v>83529</v>
      </c>
      <c r="Q1082" s="22">
        <v>20</v>
      </c>
      <c r="R1082" s="22">
        <v>10</v>
      </c>
      <c r="S1082" s="22">
        <v>10</v>
      </c>
      <c r="T1082" s="21" t="s">
        <v>160</v>
      </c>
      <c r="U1082" s="22">
        <v>1</v>
      </c>
      <c r="V1082" s="22">
        <v>1</v>
      </c>
      <c r="W1082" s="24">
        <f t="shared" ref="W1082:W1091" si="181">3.14*R1082*Q1082+2*3.14*(S1082/2)^2/V1082</f>
        <v>785</v>
      </c>
      <c r="X1082" s="25">
        <f t="shared" ref="X1082:X1091" si="182">(3.14/4*R1082^2*Q1082)*U1082</f>
        <v>1570</v>
      </c>
      <c r="Y1082" s="22">
        <v>1</v>
      </c>
      <c r="Z1082" s="24">
        <f t="shared" si="168"/>
        <v>785</v>
      </c>
      <c r="AA1082" s="24">
        <f t="shared" si="169"/>
        <v>1570</v>
      </c>
      <c r="AJ1082" s="21">
        <v>1585.6999999999998</v>
      </c>
      <c r="AK1082" s="21">
        <v>20</v>
      </c>
      <c r="AL1082" s="22" t="s">
        <v>748</v>
      </c>
      <c r="AM1082" s="22">
        <v>0.16</v>
      </c>
      <c r="AO1082" s="22" t="s">
        <v>383</v>
      </c>
      <c r="AQ1082" s="22" t="str">
        <f t="shared" si="170"/>
        <v>Microphytoplankton</v>
      </c>
      <c r="AR1082" s="22">
        <v>0</v>
      </c>
      <c r="AS1082" s="22">
        <v>0</v>
      </c>
      <c r="AT1082" s="22">
        <v>0</v>
      </c>
      <c r="AU1082" s="22">
        <v>1</v>
      </c>
      <c r="AV1082" s="22">
        <v>1</v>
      </c>
      <c r="AW1082" s="22">
        <v>0</v>
      </c>
      <c r="AX1082" s="22">
        <v>0</v>
      </c>
      <c r="AY1082" s="22">
        <v>1</v>
      </c>
    </row>
    <row r="1083" spans="1:51">
      <c r="A1083" s="21" t="s">
        <v>3154</v>
      </c>
      <c r="B1083" s="22" t="s">
        <v>663</v>
      </c>
      <c r="C1083" s="22" t="s">
        <v>2223</v>
      </c>
      <c r="D1083" s="22" t="s">
        <v>2224</v>
      </c>
      <c r="E1083" s="23" t="s">
        <v>63</v>
      </c>
      <c r="F1083" s="23" t="s">
        <v>2370</v>
      </c>
      <c r="G1083" s="23" t="s">
        <v>2371</v>
      </c>
      <c r="H1083" s="23" t="s">
        <v>2372</v>
      </c>
      <c r="I1083" s="22" t="s">
        <v>3155</v>
      </c>
      <c r="J1083" s="22" t="s">
        <v>3156</v>
      </c>
      <c r="M1083" s="22" t="s">
        <v>1</v>
      </c>
      <c r="N1083" s="22" t="s">
        <v>413</v>
      </c>
      <c r="O1083" s="22" t="s">
        <v>2229</v>
      </c>
      <c r="P1083" s="21">
        <v>83522</v>
      </c>
      <c r="Q1083" s="21">
        <v>5</v>
      </c>
      <c r="R1083" s="21">
        <v>5</v>
      </c>
      <c r="S1083" s="21">
        <v>5</v>
      </c>
      <c r="T1083" s="21" t="s">
        <v>160</v>
      </c>
      <c r="U1083" s="22">
        <v>1</v>
      </c>
      <c r="V1083" s="22">
        <v>1</v>
      </c>
      <c r="W1083" s="24">
        <f t="shared" si="181"/>
        <v>117.75</v>
      </c>
      <c r="X1083" s="25">
        <f t="shared" si="182"/>
        <v>98.125</v>
      </c>
      <c r="Y1083" s="21">
        <v>20</v>
      </c>
      <c r="Z1083" s="24">
        <f t="shared" si="168"/>
        <v>2355</v>
      </c>
      <c r="AA1083" s="24">
        <f t="shared" si="169"/>
        <v>1962.5</v>
      </c>
      <c r="AB1083" s="21">
        <v>100</v>
      </c>
      <c r="AC1083" s="21">
        <v>5</v>
      </c>
      <c r="AD1083" s="21">
        <v>5</v>
      </c>
      <c r="AE1083" s="21" t="s">
        <v>160</v>
      </c>
      <c r="AF1083" s="21">
        <v>1</v>
      </c>
      <c r="AG1083" s="21">
        <v>1</v>
      </c>
      <c r="AH1083" s="24">
        <f t="shared" ref="AH1083:AH1091" si="183">3.14*AC1083*AB1083+2*3.14*(AD1083/2)^2/AG1083</f>
        <v>1609.25</v>
      </c>
      <c r="AI1083" s="25">
        <f t="shared" ref="AI1083:AI1091" si="184">(3.14/4*AC1083^2*AB1083)*AF1083</f>
        <v>1962.5</v>
      </c>
      <c r="AJ1083" s="21">
        <v>1963.5</v>
      </c>
      <c r="AK1083" s="21">
        <v>100</v>
      </c>
      <c r="AL1083" s="22" t="s">
        <v>161</v>
      </c>
      <c r="AM1083" s="22">
        <v>0.16</v>
      </c>
      <c r="AO1083" s="22" t="s">
        <v>383</v>
      </c>
      <c r="AQ1083" s="22" t="str">
        <f t="shared" si="170"/>
        <v>Microphytoplankton</v>
      </c>
      <c r="AR1083" s="22">
        <v>0</v>
      </c>
      <c r="AS1083" s="22">
        <v>0</v>
      </c>
      <c r="AT1083" s="22">
        <v>0</v>
      </c>
      <c r="AU1083" s="22">
        <v>1</v>
      </c>
      <c r="AV1083" s="22">
        <v>1</v>
      </c>
      <c r="AW1083" s="22">
        <v>0</v>
      </c>
      <c r="AX1083" s="22">
        <v>0</v>
      </c>
      <c r="AY1083" s="22">
        <v>1</v>
      </c>
    </row>
    <row r="1084" spans="1:51">
      <c r="A1084" s="21" t="s">
        <v>3157</v>
      </c>
      <c r="B1084" s="22" t="s">
        <v>663</v>
      </c>
      <c r="C1084" s="22" t="s">
        <v>2223</v>
      </c>
      <c r="D1084" s="22" t="s">
        <v>2224</v>
      </c>
      <c r="E1084" s="23" t="s">
        <v>63</v>
      </c>
      <c r="F1084" s="23" t="s">
        <v>2370</v>
      </c>
      <c r="G1084" s="23" t="s">
        <v>2371</v>
      </c>
      <c r="H1084" s="23" t="s">
        <v>2372</v>
      </c>
      <c r="I1084" s="22" t="s">
        <v>3155</v>
      </c>
      <c r="J1084" s="22" t="s">
        <v>3158</v>
      </c>
      <c r="M1084" s="22" t="s">
        <v>1</v>
      </c>
      <c r="N1084" s="22" t="s">
        <v>413</v>
      </c>
      <c r="O1084" s="22" t="s">
        <v>2229</v>
      </c>
      <c r="P1084" s="21">
        <v>81100</v>
      </c>
      <c r="Q1084" s="21">
        <v>3</v>
      </c>
      <c r="R1084" s="21">
        <v>3</v>
      </c>
      <c r="S1084" s="21">
        <v>3</v>
      </c>
      <c r="T1084" s="21" t="s">
        <v>160</v>
      </c>
      <c r="U1084" s="22">
        <v>1</v>
      </c>
      <c r="V1084" s="22">
        <v>1</v>
      </c>
      <c r="W1084" s="24">
        <f t="shared" si="181"/>
        <v>42.39</v>
      </c>
      <c r="X1084" s="25">
        <f t="shared" si="182"/>
        <v>21.195</v>
      </c>
      <c r="Y1084" s="21">
        <v>33</v>
      </c>
      <c r="Z1084" s="24">
        <f t="shared" si="168"/>
        <v>1398.8700000000001</v>
      </c>
      <c r="AA1084" s="24">
        <f t="shared" si="169"/>
        <v>699.43500000000006</v>
      </c>
      <c r="AB1084" s="21">
        <v>100</v>
      </c>
      <c r="AC1084" s="21">
        <v>3</v>
      </c>
      <c r="AD1084" s="21">
        <v>3</v>
      </c>
      <c r="AE1084" s="21" t="s">
        <v>160</v>
      </c>
      <c r="AF1084" s="21">
        <v>1</v>
      </c>
      <c r="AG1084" s="21">
        <v>1</v>
      </c>
      <c r="AH1084" s="24">
        <f t="shared" si="183"/>
        <v>956.13</v>
      </c>
      <c r="AI1084" s="25">
        <f t="shared" si="184"/>
        <v>706.5</v>
      </c>
      <c r="AJ1084" s="21">
        <v>706.9</v>
      </c>
      <c r="AK1084" s="21">
        <v>100</v>
      </c>
      <c r="AL1084" s="22" t="s">
        <v>161</v>
      </c>
      <c r="AM1084" s="22">
        <v>0.16</v>
      </c>
      <c r="AO1084" s="22" t="s">
        <v>383</v>
      </c>
      <c r="AQ1084" s="22" t="str">
        <f t="shared" si="170"/>
        <v>Microphytoplankton</v>
      </c>
      <c r="AR1084" s="22">
        <v>0</v>
      </c>
      <c r="AS1084" s="22">
        <v>0</v>
      </c>
      <c r="AT1084" s="22">
        <v>0</v>
      </c>
      <c r="AU1084" s="22">
        <v>1</v>
      </c>
      <c r="AV1084" s="22">
        <v>1</v>
      </c>
      <c r="AW1084" s="22">
        <v>0</v>
      </c>
      <c r="AX1084" s="22">
        <v>0</v>
      </c>
      <c r="AY1084" s="22">
        <v>1</v>
      </c>
    </row>
    <row r="1085" spans="1:51">
      <c r="A1085" s="21" t="s">
        <v>3159</v>
      </c>
      <c r="B1085" s="22" t="s">
        <v>663</v>
      </c>
      <c r="C1085" s="22" t="s">
        <v>2223</v>
      </c>
      <c r="D1085" s="22" t="s">
        <v>2224</v>
      </c>
      <c r="E1085" s="23" t="s">
        <v>63</v>
      </c>
      <c r="F1085" s="23" t="s">
        <v>2370</v>
      </c>
      <c r="G1085" s="23" t="s">
        <v>2371</v>
      </c>
      <c r="H1085" s="23" t="s">
        <v>2372</v>
      </c>
      <c r="I1085" s="22" t="s">
        <v>3155</v>
      </c>
      <c r="J1085" s="22" t="s">
        <v>3160</v>
      </c>
      <c r="M1085" s="22" t="s">
        <v>1</v>
      </c>
      <c r="N1085" s="22" t="s">
        <v>413</v>
      </c>
      <c r="O1085" s="22" t="s">
        <v>2229</v>
      </c>
      <c r="P1085" s="21">
        <v>83525</v>
      </c>
      <c r="Q1085" s="22">
        <v>12</v>
      </c>
      <c r="R1085" s="22">
        <v>6</v>
      </c>
      <c r="S1085" s="22">
        <v>6</v>
      </c>
      <c r="T1085" s="21" t="s">
        <v>160</v>
      </c>
      <c r="U1085" s="22">
        <v>1</v>
      </c>
      <c r="V1085" s="22">
        <v>1</v>
      </c>
      <c r="W1085" s="24">
        <f t="shared" si="181"/>
        <v>282.59999999999997</v>
      </c>
      <c r="X1085" s="25">
        <f t="shared" si="182"/>
        <v>339.12</v>
      </c>
      <c r="Y1085" s="21">
        <v>8</v>
      </c>
      <c r="Z1085" s="24">
        <f t="shared" si="168"/>
        <v>2260.7999999999997</v>
      </c>
      <c r="AA1085" s="24">
        <f t="shared" si="169"/>
        <v>2712.96</v>
      </c>
      <c r="AB1085" s="22">
        <v>100</v>
      </c>
      <c r="AC1085" s="22">
        <v>6</v>
      </c>
      <c r="AD1085" s="22">
        <v>6</v>
      </c>
      <c r="AE1085" s="21" t="s">
        <v>160</v>
      </c>
      <c r="AF1085" s="21">
        <v>1</v>
      </c>
      <c r="AG1085" s="21">
        <v>1</v>
      </c>
      <c r="AH1085" s="24">
        <f t="shared" si="183"/>
        <v>1940.52</v>
      </c>
      <c r="AI1085" s="25">
        <f t="shared" si="184"/>
        <v>2826</v>
      </c>
      <c r="AJ1085" s="21">
        <v>2827</v>
      </c>
      <c r="AK1085" s="21">
        <v>100</v>
      </c>
      <c r="AL1085" s="22" t="s">
        <v>161</v>
      </c>
      <c r="AM1085" s="22">
        <v>0.16</v>
      </c>
      <c r="AO1085" s="22" t="s">
        <v>383</v>
      </c>
      <c r="AQ1085" s="22" t="str">
        <f t="shared" si="170"/>
        <v>Microphytoplankton</v>
      </c>
      <c r="AR1085" s="22">
        <v>0</v>
      </c>
      <c r="AS1085" s="22">
        <v>0</v>
      </c>
      <c r="AT1085" s="22">
        <v>0</v>
      </c>
      <c r="AU1085" s="22">
        <v>1</v>
      </c>
      <c r="AV1085" s="22">
        <v>1</v>
      </c>
      <c r="AW1085" s="22">
        <v>0</v>
      </c>
      <c r="AX1085" s="22">
        <v>0</v>
      </c>
      <c r="AY1085" s="22">
        <v>1</v>
      </c>
    </row>
    <row r="1086" spans="1:51">
      <c r="A1086" s="21" t="s">
        <v>3161</v>
      </c>
      <c r="B1086" s="22" t="s">
        <v>663</v>
      </c>
      <c r="C1086" s="22" t="s">
        <v>2223</v>
      </c>
      <c r="D1086" s="22" t="s">
        <v>2224</v>
      </c>
      <c r="E1086" s="23" t="s">
        <v>63</v>
      </c>
      <c r="F1086" s="23" t="s">
        <v>2370</v>
      </c>
      <c r="G1086" s="23" t="s">
        <v>2371</v>
      </c>
      <c r="H1086" s="23" t="s">
        <v>2372</v>
      </c>
      <c r="I1086" s="22" t="s">
        <v>3155</v>
      </c>
      <c r="J1086" s="38" t="s">
        <v>3162</v>
      </c>
      <c r="K1086" s="38"/>
      <c r="L1086" s="38"/>
      <c r="N1086" s="22" t="s">
        <v>157</v>
      </c>
      <c r="O1086" s="22" t="s">
        <v>2229</v>
      </c>
      <c r="P1086" s="21">
        <v>83524</v>
      </c>
      <c r="Q1086" s="21">
        <v>17</v>
      </c>
      <c r="R1086" s="21">
        <v>3.5</v>
      </c>
      <c r="S1086" s="21">
        <v>3.5</v>
      </c>
      <c r="T1086" s="21" t="s">
        <v>160</v>
      </c>
      <c r="U1086" s="22">
        <v>1</v>
      </c>
      <c r="V1086" s="22">
        <v>1</v>
      </c>
      <c r="W1086" s="24">
        <f t="shared" si="181"/>
        <v>206.0625</v>
      </c>
      <c r="X1086" s="25">
        <f t="shared" si="182"/>
        <v>163.47625000000002</v>
      </c>
      <c r="Y1086" s="21">
        <v>6</v>
      </c>
      <c r="Z1086" s="24">
        <f t="shared" si="168"/>
        <v>1236.375</v>
      </c>
      <c r="AA1086" s="24">
        <f t="shared" si="169"/>
        <v>980.85750000000007</v>
      </c>
      <c r="AB1086" s="21">
        <v>100</v>
      </c>
      <c r="AC1086" s="21">
        <v>3.5</v>
      </c>
      <c r="AD1086" s="21">
        <v>3.5</v>
      </c>
      <c r="AE1086" s="21" t="s">
        <v>160</v>
      </c>
      <c r="AF1086" s="21">
        <v>1</v>
      </c>
      <c r="AG1086" s="21">
        <v>1</v>
      </c>
      <c r="AH1086" s="24">
        <f t="shared" si="183"/>
        <v>1118.2325000000001</v>
      </c>
      <c r="AI1086" s="25">
        <f t="shared" si="184"/>
        <v>961.62500000000011</v>
      </c>
      <c r="AJ1086" s="21">
        <v>962.2</v>
      </c>
      <c r="AK1086" s="21">
        <v>100</v>
      </c>
      <c r="AL1086" s="22" t="s">
        <v>161</v>
      </c>
      <c r="AM1086" s="22">
        <v>0.16</v>
      </c>
      <c r="AN1086" s="38"/>
      <c r="AO1086" s="22" t="s">
        <v>383</v>
      </c>
      <c r="AQ1086" s="22" t="str">
        <f t="shared" si="170"/>
        <v>Microphytoplankton</v>
      </c>
      <c r="AR1086" s="22">
        <v>0</v>
      </c>
      <c r="AS1086" s="22">
        <v>0</v>
      </c>
      <c r="AT1086" s="22">
        <v>0</v>
      </c>
      <c r="AU1086" s="22">
        <v>1</v>
      </c>
      <c r="AV1086" s="22">
        <v>1</v>
      </c>
      <c r="AW1086" s="22">
        <v>0</v>
      </c>
      <c r="AX1086" s="22">
        <v>0</v>
      </c>
      <c r="AY1086" s="22">
        <v>1</v>
      </c>
    </row>
    <row r="1087" spans="1:51">
      <c r="A1087" s="22" t="s">
        <v>3163</v>
      </c>
      <c r="B1087" s="22" t="s">
        <v>663</v>
      </c>
      <c r="C1087" s="22" t="s">
        <v>2223</v>
      </c>
      <c r="D1087" s="22" t="s">
        <v>2224</v>
      </c>
      <c r="E1087" s="23" t="s">
        <v>63</v>
      </c>
      <c r="F1087" s="23" t="s">
        <v>2370</v>
      </c>
      <c r="G1087" s="23" t="s">
        <v>2371</v>
      </c>
      <c r="H1087" s="23" t="s">
        <v>2372</v>
      </c>
      <c r="I1087" s="22" t="s">
        <v>3155</v>
      </c>
      <c r="J1087" s="22" t="s">
        <v>528</v>
      </c>
      <c r="N1087" s="22" t="s">
        <v>167</v>
      </c>
      <c r="O1087" s="22" t="s">
        <v>2229</v>
      </c>
      <c r="P1087" s="22">
        <v>83526</v>
      </c>
      <c r="Q1087" s="22">
        <v>14</v>
      </c>
      <c r="R1087" s="22">
        <v>2.1</v>
      </c>
      <c r="S1087" s="22">
        <v>2.1</v>
      </c>
      <c r="T1087" s="21" t="s">
        <v>160</v>
      </c>
      <c r="U1087" s="22">
        <v>1</v>
      </c>
      <c r="V1087" s="22">
        <v>1</v>
      </c>
      <c r="W1087" s="24">
        <f t="shared" si="181"/>
        <v>99.239699999999999</v>
      </c>
      <c r="X1087" s="25">
        <f t="shared" si="182"/>
        <v>48.465900000000005</v>
      </c>
      <c r="Y1087" s="21">
        <v>7</v>
      </c>
      <c r="Z1087" s="24">
        <f t="shared" si="168"/>
        <v>694.67790000000002</v>
      </c>
      <c r="AA1087" s="24">
        <f t="shared" si="169"/>
        <v>339.26130000000001</v>
      </c>
      <c r="AB1087" s="22">
        <v>100</v>
      </c>
      <c r="AC1087" s="22">
        <v>2.1</v>
      </c>
      <c r="AD1087" s="22">
        <v>2.1</v>
      </c>
      <c r="AE1087" s="21" t="s">
        <v>160</v>
      </c>
      <c r="AF1087" s="21">
        <v>1</v>
      </c>
      <c r="AG1087" s="21">
        <v>1</v>
      </c>
      <c r="AH1087" s="24">
        <f t="shared" si="183"/>
        <v>666.32370000000003</v>
      </c>
      <c r="AI1087" s="25">
        <f t="shared" si="184"/>
        <v>346.185</v>
      </c>
      <c r="AJ1087" s="21">
        <v>346.185</v>
      </c>
      <c r="AK1087" s="21">
        <v>100</v>
      </c>
      <c r="AL1087" s="22" t="s">
        <v>3164</v>
      </c>
      <c r="AM1087" s="22">
        <v>0.16</v>
      </c>
      <c r="AO1087" s="22" t="s">
        <v>383</v>
      </c>
      <c r="AQ1087" s="22" t="str">
        <f t="shared" si="170"/>
        <v>Microphytoplankton</v>
      </c>
      <c r="AR1087" s="22">
        <v>0</v>
      </c>
      <c r="AS1087" s="22">
        <v>0</v>
      </c>
      <c r="AT1087" s="22">
        <v>0</v>
      </c>
      <c r="AU1087" s="22">
        <v>1</v>
      </c>
      <c r="AV1087" s="22">
        <v>1</v>
      </c>
      <c r="AW1087" s="22">
        <v>0</v>
      </c>
      <c r="AX1087" s="22">
        <v>0</v>
      </c>
      <c r="AY1087" s="22">
        <v>1</v>
      </c>
    </row>
    <row r="1088" spans="1:51">
      <c r="A1088" s="21" t="s">
        <v>3165</v>
      </c>
      <c r="B1088" s="22" t="s">
        <v>663</v>
      </c>
      <c r="C1088" s="22" t="s">
        <v>2223</v>
      </c>
      <c r="D1088" s="22" t="s">
        <v>2224</v>
      </c>
      <c r="E1088" s="23" t="s">
        <v>63</v>
      </c>
      <c r="F1088" s="23" t="s">
        <v>2370</v>
      </c>
      <c r="G1088" s="23" t="s">
        <v>2371</v>
      </c>
      <c r="H1088" s="23" t="s">
        <v>2372</v>
      </c>
      <c r="I1088" s="22" t="s">
        <v>3155</v>
      </c>
      <c r="J1088" s="22" t="s">
        <v>211</v>
      </c>
      <c r="M1088" s="22" t="s">
        <v>1</v>
      </c>
      <c r="N1088" s="22" t="s">
        <v>413</v>
      </c>
      <c r="O1088" s="22" t="s">
        <v>2229</v>
      </c>
      <c r="P1088" s="21">
        <v>83520</v>
      </c>
      <c r="Q1088" s="22">
        <v>9</v>
      </c>
      <c r="R1088" s="22">
        <v>4.5</v>
      </c>
      <c r="S1088" s="22">
        <v>4.5</v>
      </c>
      <c r="T1088" s="21" t="s">
        <v>160</v>
      </c>
      <c r="U1088" s="22">
        <v>1</v>
      </c>
      <c r="V1088" s="22">
        <v>1</v>
      </c>
      <c r="W1088" s="24">
        <f t="shared" si="181"/>
        <v>158.96250000000001</v>
      </c>
      <c r="X1088" s="25">
        <f t="shared" si="182"/>
        <v>143.06625</v>
      </c>
      <c r="Y1088" s="21">
        <v>11</v>
      </c>
      <c r="Z1088" s="24">
        <f t="shared" si="168"/>
        <v>1748.5875000000001</v>
      </c>
      <c r="AA1088" s="24">
        <f t="shared" si="169"/>
        <v>1573.72875</v>
      </c>
      <c r="AB1088" s="22">
        <v>100</v>
      </c>
      <c r="AC1088" s="22">
        <v>4.5</v>
      </c>
      <c r="AD1088" s="22">
        <v>4.5</v>
      </c>
      <c r="AE1088" s="21" t="s">
        <v>160</v>
      </c>
      <c r="AF1088" s="21">
        <v>1</v>
      </c>
      <c r="AG1088" s="21">
        <v>1</v>
      </c>
      <c r="AH1088" s="24">
        <f t="shared" si="183"/>
        <v>1444.7925</v>
      </c>
      <c r="AI1088" s="25">
        <f t="shared" si="184"/>
        <v>1589.625</v>
      </c>
      <c r="AJ1088" s="21">
        <v>1593.2</v>
      </c>
      <c r="AK1088" s="21">
        <v>100</v>
      </c>
      <c r="AL1088" s="22" t="s">
        <v>161</v>
      </c>
      <c r="AM1088" s="22">
        <v>0.16</v>
      </c>
      <c r="AO1088" s="22" t="s">
        <v>383</v>
      </c>
      <c r="AQ1088" s="22" t="str">
        <f t="shared" si="170"/>
        <v>Microphytoplankton</v>
      </c>
      <c r="AR1088" s="22">
        <v>0</v>
      </c>
      <c r="AS1088" s="22">
        <v>0</v>
      </c>
      <c r="AT1088" s="22">
        <v>0</v>
      </c>
      <c r="AU1088" s="22">
        <v>1</v>
      </c>
      <c r="AV1088" s="22">
        <v>1</v>
      </c>
      <c r="AW1088" s="22">
        <v>0</v>
      </c>
      <c r="AX1088" s="22">
        <v>0</v>
      </c>
      <c r="AY1088" s="22">
        <v>1</v>
      </c>
    </row>
    <row r="1089" spans="1:57">
      <c r="A1089" s="21" t="s">
        <v>3166</v>
      </c>
      <c r="B1089" s="22" t="s">
        <v>663</v>
      </c>
      <c r="C1089" s="22" t="s">
        <v>2223</v>
      </c>
      <c r="D1089" s="22" t="s">
        <v>2224</v>
      </c>
      <c r="E1089" s="23" t="s">
        <v>63</v>
      </c>
      <c r="F1089" s="23" t="s">
        <v>2370</v>
      </c>
      <c r="G1089" s="23" t="s">
        <v>2371</v>
      </c>
      <c r="H1089" s="23" t="s">
        <v>2372</v>
      </c>
      <c r="I1089" s="22" t="s">
        <v>3155</v>
      </c>
      <c r="J1089" s="22" t="s">
        <v>3167</v>
      </c>
      <c r="N1089" s="22" t="s">
        <v>182</v>
      </c>
      <c r="O1089" s="22" t="s">
        <v>2229</v>
      </c>
      <c r="P1089" s="21">
        <v>83500</v>
      </c>
      <c r="Q1089" s="21">
        <v>4</v>
      </c>
      <c r="R1089" s="21">
        <v>7</v>
      </c>
      <c r="S1089" s="21">
        <v>7</v>
      </c>
      <c r="T1089" s="21" t="s">
        <v>160</v>
      </c>
      <c r="U1089" s="22">
        <v>1</v>
      </c>
      <c r="V1089" s="22">
        <v>1</v>
      </c>
      <c r="W1089" s="24">
        <f t="shared" si="181"/>
        <v>164.85000000000002</v>
      </c>
      <c r="X1089" s="25">
        <f t="shared" si="182"/>
        <v>153.86000000000001</v>
      </c>
      <c r="Y1089" s="21">
        <v>25</v>
      </c>
      <c r="Z1089" s="24">
        <f t="shared" si="168"/>
        <v>4121.2500000000009</v>
      </c>
      <c r="AA1089" s="24">
        <f t="shared" si="169"/>
        <v>3846.5000000000005</v>
      </c>
      <c r="AB1089" s="21">
        <v>100</v>
      </c>
      <c r="AC1089" s="21">
        <v>7</v>
      </c>
      <c r="AD1089" s="21">
        <v>7</v>
      </c>
      <c r="AE1089" s="21" t="s">
        <v>160</v>
      </c>
      <c r="AF1089" s="21">
        <v>1</v>
      </c>
      <c r="AG1089" s="21">
        <v>1</v>
      </c>
      <c r="AH1089" s="24">
        <f t="shared" si="183"/>
        <v>2274.9299999999998</v>
      </c>
      <c r="AI1089" s="25">
        <f t="shared" si="184"/>
        <v>3846.5000000000005</v>
      </c>
      <c r="AJ1089" s="21">
        <v>3848.1</v>
      </c>
      <c r="AK1089" s="21">
        <v>100</v>
      </c>
      <c r="AL1089" s="22" t="s">
        <v>161</v>
      </c>
      <c r="AM1089" s="22">
        <v>0.16</v>
      </c>
      <c r="AO1089" s="22" t="s">
        <v>383</v>
      </c>
      <c r="AQ1089" s="22" t="str">
        <f t="shared" si="170"/>
        <v>Microphytoplankton</v>
      </c>
      <c r="AR1089" s="22">
        <v>0</v>
      </c>
      <c r="AS1089" s="22">
        <v>0</v>
      </c>
      <c r="AT1089" s="22">
        <v>0</v>
      </c>
      <c r="AU1089" s="22">
        <v>1</v>
      </c>
      <c r="AV1089" s="22">
        <v>1</v>
      </c>
      <c r="AW1089" s="22">
        <v>0</v>
      </c>
      <c r="AX1089" s="22">
        <v>0</v>
      </c>
      <c r="AY1089" s="22">
        <v>1</v>
      </c>
    </row>
    <row r="1090" spans="1:57">
      <c r="A1090" s="21" t="s">
        <v>3168</v>
      </c>
      <c r="B1090" s="22" t="s">
        <v>663</v>
      </c>
      <c r="C1090" s="22" t="s">
        <v>2223</v>
      </c>
      <c r="D1090" s="22" t="s">
        <v>2224</v>
      </c>
      <c r="E1090" s="23" t="s">
        <v>63</v>
      </c>
      <c r="F1090" s="23" t="s">
        <v>2370</v>
      </c>
      <c r="G1090" s="23" t="s">
        <v>2371</v>
      </c>
      <c r="H1090" s="23" t="s">
        <v>2372</v>
      </c>
      <c r="I1090" s="22" t="s">
        <v>3155</v>
      </c>
      <c r="J1090" s="22" t="s">
        <v>504</v>
      </c>
      <c r="N1090" s="22" t="s">
        <v>413</v>
      </c>
      <c r="O1090" s="22" t="s">
        <v>2229</v>
      </c>
      <c r="P1090" s="21">
        <v>83501</v>
      </c>
      <c r="Q1090" s="21">
        <v>22</v>
      </c>
      <c r="R1090" s="21">
        <v>14</v>
      </c>
      <c r="S1090" s="21">
        <v>14</v>
      </c>
      <c r="T1090" s="21" t="s">
        <v>160</v>
      </c>
      <c r="U1090" s="22">
        <v>1</v>
      </c>
      <c r="V1090" s="22">
        <v>1</v>
      </c>
      <c r="W1090" s="24">
        <f t="shared" si="181"/>
        <v>1274.8400000000001</v>
      </c>
      <c r="X1090" s="25">
        <f t="shared" si="182"/>
        <v>3384.92</v>
      </c>
      <c r="Y1090" s="21">
        <v>1</v>
      </c>
      <c r="Z1090" s="24">
        <f t="shared" ref="Z1090:Z1153" si="185">Y1090*W1090</f>
        <v>1274.8400000000001</v>
      </c>
      <c r="AA1090" s="24">
        <f t="shared" ref="AA1090:AA1153" si="186">Y1090*X1090</f>
        <v>3384.92</v>
      </c>
      <c r="AB1090" s="21">
        <v>20</v>
      </c>
      <c r="AC1090" s="21">
        <v>14</v>
      </c>
      <c r="AD1090" s="21">
        <v>15</v>
      </c>
      <c r="AE1090" s="21" t="s">
        <v>160</v>
      </c>
      <c r="AF1090" s="21">
        <v>1</v>
      </c>
      <c r="AG1090" s="21">
        <v>1</v>
      </c>
      <c r="AH1090" s="24">
        <f t="shared" si="183"/>
        <v>1232.45</v>
      </c>
      <c r="AI1090" s="25">
        <f t="shared" si="184"/>
        <v>3077.2000000000003</v>
      </c>
      <c r="AJ1090" s="21">
        <v>3297</v>
      </c>
      <c r="AK1090" s="21">
        <v>22</v>
      </c>
      <c r="AL1090" s="22" t="s">
        <v>161</v>
      </c>
      <c r="AM1090" s="22">
        <v>0.16</v>
      </c>
      <c r="AO1090" s="22" t="s">
        <v>383</v>
      </c>
      <c r="AQ1090" s="22" t="str">
        <f t="shared" ref="AQ1090:AQ1153" si="187">IF(AND($AK1090&lt;20,AJ1090&lt;10000),"Nanophytoplankton","Microphytoplankton")</f>
        <v>Microphytoplankton</v>
      </c>
      <c r="AR1090" s="22">
        <v>0</v>
      </c>
      <c r="AS1090" s="22">
        <v>0</v>
      </c>
      <c r="AT1090" s="22">
        <v>0</v>
      </c>
      <c r="AU1090" s="22">
        <v>1</v>
      </c>
      <c r="AV1090" s="22">
        <v>1</v>
      </c>
      <c r="AW1090" s="22">
        <v>0</v>
      </c>
      <c r="AX1090" s="22">
        <v>0</v>
      </c>
      <c r="AY1090" s="22">
        <v>1</v>
      </c>
    </row>
    <row r="1091" spans="1:57">
      <c r="A1091" s="21" t="s">
        <v>3169</v>
      </c>
      <c r="B1091" s="22" t="s">
        <v>663</v>
      </c>
      <c r="C1091" s="22" t="s">
        <v>2223</v>
      </c>
      <c r="D1091" s="22" t="s">
        <v>2224</v>
      </c>
      <c r="E1091" s="23" t="s">
        <v>63</v>
      </c>
      <c r="F1091" s="23" t="s">
        <v>2370</v>
      </c>
      <c r="G1091" s="23" t="s">
        <v>2371</v>
      </c>
      <c r="H1091" s="23" t="s">
        <v>2372</v>
      </c>
      <c r="I1091" s="22" t="s">
        <v>3155</v>
      </c>
      <c r="J1091" s="22" t="s">
        <v>1246</v>
      </c>
      <c r="N1091" s="22" t="s">
        <v>413</v>
      </c>
      <c r="O1091" s="22" t="s">
        <v>2229</v>
      </c>
      <c r="P1091" s="21">
        <v>83510</v>
      </c>
      <c r="Q1091" s="21">
        <v>7</v>
      </c>
      <c r="R1091" s="21">
        <v>7</v>
      </c>
      <c r="S1091" s="21">
        <v>7</v>
      </c>
      <c r="T1091" s="21" t="s">
        <v>160</v>
      </c>
      <c r="U1091" s="22">
        <v>1</v>
      </c>
      <c r="V1091" s="22">
        <v>1</v>
      </c>
      <c r="W1091" s="24">
        <f t="shared" si="181"/>
        <v>230.79000000000002</v>
      </c>
      <c r="X1091" s="25">
        <f t="shared" si="182"/>
        <v>269.255</v>
      </c>
      <c r="Y1091" s="21">
        <v>14</v>
      </c>
      <c r="Z1091" s="24">
        <f t="shared" si="185"/>
        <v>3231.0600000000004</v>
      </c>
      <c r="AA1091" s="24">
        <f t="shared" si="186"/>
        <v>3769.5699999999997</v>
      </c>
      <c r="AB1091" s="21">
        <v>100</v>
      </c>
      <c r="AC1091" s="21">
        <v>7</v>
      </c>
      <c r="AD1091" s="21">
        <v>7</v>
      </c>
      <c r="AE1091" s="21" t="s">
        <v>160</v>
      </c>
      <c r="AF1091" s="21">
        <v>1</v>
      </c>
      <c r="AG1091" s="21">
        <v>1</v>
      </c>
      <c r="AH1091" s="24">
        <f t="shared" si="183"/>
        <v>2274.9299999999998</v>
      </c>
      <c r="AI1091" s="25">
        <f t="shared" si="184"/>
        <v>3846.5000000000005</v>
      </c>
      <c r="AJ1091" s="21">
        <v>3848.1</v>
      </c>
      <c r="AK1091" s="21">
        <v>100</v>
      </c>
      <c r="AL1091" s="22" t="s">
        <v>161</v>
      </c>
      <c r="AM1091" s="22">
        <v>0.16</v>
      </c>
      <c r="AO1091" s="22" t="s">
        <v>383</v>
      </c>
      <c r="AQ1091" s="22" t="str">
        <f t="shared" si="187"/>
        <v>Microphytoplankton</v>
      </c>
      <c r="AR1091" s="22">
        <v>0</v>
      </c>
      <c r="AS1091" s="22">
        <v>0</v>
      </c>
      <c r="AT1091" s="22">
        <v>0</v>
      </c>
      <c r="AU1091" s="22">
        <v>1</v>
      </c>
      <c r="AV1091" s="22">
        <v>1</v>
      </c>
      <c r="AW1091" s="22">
        <v>0</v>
      </c>
      <c r="AX1091" s="22">
        <v>0</v>
      </c>
      <c r="AY1091" s="22">
        <v>1</v>
      </c>
    </row>
    <row r="1092" spans="1:57">
      <c r="A1092" s="21" t="s">
        <v>3170</v>
      </c>
      <c r="B1092" s="22" t="s">
        <v>663</v>
      </c>
      <c r="C1092" s="22" t="s">
        <v>2223</v>
      </c>
      <c r="D1092" s="22" t="s">
        <v>2224</v>
      </c>
      <c r="E1092" s="23" t="s">
        <v>63</v>
      </c>
      <c r="F1092" s="23" t="s">
        <v>2225</v>
      </c>
      <c r="G1092" s="23" t="s">
        <v>2284</v>
      </c>
      <c r="H1092" s="23" t="s">
        <v>2534</v>
      </c>
      <c r="I1092" s="22" t="s">
        <v>3171</v>
      </c>
      <c r="J1092" s="22" t="s">
        <v>3172</v>
      </c>
      <c r="M1092" s="22" t="s">
        <v>104</v>
      </c>
      <c r="O1092" s="22" t="s">
        <v>2229</v>
      </c>
      <c r="P1092" s="22">
        <v>85715</v>
      </c>
      <c r="Q1092" s="21">
        <v>7</v>
      </c>
      <c r="R1092" s="21">
        <v>7</v>
      </c>
      <c r="S1092" s="21">
        <v>7</v>
      </c>
      <c r="T1092" s="21" t="s">
        <v>246</v>
      </c>
      <c r="U1092" s="21">
        <v>1</v>
      </c>
      <c r="V1092" s="21">
        <v>1</v>
      </c>
      <c r="W1092" s="25">
        <f>4*3.14*(R1092/2)*(Q1092/2)/V1092</f>
        <v>153.86000000000001</v>
      </c>
      <c r="X1092" s="25">
        <f>(3.14/6*(Q1092*S1092*R1092))*U1092</f>
        <v>179.50333333333333</v>
      </c>
      <c r="Y1092" s="21">
        <v>1</v>
      </c>
      <c r="Z1092" s="24">
        <f t="shared" si="185"/>
        <v>153.86000000000001</v>
      </c>
      <c r="AA1092" s="24">
        <f t="shared" si="186"/>
        <v>179.50333333333333</v>
      </c>
      <c r="AB1092" s="21"/>
      <c r="AC1092" s="21"/>
      <c r="AD1092" s="21"/>
      <c r="AE1092" s="21"/>
      <c r="AF1092" s="21"/>
      <c r="AG1092" s="21"/>
      <c r="AH1092" s="24"/>
      <c r="AI1092" s="24"/>
      <c r="AJ1092" s="21">
        <v>179.6</v>
      </c>
      <c r="AK1092" s="21">
        <v>7</v>
      </c>
      <c r="AL1092" s="22" t="s">
        <v>161</v>
      </c>
      <c r="AM1092" s="22">
        <v>0.16</v>
      </c>
      <c r="AN1092" s="22" t="s">
        <v>2289</v>
      </c>
      <c r="AO1092" s="22" t="s">
        <v>2289</v>
      </c>
      <c r="AP1092" s="22" t="s">
        <v>673</v>
      </c>
      <c r="AQ1092" s="22" t="str">
        <f t="shared" si="187"/>
        <v>Nanophytoplankton</v>
      </c>
      <c r="AR1092" s="22">
        <v>1</v>
      </c>
      <c r="AS1092" s="22">
        <v>1</v>
      </c>
      <c r="AT1092" s="22">
        <v>0</v>
      </c>
      <c r="AU1092" s="22">
        <v>1</v>
      </c>
      <c r="AV1092" s="22">
        <v>0</v>
      </c>
      <c r="AW1092" s="22">
        <v>0</v>
      </c>
      <c r="AX1092" s="22">
        <v>0</v>
      </c>
      <c r="AY1092" s="22">
        <v>1</v>
      </c>
    </row>
    <row r="1093" spans="1:57">
      <c r="A1093" s="21" t="s">
        <v>3173</v>
      </c>
      <c r="B1093" s="22" t="s">
        <v>663</v>
      </c>
      <c r="C1093" s="22" t="s">
        <v>2223</v>
      </c>
      <c r="D1093" s="22" t="s">
        <v>2224</v>
      </c>
      <c r="E1093" s="23" t="s">
        <v>63</v>
      </c>
      <c r="F1093" s="23" t="s">
        <v>2225</v>
      </c>
      <c r="G1093" s="23" t="s">
        <v>2284</v>
      </c>
      <c r="H1093" s="23" t="s">
        <v>2534</v>
      </c>
      <c r="I1093" s="22" t="s">
        <v>3174</v>
      </c>
      <c r="J1093" s="22" t="s">
        <v>3175</v>
      </c>
      <c r="K1093" s="22" t="s">
        <v>184</v>
      </c>
      <c r="L1093" s="22" t="s">
        <v>245</v>
      </c>
      <c r="N1093" s="22" t="s">
        <v>3176</v>
      </c>
      <c r="O1093" s="22" t="s">
        <v>2229</v>
      </c>
      <c r="P1093" s="22">
        <v>85716</v>
      </c>
      <c r="Q1093" s="21">
        <v>4</v>
      </c>
      <c r="R1093" s="21">
        <v>4</v>
      </c>
      <c r="S1093" s="21">
        <v>4</v>
      </c>
      <c r="T1093" s="21" t="s">
        <v>159</v>
      </c>
      <c r="U1093" s="21">
        <v>1</v>
      </c>
      <c r="V1093" s="21">
        <v>1</v>
      </c>
      <c r="W1093" s="24">
        <f t="shared" ref="W1093:W1098" si="188">(4*3.14*(((Q1093^1.6*R1093^1.6+Q1093^1.6*S1093^1.6+R1093^1.6+S1093^1.6)/3)^(1/1.6)))*(1/V1093)</f>
        <v>166.37591354482302</v>
      </c>
      <c r="X1093" s="24">
        <f t="shared" ref="X1093:X1098" si="189">3.14/6*Q1093*R1093*S1093*U1093</f>
        <v>33.493333333333332</v>
      </c>
      <c r="Y1093" s="21">
        <v>1</v>
      </c>
      <c r="Z1093" s="24">
        <f t="shared" si="185"/>
        <v>166.37591354482302</v>
      </c>
      <c r="AA1093" s="24">
        <f t="shared" si="186"/>
        <v>33.493333333333332</v>
      </c>
      <c r="AB1093" s="21"/>
      <c r="AC1093" s="21"/>
      <c r="AD1093" s="21"/>
      <c r="AE1093" s="21"/>
      <c r="AF1093" s="21"/>
      <c r="AG1093" s="21"/>
      <c r="AH1093" s="24"/>
      <c r="AI1093" s="24"/>
      <c r="AJ1093" s="21">
        <v>33.493333333333332</v>
      </c>
      <c r="AK1093" s="21">
        <v>4</v>
      </c>
      <c r="AL1093" s="22" t="s">
        <v>161</v>
      </c>
      <c r="AM1093" s="22">
        <v>0.16</v>
      </c>
      <c r="AO1093" s="22" t="s">
        <v>2289</v>
      </c>
      <c r="AP1093" s="22" t="s">
        <v>673</v>
      </c>
      <c r="AQ1093" s="22" t="str">
        <f t="shared" si="187"/>
        <v>Nanophytoplankton</v>
      </c>
      <c r="AR1093" s="22">
        <v>1</v>
      </c>
      <c r="AS1093" s="22">
        <v>1</v>
      </c>
      <c r="AT1093" s="22">
        <v>0</v>
      </c>
      <c r="AU1093" s="22">
        <v>1</v>
      </c>
      <c r="AV1093" s="22">
        <v>0</v>
      </c>
      <c r="AW1093" s="22">
        <v>0</v>
      </c>
      <c r="AX1093" s="22">
        <v>0</v>
      </c>
      <c r="AY1093" s="22">
        <v>1</v>
      </c>
    </row>
    <row r="1094" spans="1:57">
      <c r="A1094" s="21" t="s">
        <v>3177</v>
      </c>
      <c r="B1094" s="22" t="s">
        <v>663</v>
      </c>
      <c r="C1094" s="22" t="s">
        <v>2223</v>
      </c>
      <c r="D1094" s="22" t="s">
        <v>2224</v>
      </c>
      <c r="E1094" s="23" t="s">
        <v>63</v>
      </c>
      <c r="F1094" s="23" t="s">
        <v>2225</v>
      </c>
      <c r="G1094" s="23" t="s">
        <v>2226</v>
      </c>
      <c r="H1094" s="22" t="s">
        <v>2457</v>
      </c>
      <c r="I1094" s="22" t="s">
        <v>3178</v>
      </c>
      <c r="J1094" s="22" t="s">
        <v>3179</v>
      </c>
      <c r="N1094" s="22" t="s">
        <v>3180</v>
      </c>
      <c r="O1094" s="22" t="s">
        <v>2229</v>
      </c>
      <c r="P1094" s="21">
        <v>83210</v>
      </c>
      <c r="Q1094" s="21">
        <v>7</v>
      </c>
      <c r="R1094" s="21">
        <v>7</v>
      </c>
      <c r="S1094" s="21">
        <v>7</v>
      </c>
      <c r="T1094" s="21" t="s">
        <v>281</v>
      </c>
      <c r="U1094" s="21">
        <v>1</v>
      </c>
      <c r="V1094" s="21">
        <v>1</v>
      </c>
      <c r="W1094" s="24">
        <f t="shared" si="188"/>
        <v>490.83181458055361</v>
      </c>
      <c r="X1094" s="24">
        <f t="shared" si="189"/>
        <v>179.50333333333333</v>
      </c>
      <c r="Y1094" s="21">
        <v>32</v>
      </c>
      <c r="Z1094" s="24">
        <f t="shared" si="185"/>
        <v>15706.618066577716</v>
      </c>
      <c r="AA1094" s="24">
        <f t="shared" si="186"/>
        <v>5744.1066666666666</v>
      </c>
      <c r="AB1094" s="21">
        <v>60</v>
      </c>
      <c r="AC1094" s="21">
        <v>60</v>
      </c>
      <c r="AD1094" s="21">
        <v>60</v>
      </c>
      <c r="AE1094" s="21" t="s">
        <v>246</v>
      </c>
      <c r="AF1094" s="21">
        <v>0.2</v>
      </c>
      <c r="AG1094" s="21">
        <v>0.2</v>
      </c>
      <c r="AH1094" s="25">
        <f>4*3.14*(AC1094/2)*(AB1094/2)/AG1094</f>
        <v>56520</v>
      </c>
      <c r="AI1094" s="25">
        <f>(3.14/6*(AD1094*AB1094*AC1094))*AF1094</f>
        <v>22608</v>
      </c>
      <c r="AJ1094" s="21">
        <v>5747</v>
      </c>
      <c r="AK1094" s="21">
        <v>40</v>
      </c>
      <c r="AL1094" s="22" t="s">
        <v>161</v>
      </c>
      <c r="AM1094" s="22">
        <v>0.16</v>
      </c>
      <c r="AN1094" s="22" t="s">
        <v>2282</v>
      </c>
      <c r="AO1094" s="22" t="s">
        <v>2282</v>
      </c>
      <c r="AQ1094" s="22" t="str">
        <f t="shared" si="187"/>
        <v>Microphytoplankton</v>
      </c>
      <c r="AR1094" s="22">
        <v>0</v>
      </c>
      <c r="AS1094" s="22">
        <v>0</v>
      </c>
      <c r="AT1094" s="22">
        <v>0</v>
      </c>
      <c r="AU1094" s="22">
        <v>1</v>
      </c>
      <c r="AV1094" s="22">
        <v>0</v>
      </c>
      <c r="AW1094" s="22">
        <v>0</v>
      </c>
      <c r="AX1094" s="22">
        <v>0</v>
      </c>
      <c r="AY1094" s="22">
        <v>1</v>
      </c>
    </row>
    <row r="1095" spans="1:57">
      <c r="A1095" s="22" t="s">
        <v>3181</v>
      </c>
      <c r="B1095" s="22" t="s">
        <v>663</v>
      </c>
      <c r="C1095" s="22" t="s">
        <v>2223</v>
      </c>
      <c r="D1095" s="22" t="s">
        <v>2224</v>
      </c>
      <c r="E1095" s="23" t="s">
        <v>63</v>
      </c>
      <c r="F1095" s="23" t="s">
        <v>2225</v>
      </c>
      <c r="G1095" s="23" t="s">
        <v>2226</v>
      </c>
      <c r="H1095" s="22" t="s">
        <v>2457</v>
      </c>
      <c r="I1095" s="22" t="s">
        <v>3182</v>
      </c>
      <c r="J1095" s="22" t="s">
        <v>2346</v>
      </c>
      <c r="N1095" s="22" t="s">
        <v>3183</v>
      </c>
      <c r="O1095" s="22" t="s">
        <v>2229</v>
      </c>
      <c r="P1095" s="21">
        <v>85211</v>
      </c>
      <c r="Q1095" s="22">
        <v>10</v>
      </c>
      <c r="R1095" s="22">
        <v>6.5</v>
      </c>
      <c r="S1095" s="22">
        <v>5</v>
      </c>
      <c r="T1095" s="22" t="s">
        <v>281</v>
      </c>
      <c r="U1095" s="21">
        <v>1</v>
      </c>
      <c r="V1095" s="21">
        <v>1</v>
      </c>
      <c r="W1095" s="24">
        <f t="shared" si="188"/>
        <v>572.19454861089037</v>
      </c>
      <c r="X1095" s="24">
        <f t="shared" si="189"/>
        <v>170.08333333333331</v>
      </c>
      <c r="Y1095" s="22">
        <v>4</v>
      </c>
      <c r="Z1095" s="24">
        <f t="shared" si="185"/>
        <v>2288.7781944435615</v>
      </c>
      <c r="AA1095" s="24">
        <f t="shared" si="186"/>
        <v>680.33333333333326</v>
      </c>
      <c r="AB1095" s="22">
        <v>20</v>
      </c>
      <c r="AC1095" s="22">
        <v>13</v>
      </c>
      <c r="AD1095" s="22">
        <v>5</v>
      </c>
      <c r="AE1095" s="22" t="s">
        <v>330</v>
      </c>
      <c r="AF1095" s="22">
        <v>0.7</v>
      </c>
      <c r="AG1095" s="22">
        <v>0.7</v>
      </c>
      <c r="AH1095" s="25">
        <f>(AB1095*AC1095*2+AB1095*AD1095*2+AC1095*AD1095*2)/AG1095</f>
        <v>1214.2857142857144</v>
      </c>
      <c r="AI1095" s="25">
        <f>AB1095*AC1095*AD1095*AF1095</f>
        <v>909.99999999999989</v>
      </c>
      <c r="AJ1095" s="21">
        <v>884.43333333333328</v>
      </c>
      <c r="AK1095" s="21">
        <v>20</v>
      </c>
      <c r="AL1095" s="22" t="s">
        <v>161</v>
      </c>
      <c r="AM1095" s="22">
        <v>0.16</v>
      </c>
      <c r="AO1095" s="22" t="s">
        <v>2282</v>
      </c>
      <c r="AQ1095" s="22" t="str">
        <f t="shared" si="187"/>
        <v>Microphytoplankton</v>
      </c>
      <c r="AR1095" s="22">
        <v>0</v>
      </c>
      <c r="AS1095" s="22">
        <v>0</v>
      </c>
      <c r="AT1095" s="22">
        <v>0</v>
      </c>
      <c r="AU1095" s="22">
        <v>1</v>
      </c>
      <c r="AV1095" s="22">
        <v>0</v>
      </c>
      <c r="AW1095" s="22">
        <v>0</v>
      </c>
      <c r="AX1095" s="22">
        <v>0</v>
      </c>
      <c r="AY1095" s="22">
        <v>1</v>
      </c>
    </row>
    <row r="1096" spans="1:57">
      <c r="A1096" s="21" t="s">
        <v>3184</v>
      </c>
      <c r="B1096" s="22" t="s">
        <v>663</v>
      </c>
      <c r="C1096" s="22" t="s">
        <v>2223</v>
      </c>
      <c r="D1096" s="22" t="s">
        <v>2224</v>
      </c>
      <c r="E1096" s="23" t="s">
        <v>63</v>
      </c>
      <c r="F1096" s="23" t="s">
        <v>2225</v>
      </c>
      <c r="G1096" s="23" t="s">
        <v>2226</v>
      </c>
      <c r="H1096" s="22" t="s">
        <v>2457</v>
      </c>
      <c r="I1096" s="22" t="s">
        <v>3182</v>
      </c>
      <c r="J1096" s="22" t="s">
        <v>3185</v>
      </c>
      <c r="N1096" s="22" t="s">
        <v>3186</v>
      </c>
      <c r="O1096" s="22" t="s">
        <v>2229</v>
      </c>
      <c r="P1096" s="21">
        <v>85210</v>
      </c>
      <c r="Q1096" s="21">
        <v>10</v>
      </c>
      <c r="R1096" s="21">
        <v>7</v>
      </c>
      <c r="S1096" s="21">
        <v>7</v>
      </c>
      <c r="T1096" s="21" t="s">
        <v>281</v>
      </c>
      <c r="U1096" s="21">
        <v>1</v>
      </c>
      <c r="V1096" s="21">
        <v>1</v>
      </c>
      <c r="W1096" s="24">
        <f t="shared" si="188"/>
        <v>693.04994508978223</v>
      </c>
      <c r="X1096" s="24">
        <f t="shared" si="189"/>
        <v>256.43333333333334</v>
      </c>
      <c r="Y1096" s="21">
        <v>32</v>
      </c>
      <c r="Z1096" s="24">
        <f t="shared" si="185"/>
        <v>22177.598242873031</v>
      </c>
      <c r="AA1096" s="24">
        <f t="shared" si="186"/>
        <v>8205.8666666666668</v>
      </c>
      <c r="AB1096" s="21">
        <v>40</v>
      </c>
      <c r="AC1096" s="21">
        <v>60</v>
      </c>
      <c r="AD1096" s="21">
        <v>7</v>
      </c>
      <c r="AE1096" s="22" t="s">
        <v>330</v>
      </c>
      <c r="AF1096" s="21">
        <v>0.7</v>
      </c>
      <c r="AG1096" s="21">
        <v>0.7</v>
      </c>
      <c r="AH1096" s="25">
        <f>(AB1096*AC1096*2+AB1096*AD1096*2+AC1096*AD1096*2)/AG1096</f>
        <v>8857.1428571428569</v>
      </c>
      <c r="AI1096" s="25">
        <f>AB1096*AC1096*AD1096*AF1096</f>
        <v>11760</v>
      </c>
      <c r="AJ1096" s="21">
        <v>8210</v>
      </c>
      <c r="AK1096" s="21">
        <v>50</v>
      </c>
      <c r="AL1096" s="22" t="s">
        <v>161</v>
      </c>
      <c r="AM1096" s="22">
        <v>0.16</v>
      </c>
      <c r="AO1096" s="22" t="s">
        <v>2282</v>
      </c>
      <c r="AQ1096" s="22" t="str">
        <f t="shared" si="187"/>
        <v>Microphytoplankton</v>
      </c>
      <c r="AR1096" s="22">
        <v>0</v>
      </c>
      <c r="AS1096" s="22">
        <v>0</v>
      </c>
      <c r="AT1096" s="22">
        <v>0</v>
      </c>
      <c r="AU1096" s="22">
        <v>1</v>
      </c>
      <c r="AV1096" s="22">
        <v>0</v>
      </c>
      <c r="AW1096" s="22">
        <v>0</v>
      </c>
      <c r="AX1096" s="22">
        <v>0</v>
      </c>
      <c r="AY1096" s="22">
        <v>1</v>
      </c>
    </row>
    <row r="1097" spans="1:57">
      <c r="A1097" s="21" t="s">
        <v>3187</v>
      </c>
      <c r="B1097" s="22" t="s">
        <v>663</v>
      </c>
      <c r="C1097" s="23" t="s">
        <v>2223</v>
      </c>
      <c r="D1097" s="22" t="s">
        <v>3188</v>
      </c>
      <c r="E1097" s="23" t="s">
        <v>3189</v>
      </c>
      <c r="F1097" s="23" t="s">
        <v>3190</v>
      </c>
      <c r="G1097" s="23" t="s">
        <v>3191</v>
      </c>
      <c r="H1097" s="23" t="s">
        <v>3192</v>
      </c>
      <c r="I1097" s="22" t="s">
        <v>3193</v>
      </c>
      <c r="J1097" s="22" t="s">
        <v>3194</v>
      </c>
      <c r="N1097" s="22" t="s">
        <v>3195</v>
      </c>
      <c r="O1097" s="22" t="s">
        <v>3196</v>
      </c>
      <c r="P1097" s="21">
        <v>89580</v>
      </c>
      <c r="Q1097" s="21">
        <v>15</v>
      </c>
      <c r="R1097" s="21">
        <v>12</v>
      </c>
      <c r="S1097" s="21">
        <v>12</v>
      </c>
      <c r="T1097" s="21" t="s">
        <v>281</v>
      </c>
      <c r="U1097" s="21">
        <v>0.8</v>
      </c>
      <c r="V1097" s="21">
        <v>0.8</v>
      </c>
      <c r="W1097" s="24">
        <f t="shared" si="188"/>
        <v>2211.3412553863009</v>
      </c>
      <c r="X1097" s="24">
        <f t="shared" si="189"/>
        <v>904.31999999999994</v>
      </c>
      <c r="Y1097" s="21">
        <v>1</v>
      </c>
      <c r="Z1097" s="24">
        <f t="shared" si="185"/>
        <v>2211.3412553863009</v>
      </c>
      <c r="AA1097" s="24">
        <f t="shared" si="186"/>
        <v>904.31999999999994</v>
      </c>
      <c r="AB1097" s="21"/>
      <c r="AC1097" s="21"/>
      <c r="AD1097" s="21"/>
      <c r="AE1097" s="21"/>
      <c r="AF1097" s="21"/>
      <c r="AG1097" s="21"/>
      <c r="AH1097" s="24"/>
      <c r="AI1097" s="24"/>
      <c r="AJ1097" s="21">
        <v>862</v>
      </c>
      <c r="AK1097" s="21">
        <v>15</v>
      </c>
      <c r="AL1097" s="22" t="s">
        <v>161</v>
      </c>
      <c r="AM1097" s="22">
        <v>0.11</v>
      </c>
      <c r="AO1097" s="22" t="s">
        <v>1364</v>
      </c>
      <c r="AP1097" s="22" t="s">
        <v>162</v>
      </c>
      <c r="AQ1097" s="22" t="str">
        <f t="shared" si="187"/>
        <v>Nanophytoplankton</v>
      </c>
      <c r="AR1097" s="22">
        <v>0</v>
      </c>
      <c r="AS1097" s="22">
        <v>0</v>
      </c>
      <c r="AT1097" s="22">
        <v>0</v>
      </c>
      <c r="AU1097" s="22">
        <v>0</v>
      </c>
      <c r="AV1097" s="22">
        <v>0</v>
      </c>
      <c r="AW1097" s="22">
        <v>0</v>
      </c>
      <c r="AX1097" s="22">
        <v>0</v>
      </c>
      <c r="AY1097" s="22">
        <v>1</v>
      </c>
    </row>
    <row r="1098" spans="1:57">
      <c r="A1098" s="21" t="s">
        <v>3197</v>
      </c>
      <c r="B1098" s="22" t="s">
        <v>663</v>
      </c>
      <c r="C1098" s="23" t="s">
        <v>2223</v>
      </c>
      <c r="D1098" s="22" t="s">
        <v>3188</v>
      </c>
      <c r="E1098" s="23" t="s">
        <v>3189</v>
      </c>
      <c r="F1098" s="23" t="s">
        <v>3190</v>
      </c>
      <c r="G1098" s="23" t="s">
        <v>3191</v>
      </c>
      <c r="H1098" s="23" t="s">
        <v>3192</v>
      </c>
      <c r="I1098" s="22" t="s">
        <v>3193</v>
      </c>
      <c r="J1098" s="22" t="s">
        <v>211</v>
      </c>
      <c r="N1098" s="22" t="s">
        <v>3198</v>
      </c>
      <c r="O1098" s="22" t="s">
        <v>3196</v>
      </c>
      <c r="P1098" s="21">
        <v>54106</v>
      </c>
      <c r="Q1098" s="21">
        <v>24</v>
      </c>
      <c r="R1098" s="21">
        <v>11</v>
      </c>
      <c r="S1098" s="21">
        <v>12</v>
      </c>
      <c r="T1098" s="21" t="s">
        <v>281</v>
      </c>
      <c r="U1098" s="21">
        <v>0.8</v>
      </c>
      <c r="V1098" s="21">
        <v>0.8</v>
      </c>
      <c r="W1098" s="24">
        <f t="shared" si="188"/>
        <v>3378.102222025148</v>
      </c>
      <c r="X1098" s="24">
        <f t="shared" si="189"/>
        <v>1326.3360000000002</v>
      </c>
      <c r="Y1098" s="21">
        <v>1</v>
      </c>
      <c r="Z1098" s="24">
        <f t="shared" si="185"/>
        <v>3378.102222025148</v>
      </c>
      <c r="AA1098" s="24">
        <f t="shared" si="186"/>
        <v>1326.3360000000002</v>
      </c>
      <c r="AB1098" s="21"/>
      <c r="AC1098" s="21"/>
      <c r="AD1098" s="21"/>
      <c r="AE1098" s="21"/>
      <c r="AF1098" s="21"/>
      <c r="AG1098" s="21"/>
      <c r="AH1098" s="24"/>
      <c r="AI1098" s="24"/>
      <c r="AJ1098" s="21">
        <v>862</v>
      </c>
      <c r="AK1098" s="21">
        <v>15</v>
      </c>
      <c r="AL1098" s="22" t="s">
        <v>161</v>
      </c>
      <c r="AM1098" s="22">
        <v>0.11</v>
      </c>
      <c r="AQ1098" s="22" t="str">
        <f t="shared" si="187"/>
        <v>Nanophytoplankton</v>
      </c>
      <c r="AR1098" s="22">
        <v>0</v>
      </c>
      <c r="AS1098" s="22">
        <v>0</v>
      </c>
      <c r="AT1098" s="22">
        <v>0</v>
      </c>
      <c r="AU1098" s="22">
        <v>0</v>
      </c>
      <c r="AV1098" s="22">
        <v>0</v>
      </c>
      <c r="AW1098" s="22">
        <v>0</v>
      </c>
      <c r="AX1098" s="22">
        <v>0</v>
      </c>
      <c r="AY1098" s="22">
        <v>1</v>
      </c>
    </row>
    <row r="1099" spans="1:57">
      <c r="A1099" s="21" t="s">
        <v>3199</v>
      </c>
      <c r="B1099" s="22" t="s">
        <v>663</v>
      </c>
      <c r="C1099" s="23" t="s">
        <v>2223</v>
      </c>
      <c r="D1099" s="22" t="s">
        <v>3188</v>
      </c>
      <c r="E1099" s="23" t="s">
        <v>3189</v>
      </c>
      <c r="F1099" s="23" t="s">
        <v>3190</v>
      </c>
      <c r="G1099" s="23" t="s">
        <v>3191</v>
      </c>
      <c r="H1099" s="23" t="s">
        <v>3200</v>
      </c>
      <c r="I1099" s="22" t="s">
        <v>48</v>
      </c>
      <c r="J1099" s="21" t="s">
        <v>3201</v>
      </c>
      <c r="K1099" s="21"/>
      <c r="L1099" s="21"/>
      <c r="N1099" s="22" t="s">
        <v>3202</v>
      </c>
      <c r="O1099" s="22" t="s">
        <v>3196</v>
      </c>
      <c r="P1099" s="21">
        <v>90290</v>
      </c>
      <c r="Q1099" s="21">
        <v>540</v>
      </c>
      <c r="R1099" s="21">
        <v>40</v>
      </c>
      <c r="S1099" s="21">
        <v>40</v>
      </c>
      <c r="T1099" s="21" t="s">
        <v>160</v>
      </c>
      <c r="U1099" s="21">
        <v>1</v>
      </c>
      <c r="V1099" s="21">
        <v>1</v>
      </c>
      <c r="W1099" s="24">
        <f>3.14*R1099*Q1099+2*3.14*(S1099/2)^2/V1099</f>
        <v>70336</v>
      </c>
      <c r="X1099" s="25">
        <f>(3.14/4*R1099^2*Q1099)*U1099</f>
        <v>678240</v>
      </c>
      <c r="Y1099" s="21">
        <v>1</v>
      </c>
      <c r="Z1099" s="24">
        <f t="shared" si="185"/>
        <v>70336</v>
      </c>
      <c r="AA1099" s="24">
        <f t="shared" si="186"/>
        <v>678240</v>
      </c>
      <c r="AB1099" s="21"/>
      <c r="AC1099" s="21"/>
      <c r="AD1099" s="21"/>
      <c r="AE1099" s="21"/>
      <c r="AF1099" s="21"/>
      <c r="AG1099" s="21"/>
      <c r="AH1099" s="24"/>
      <c r="AI1099" s="24"/>
      <c r="AJ1099" s="21">
        <v>452389.3</v>
      </c>
      <c r="AK1099" s="21">
        <v>540</v>
      </c>
      <c r="AL1099" s="22" t="s">
        <v>161</v>
      </c>
      <c r="AM1099" s="22">
        <v>0.11</v>
      </c>
      <c r="AO1099" s="22" t="s">
        <v>1517</v>
      </c>
      <c r="AP1099" s="22" t="s">
        <v>162</v>
      </c>
      <c r="AQ1099" s="22" t="str">
        <f t="shared" si="187"/>
        <v>Microphytoplankton</v>
      </c>
      <c r="AR1099" s="22">
        <v>0</v>
      </c>
      <c r="AS1099" s="22">
        <v>0</v>
      </c>
      <c r="AT1099" s="22">
        <v>0</v>
      </c>
      <c r="AU1099" s="22">
        <v>0</v>
      </c>
      <c r="AV1099" s="22">
        <v>0</v>
      </c>
      <c r="AW1099" s="22">
        <v>0</v>
      </c>
      <c r="AX1099" s="22">
        <v>0</v>
      </c>
      <c r="AY1099" s="22">
        <v>1</v>
      </c>
    </row>
    <row r="1100" spans="1:57">
      <c r="A1100" s="21" t="s">
        <v>3203</v>
      </c>
      <c r="B1100" s="22" t="s">
        <v>663</v>
      </c>
      <c r="C1100" s="23" t="s">
        <v>2223</v>
      </c>
      <c r="D1100" s="22" t="s">
        <v>3188</v>
      </c>
      <c r="E1100" s="23" t="s">
        <v>3189</v>
      </c>
      <c r="F1100" s="23" t="s">
        <v>3190</v>
      </c>
      <c r="G1100" s="23" t="s">
        <v>3191</v>
      </c>
      <c r="H1100" s="23" t="s">
        <v>3200</v>
      </c>
      <c r="I1100" s="22" t="s">
        <v>48</v>
      </c>
      <c r="J1100" s="21" t="s">
        <v>2237</v>
      </c>
      <c r="K1100" s="21"/>
      <c r="L1100" s="21"/>
      <c r="N1100" s="22" t="s">
        <v>3204</v>
      </c>
      <c r="O1100" s="22" t="s">
        <v>3196</v>
      </c>
      <c r="P1100" s="21">
        <v>90310</v>
      </c>
      <c r="Q1100" s="21">
        <v>500</v>
      </c>
      <c r="R1100" s="21">
        <v>5</v>
      </c>
      <c r="S1100" s="21">
        <v>5</v>
      </c>
      <c r="T1100" s="21" t="s">
        <v>160</v>
      </c>
      <c r="U1100" s="21">
        <v>0.75</v>
      </c>
      <c r="V1100" s="21">
        <v>0.75</v>
      </c>
      <c r="W1100" s="24">
        <f>3.14*R1100*Q1100+2*3.14*(S1100/2)^2/V1100</f>
        <v>7902.3333333333339</v>
      </c>
      <c r="X1100" s="25">
        <f>(3.14/4*R1100^2*Q1100)*U1100</f>
        <v>7359.375</v>
      </c>
      <c r="Y1100" s="21">
        <v>1</v>
      </c>
      <c r="Z1100" s="24">
        <f t="shared" si="185"/>
        <v>7902.3333333333339</v>
      </c>
      <c r="AA1100" s="24">
        <f t="shared" si="186"/>
        <v>7359.375</v>
      </c>
      <c r="AB1100" s="21"/>
      <c r="AC1100" s="21"/>
      <c r="AD1100" s="21"/>
      <c r="AE1100" s="21"/>
      <c r="AF1100" s="21"/>
      <c r="AG1100" s="21"/>
      <c r="AH1100" s="24"/>
      <c r="AI1100" s="24"/>
      <c r="AJ1100" s="21">
        <v>7363.1</v>
      </c>
      <c r="AK1100" s="21">
        <v>500</v>
      </c>
      <c r="AL1100" s="22" t="s">
        <v>161</v>
      </c>
      <c r="AM1100" s="22">
        <v>0.11</v>
      </c>
      <c r="AN1100" s="22" t="s">
        <v>1517</v>
      </c>
      <c r="AO1100" s="22" t="s">
        <v>1517</v>
      </c>
      <c r="AP1100" s="22" t="s">
        <v>162</v>
      </c>
      <c r="AQ1100" s="22" t="str">
        <f t="shared" si="187"/>
        <v>Microphytoplankton</v>
      </c>
      <c r="AR1100" s="22">
        <v>0</v>
      </c>
      <c r="AS1100" s="22">
        <v>0</v>
      </c>
      <c r="AT1100" s="22">
        <v>0</v>
      </c>
      <c r="AU1100" s="22">
        <v>0</v>
      </c>
      <c r="AV1100" s="22">
        <v>0</v>
      </c>
      <c r="AW1100" s="22">
        <v>0</v>
      </c>
      <c r="AX1100" s="22">
        <v>0</v>
      </c>
      <c r="AY1100" s="22">
        <v>1</v>
      </c>
      <c r="AZ1100" s="22">
        <v>0</v>
      </c>
      <c r="BA1100" s="22">
        <v>0</v>
      </c>
      <c r="BB1100" s="22">
        <v>0</v>
      </c>
      <c r="BC1100" s="22">
        <v>1</v>
      </c>
      <c r="BD1100" s="22">
        <v>3</v>
      </c>
      <c r="BE1100" s="22">
        <v>6</v>
      </c>
    </row>
    <row r="1101" spans="1:57" ht="12" customHeight="1">
      <c r="A1101" s="22" t="s">
        <v>3205</v>
      </c>
      <c r="B1101" s="22" t="s">
        <v>663</v>
      </c>
      <c r="C1101" s="23" t="s">
        <v>2223</v>
      </c>
      <c r="D1101" s="22" t="s">
        <v>3188</v>
      </c>
      <c r="E1101" s="23" t="s">
        <v>3189</v>
      </c>
      <c r="F1101" s="23" t="s">
        <v>3190</v>
      </c>
      <c r="G1101" s="23" t="s">
        <v>3191</v>
      </c>
      <c r="H1101" s="23" t="s">
        <v>3200</v>
      </c>
      <c r="I1101" s="22" t="s">
        <v>48</v>
      </c>
      <c r="J1101" s="22" t="s">
        <v>3206</v>
      </c>
      <c r="N1101" s="22" t="s">
        <v>3207</v>
      </c>
      <c r="O1101" s="22" t="s">
        <v>3196</v>
      </c>
      <c r="P1101" s="21">
        <v>90314</v>
      </c>
      <c r="Q1101" s="22">
        <v>115</v>
      </c>
      <c r="R1101" s="22">
        <v>5</v>
      </c>
      <c r="S1101" s="22">
        <v>5</v>
      </c>
      <c r="T1101" s="22" t="s">
        <v>874</v>
      </c>
      <c r="U1101" s="22">
        <v>1</v>
      </c>
      <c r="V1101" s="22">
        <v>1</v>
      </c>
      <c r="W1101" s="24">
        <f>(4*3.14*(((Q1101^1.6*R1101^1.6+Q1101^1.6*S1101^1.6+R1101^1.6+S1101^1.6)/3)^(1/1.6)))*(1/V1101)</f>
        <v>5607.0878192437012</v>
      </c>
      <c r="X1101" s="24">
        <f>3.14/12*R1101*S1101*Q1101*U1101</f>
        <v>752.29166666666674</v>
      </c>
      <c r="Y1101" s="21">
        <v>1</v>
      </c>
      <c r="Z1101" s="24">
        <f t="shared" si="185"/>
        <v>5607.0878192437012</v>
      </c>
      <c r="AA1101" s="24">
        <f t="shared" si="186"/>
        <v>752.29166666666674</v>
      </c>
      <c r="AJ1101" s="21">
        <v>752.29166666666663</v>
      </c>
      <c r="AK1101" s="21">
        <v>115</v>
      </c>
      <c r="AL1101" s="22" t="s">
        <v>161</v>
      </c>
      <c r="AM1101" s="22">
        <v>0.11</v>
      </c>
      <c r="AN1101" s="22" t="s">
        <v>1517</v>
      </c>
      <c r="AO1101" s="22" t="s">
        <v>1517</v>
      </c>
      <c r="AP1101" s="22" t="s">
        <v>162</v>
      </c>
      <c r="AQ1101" s="22" t="str">
        <f t="shared" si="187"/>
        <v>Microphytoplankton</v>
      </c>
      <c r="AR1101" s="22">
        <v>0</v>
      </c>
      <c r="AS1101" s="22">
        <v>0</v>
      </c>
      <c r="AT1101" s="22">
        <v>0</v>
      </c>
      <c r="AU1101" s="22">
        <v>0</v>
      </c>
      <c r="AV1101" s="22">
        <v>0</v>
      </c>
      <c r="AW1101" s="22">
        <v>0</v>
      </c>
      <c r="AX1101" s="22">
        <v>0</v>
      </c>
      <c r="AY1101" s="22">
        <v>1</v>
      </c>
    </row>
    <row r="1102" spans="1:57">
      <c r="A1102" s="21" t="s">
        <v>3208</v>
      </c>
      <c r="B1102" s="22" t="s">
        <v>663</v>
      </c>
      <c r="C1102" s="23" t="s">
        <v>2223</v>
      </c>
      <c r="D1102" s="22" t="s">
        <v>3188</v>
      </c>
      <c r="E1102" s="23" t="s">
        <v>3189</v>
      </c>
      <c r="F1102" s="23" t="s">
        <v>3190</v>
      </c>
      <c r="G1102" s="23" t="s">
        <v>3191</v>
      </c>
      <c r="H1102" s="23" t="s">
        <v>3200</v>
      </c>
      <c r="I1102" s="22" t="s">
        <v>48</v>
      </c>
      <c r="J1102" s="21" t="s">
        <v>3206</v>
      </c>
      <c r="K1102" s="21" t="s">
        <v>175</v>
      </c>
      <c r="L1102" s="21" t="s">
        <v>3209</v>
      </c>
      <c r="N1102" s="22" t="s">
        <v>3210</v>
      </c>
      <c r="O1102" s="22" t="s">
        <v>3196</v>
      </c>
      <c r="P1102" s="21">
        <v>90370</v>
      </c>
      <c r="Q1102" s="21">
        <v>140</v>
      </c>
      <c r="R1102" s="21">
        <v>9</v>
      </c>
      <c r="S1102" s="21">
        <v>9</v>
      </c>
      <c r="T1102" s="21" t="s">
        <v>160</v>
      </c>
      <c r="U1102" s="21">
        <v>0.7</v>
      </c>
      <c r="V1102" s="21">
        <v>0.7</v>
      </c>
      <c r="W1102" s="24">
        <f>3.14*R1102*Q1102+2*3.14*(S1102/2)^2/V1102</f>
        <v>4138.0714285714284</v>
      </c>
      <c r="X1102" s="25">
        <f>(3.14/4*R1102^2*Q1102)*U1102</f>
        <v>6231.329999999999</v>
      </c>
      <c r="Y1102" s="21">
        <v>1</v>
      </c>
      <c r="Z1102" s="24">
        <f t="shared" si="185"/>
        <v>4138.0714285714284</v>
      </c>
      <c r="AA1102" s="24">
        <f t="shared" si="186"/>
        <v>6231.329999999999</v>
      </c>
      <c r="AB1102" s="21"/>
      <c r="AC1102" s="21"/>
      <c r="AD1102" s="21"/>
      <c r="AE1102" s="21"/>
      <c r="AF1102" s="21"/>
      <c r="AG1102" s="21"/>
      <c r="AH1102" s="24"/>
      <c r="AI1102" s="24"/>
      <c r="AJ1102" s="21">
        <v>6234.5</v>
      </c>
      <c r="AK1102" s="21">
        <v>140</v>
      </c>
      <c r="AL1102" s="22" t="s">
        <v>161</v>
      </c>
      <c r="AM1102" s="22">
        <v>0.11</v>
      </c>
      <c r="AN1102" s="22" t="s">
        <v>1517</v>
      </c>
      <c r="AO1102" s="22" t="s">
        <v>1517</v>
      </c>
      <c r="AP1102" s="22" t="s">
        <v>162</v>
      </c>
      <c r="AQ1102" s="22" t="str">
        <f t="shared" si="187"/>
        <v>Microphytoplankton</v>
      </c>
      <c r="AR1102" s="22">
        <v>0</v>
      </c>
      <c r="AS1102" s="22">
        <v>0</v>
      </c>
      <c r="AT1102" s="22">
        <v>0</v>
      </c>
      <c r="AU1102" s="22">
        <v>0</v>
      </c>
      <c r="AV1102" s="22">
        <v>0</v>
      </c>
      <c r="AW1102" s="22">
        <v>0</v>
      </c>
      <c r="AX1102" s="22">
        <v>0</v>
      </c>
      <c r="AY1102" s="22">
        <v>1</v>
      </c>
      <c r="AZ1102" s="22">
        <v>0</v>
      </c>
      <c r="BA1102" s="22">
        <v>0</v>
      </c>
      <c r="BB1102" s="22">
        <v>1</v>
      </c>
      <c r="BC1102" s="22">
        <v>1</v>
      </c>
      <c r="BD1102" s="22">
        <v>3</v>
      </c>
      <c r="BE1102" s="22">
        <v>5</v>
      </c>
    </row>
    <row r="1103" spans="1:57">
      <c r="A1103" s="21" t="s">
        <v>3211</v>
      </c>
      <c r="B1103" s="22" t="s">
        <v>663</v>
      </c>
      <c r="C1103" s="23" t="s">
        <v>2223</v>
      </c>
      <c r="D1103" s="22" t="s">
        <v>3188</v>
      </c>
      <c r="E1103" s="23" t="s">
        <v>3189</v>
      </c>
      <c r="F1103" s="23" t="s">
        <v>3190</v>
      </c>
      <c r="G1103" s="23" t="s">
        <v>3191</v>
      </c>
      <c r="H1103" s="23" t="s">
        <v>3200</v>
      </c>
      <c r="I1103" s="22" t="s">
        <v>48</v>
      </c>
      <c r="J1103" s="21" t="s">
        <v>3206</v>
      </c>
      <c r="K1103" s="21" t="s">
        <v>175</v>
      </c>
      <c r="L1103" s="21" t="s">
        <v>3212</v>
      </c>
      <c r="N1103" s="22" t="s">
        <v>3213</v>
      </c>
      <c r="O1103" s="22" t="s">
        <v>3196</v>
      </c>
      <c r="P1103" s="21">
        <v>90321</v>
      </c>
      <c r="Q1103" s="22">
        <v>100</v>
      </c>
      <c r="R1103" s="22">
        <v>3.5</v>
      </c>
      <c r="S1103" s="22">
        <v>3.5</v>
      </c>
      <c r="T1103" s="21" t="s">
        <v>160</v>
      </c>
      <c r="U1103" s="22">
        <v>0.75</v>
      </c>
      <c r="V1103" s="22">
        <v>0.75</v>
      </c>
      <c r="W1103" s="24">
        <f>3.14*R1103*Q1103+2*3.14*(S1103/2)^2/V1103</f>
        <v>1124.6433333333334</v>
      </c>
      <c r="X1103" s="25">
        <f>(3.14/4*R1103^2*Q1103)*U1103</f>
        <v>721.21875000000011</v>
      </c>
      <c r="Y1103" s="21">
        <v>1</v>
      </c>
      <c r="Z1103" s="24">
        <f t="shared" si="185"/>
        <v>1124.6433333333334</v>
      </c>
      <c r="AA1103" s="24">
        <f t="shared" si="186"/>
        <v>721.21875000000011</v>
      </c>
      <c r="AJ1103" s="21">
        <v>721.6</v>
      </c>
      <c r="AK1103" s="21">
        <v>100</v>
      </c>
      <c r="AL1103" s="22" t="s">
        <v>161</v>
      </c>
      <c r="AM1103" s="22">
        <v>0.11</v>
      </c>
      <c r="AN1103" s="22" t="s">
        <v>1517</v>
      </c>
      <c r="AO1103" s="22" t="s">
        <v>1517</v>
      </c>
      <c r="AP1103" s="22" t="s">
        <v>162</v>
      </c>
      <c r="AQ1103" s="22" t="str">
        <f t="shared" si="187"/>
        <v>Microphytoplankton</v>
      </c>
      <c r="AR1103" s="22">
        <v>0</v>
      </c>
      <c r="AS1103" s="22">
        <v>0</v>
      </c>
      <c r="AT1103" s="22">
        <v>0</v>
      </c>
      <c r="AU1103" s="22">
        <v>0</v>
      </c>
      <c r="AV1103" s="22">
        <v>0</v>
      </c>
      <c r="AW1103" s="22">
        <v>0</v>
      </c>
      <c r="AX1103" s="22">
        <v>0</v>
      </c>
      <c r="AY1103" s="22">
        <v>1</v>
      </c>
    </row>
    <row r="1104" spans="1:57">
      <c r="A1104" s="21" t="s">
        <v>3214</v>
      </c>
      <c r="B1104" s="22" t="s">
        <v>663</v>
      </c>
      <c r="C1104" s="23" t="s">
        <v>2223</v>
      </c>
      <c r="D1104" s="22" t="s">
        <v>3188</v>
      </c>
      <c r="E1104" s="23" t="s">
        <v>3189</v>
      </c>
      <c r="F1104" s="23" t="s">
        <v>3190</v>
      </c>
      <c r="G1104" s="23" t="s">
        <v>3191</v>
      </c>
      <c r="H1104" s="23" t="s">
        <v>3200</v>
      </c>
      <c r="I1104" s="22" t="s">
        <v>48</v>
      </c>
      <c r="J1104" s="21" t="s">
        <v>3206</v>
      </c>
      <c r="K1104" s="21" t="s">
        <v>175</v>
      </c>
      <c r="L1104" s="21" t="s">
        <v>3215</v>
      </c>
      <c r="N1104" s="22" t="s">
        <v>3216</v>
      </c>
      <c r="O1104" s="22" t="s">
        <v>3196</v>
      </c>
      <c r="P1104" s="21">
        <v>90320</v>
      </c>
      <c r="Q1104" s="21">
        <v>130</v>
      </c>
      <c r="R1104" s="21">
        <v>3.5</v>
      </c>
      <c r="S1104" s="21">
        <v>3.5</v>
      </c>
      <c r="T1104" s="21" t="s">
        <v>160</v>
      </c>
      <c r="U1104" s="21">
        <v>0.75</v>
      </c>
      <c r="V1104" s="21">
        <v>0.75</v>
      </c>
      <c r="W1104" s="24">
        <f>3.14*R1104*Q1104+2*3.14*(S1104/2)^2/V1104</f>
        <v>1454.3433333333335</v>
      </c>
      <c r="X1104" s="25">
        <f>(3.14/4*R1104^2*Q1104)*U1104</f>
        <v>937.58437500000014</v>
      </c>
      <c r="Y1104" s="21">
        <v>1</v>
      </c>
      <c r="Z1104" s="24">
        <f t="shared" si="185"/>
        <v>1454.3433333333335</v>
      </c>
      <c r="AA1104" s="24">
        <f t="shared" si="186"/>
        <v>937.58437500000014</v>
      </c>
      <c r="AB1104" s="21"/>
      <c r="AC1104" s="21"/>
      <c r="AD1104" s="21"/>
      <c r="AE1104" s="21"/>
      <c r="AF1104" s="21"/>
      <c r="AG1104" s="21"/>
      <c r="AH1104" s="24"/>
      <c r="AI1104" s="24"/>
      <c r="AJ1104" s="21">
        <v>938.1</v>
      </c>
      <c r="AK1104" s="21">
        <v>130</v>
      </c>
      <c r="AL1104" s="22" t="s">
        <v>161</v>
      </c>
      <c r="AM1104" s="22">
        <v>0.11</v>
      </c>
      <c r="AN1104" s="22" t="s">
        <v>1517</v>
      </c>
      <c r="AO1104" s="22" t="s">
        <v>1517</v>
      </c>
      <c r="AP1104" s="22" t="s">
        <v>162</v>
      </c>
      <c r="AQ1104" s="22" t="str">
        <f t="shared" si="187"/>
        <v>Microphytoplankton</v>
      </c>
      <c r="AR1104" s="22">
        <v>0</v>
      </c>
      <c r="AS1104" s="22">
        <v>0</v>
      </c>
      <c r="AT1104" s="22">
        <v>0</v>
      </c>
      <c r="AU1104" s="22">
        <v>0</v>
      </c>
      <c r="AV1104" s="22">
        <v>0</v>
      </c>
      <c r="AW1104" s="22">
        <v>0</v>
      </c>
      <c r="AX1104" s="22">
        <v>0</v>
      </c>
      <c r="AY1104" s="22">
        <v>1</v>
      </c>
      <c r="AZ1104" s="22">
        <v>0</v>
      </c>
      <c r="BA1104" s="22">
        <v>0</v>
      </c>
      <c r="BB1104" s="22">
        <v>0</v>
      </c>
      <c r="BC1104" s="22">
        <v>1</v>
      </c>
      <c r="BD1104" s="22">
        <v>7</v>
      </c>
      <c r="BE1104" s="22">
        <v>2</v>
      </c>
    </row>
    <row r="1105" spans="1:57">
      <c r="A1105" s="22" t="s">
        <v>3217</v>
      </c>
      <c r="B1105" s="22" t="s">
        <v>663</v>
      </c>
      <c r="C1105" s="23" t="s">
        <v>2223</v>
      </c>
      <c r="D1105" s="22" t="s">
        <v>3188</v>
      </c>
      <c r="E1105" s="23" t="s">
        <v>3189</v>
      </c>
      <c r="F1105" s="23" t="s">
        <v>3190</v>
      </c>
      <c r="G1105" s="23" t="s">
        <v>3191</v>
      </c>
      <c r="H1105" s="23" t="s">
        <v>3200</v>
      </c>
      <c r="I1105" s="22" t="s">
        <v>48</v>
      </c>
      <c r="J1105" s="22" t="s">
        <v>1908</v>
      </c>
      <c r="K1105" s="22" t="s">
        <v>175</v>
      </c>
      <c r="L1105" s="22" t="s">
        <v>3218</v>
      </c>
      <c r="N1105" s="22" t="s">
        <v>186</v>
      </c>
      <c r="O1105" s="22" t="s">
        <v>3196</v>
      </c>
      <c r="P1105" s="21">
        <v>90315</v>
      </c>
      <c r="Q1105" s="22">
        <v>162</v>
      </c>
      <c r="R1105" s="22">
        <v>28.5</v>
      </c>
      <c r="S1105" s="22">
        <v>10</v>
      </c>
      <c r="T1105" s="22" t="s">
        <v>874</v>
      </c>
      <c r="U1105" s="22">
        <v>1</v>
      </c>
      <c r="V1105" s="22">
        <v>1</v>
      </c>
      <c r="W1105" s="24">
        <f>(4*3.14*(((Q1105^1.6*R1105^1.6+Q1105^1.6*S1105^1.6+R1105^1.6+S1105^1.6)/3)^(1/1.6)))*(1/V1105)</f>
        <v>32493.733780462047</v>
      </c>
      <c r="X1105" s="24">
        <f>3.14/12*R1105*S1105*Q1105*U1105</f>
        <v>12081.149999999998</v>
      </c>
      <c r="Y1105" s="21">
        <v>1</v>
      </c>
      <c r="Z1105" s="24">
        <f t="shared" si="185"/>
        <v>32493.733780462047</v>
      </c>
      <c r="AA1105" s="24">
        <f t="shared" si="186"/>
        <v>12081.149999999998</v>
      </c>
      <c r="AJ1105" s="21">
        <v>34431.277499999997</v>
      </c>
      <c r="AK1105" s="21">
        <v>162</v>
      </c>
      <c r="AL1105" s="22" t="s">
        <v>161</v>
      </c>
      <c r="AM1105" s="22">
        <v>0.11</v>
      </c>
      <c r="AO1105" s="22" t="s">
        <v>1517</v>
      </c>
      <c r="AP1105" s="22" t="s">
        <v>162</v>
      </c>
      <c r="AQ1105" s="22" t="str">
        <f t="shared" si="187"/>
        <v>Microphytoplankton</v>
      </c>
      <c r="AR1105" s="22">
        <v>0</v>
      </c>
      <c r="AS1105" s="22">
        <v>0</v>
      </c>
      <c r="AT1105" s="22">
        <v>0</v>
      </c>
      <c r="AU1105" s="22">
        <v>0</v>
      </c>
      <c r="AV1105" s="22">
        <v>0</v>
      </c>
      <c r="AW1105" s="22">
        <v>0</v>
      </c>
      <c r="AX1105" s="22">
        <v>0</v>
      </c>
      <c r="AY1105" s="22">
        <v>1</v>
      </c>
    </row>
    <row r="1106" spans="1:57">
      <c r="A1106" s="21" t="s">
        <v>3219</v>
      </c>
      <c r="B1106" s="22" t="s">
        <v>663</v>
      </c>
      <c r="C1106" s="23" t="s">
        <v>2223</v>
      </c>
      <c r="D1106" s="22" t="s">
        <v>3188</v>
      </c>
      <c r="E1106" s="23" t="s">
        <v>3189</v>
      </c>
      <c r="F1106" s="23" t="s">
        <v>3190</v>
      </c>
      <c r="G1106" s="23" t="s">
        <v>3191</v>
      </c>
      <c r="H1106" s="23" t="s">
        <v>3200</v>
      </c>
      <c r="I1106" s="22" t="s">
        <v>48</v>
      </c>
      <c r="J1106" s="21" t="s">
        <v>3220</v>
      </c>
      <c r="K1106" s="21"/>
      <c r="L1106" s="21"/>
      <c r="N1106" s="22" t="s">
        <v>694</v>
      </c>
      <c r="O1106" s="22" t="s">
        <v>3196</v>
      </c>
      <c r="P1106" s="21">
        <v>90311</v>
      </c>
      <c r="Q1106" s="22">
        <v>125</v>
      </c>
      <c r="R1106" s="22">
        <v>5</v>
      </c>
      <c r="S1106" s="22">
        <v>5</v>
      </c>
      <c r="T1106" s="21" t="s">
        <v>160</v>
      </c>
      <c r="U1106" s="22">
        <v>0.8</v>
      </c>
      <c r="V1106" s="22">
        <v>0.8</v>
      </c>
      <c r="W1106" s="24">
        <f t="shared" ref="W1106:W1115" si="190">3.14*R1106*Q1106+2*3.14*(S1106/2)^2/V1106</f>
        <v>2011.5625000000002</v>
      </c>
      <c r="X1106" s="25">
        <f t="shared" ref="X1106:X1115" si="191">(3.14/4*R1106^2*Q1106)*U1106</f>
        <v>1962.5</v>
      </c>
      <c r="Y1106" s="21">
        <v>1</v>
      </c>
      <c r="Z1106" s="24">
        <f t="shared" si="185"/>
        <v>2011.5625000000002</v>
      </c>
      <c r="AA1106" s="24">
        <f t="shared" si="186"/>
        <v>1962.5</v>
      </c>
      <c r="AJ1106" s="21">
        <v>2500</v>
      </c>
      <c r="AK1106" s="21">
        <v>110</v>
      </c>
      <c r="AL1106" s="22" t="s">
        <v>161</v>
      </c>
      <c r="AM1106" s="22">
        <v>0.11</v>
      </c>
      <c r="AO1106" s="22" t="s">
        <v>1517</v>
      </c>
      <c r="AP1106" s="22" t="s">
        <v>162</v>
      </c>
      <c r="AQ1106" s="22" t="str">
        <f t="shared" si="187"/>
        <v>Microphytoplankton</v>
      </c>
      <c r="AR1106" s="22">
        <v>0</v>
      </c>
      <c r="AS1106" s="22">
        <v>0</v>
      </c>
      <c r="AT1106" s="22">
        <v>0</v>
      </c>
      <c r="AU1106" s="22">
        <v>0</v>
      </c>
      <c r="AV1106" s="22">
        <v>0</v>
      </c>
      <c r="AW1106" s="22">
        <v>0</v>
      </c>
      <c r="AX1106" s="22">
        <v>0</v>
      </c>
      <c r="AY1106" s="22">
        <v>1</v>
      </c>
    </row>
    <row r="1107" spans="1:57">
      <c r="A1107" s="21" t="s">
        <v>3221</v>
      </c>
      <c r="B1107" s="22" t="s">
        <v>663</v>
      </c>
      <c r="C1107" s="23" t="s">
        <v>2223</v>
      </c>
      <c r="D1107" s="22" t="s">
        <v>3188</v>
      </c>
      <c r="E1107" s="23" t="s">
        <v>3189</v>
      </c>
      <c r="F1107" s="23" t="s">
        <v>3190</v>
      </c>
      <c r="G1107" s="23" t="s">
        <v>3191</v>
      </c>
      <c r="H1107" s="23" t="s">
        <v>3200</v>
      </c>
      <c r="I1107" s="22" t="s">
        <v>48</v>
      </c>
      <c r="J1107" s="21" t="s">
        <v>2610</v>
      </c>
      <c r="K1107" s="21"/>
      <c r="L1107" s="21"/>
      <c r="N1107" s="22" t="s">
        <v>694</v>
      </c>
      <c r="O1107" s="22" t="s">
        <v>3196</v>
      </c>
      <c r="P1107" s="21">
        <v>90313</v>
      </c>
      <c r="Q1107" s="22">
        <v>255</v>
      </c>
      <c r="R1107" s="22">
        <v>18</v>
      </c>
      <c r="S1107" s="22">
        <v>18</v>
      </c>
      <c r="T1107" s="21" t="s">
        <v>160</v>
      </c>
      <c r="U1107" s="22">
        <v>0.8</v>
      </c>
      <c r="V1107" s="22">
        <v>0.8</v>
      </c>
      <c r="W1107" s="24">
        <f t="shared" si="190"/>
        <v>15048.45</v>
      </c>
      <c r="X1107" s="25">
        <f t="shared" si="191"/>
        <v>51885.360000000008</v>
      </c>
      <c r="Y1107" s="21">
        <v>1</v>
      </c>
      <c r="Z1107" s="24">
        <f t="shared" si="185"/>
        <v>15048.45</v>
      </c>
      <c r="AA1107" s="24">
        <f t="shared" si="186"/>
        <v>51885.360000000008</v>
      </c>
      <c r="AJ1107" s="21">
        <v>65000</v>
      </c>
      <c r="AK1107" s="21">
        <v>260</v>
      </c>
      <c r="AL1107" s="22" t="s">
        <v>161</v>
      </c>
      <c r="AM1107" s="22">
        <v>0.11</v>
      </c>
      <c r="AO1107" s="22" t="s">
        <v>1517</v>
      </c>
      <c r="AP1107" s="22" t="s">
        <v>162</v>
      </c>
      <c r="AQ1107" s="22" t="str">
        <f t="shared" si="187"/>
        <v>Microphytoplankton</v>
      </c>
      <c r="AR1107" s="22">
        <v>0</v>
      </c>
      <c r="AS1107" s="22">
        <v>0</v>
      </c>
      <c r="AT1107" s="22">
        <v>0</v>
      </c>
      <c r="AU1107" s="22">
        <v>0</v>
      </c>
      <c r="AV1107" s="22">
        <v>0</v>
      </c>
      <c r="AW1107" s="22">
        <v>0</v>
      </c>
      <c r="AX1107" s="22">
        <v>0</v>
      </c>
      <c r="AY1107" s="22">
        <v>1</v>
      </c>
    </row>
    <row r="1108" spans="1:57">
      <c r="A1108" s="21" t="s">
        <v>3222</v>
      </c>
      <c r="B1108" s="22" t="s">
        <v>663</v>
      </c>
      <c r="C1108" s="23" t="s">
        <v>2223</v>
      </c>
      <c r="D1108" s="22" t="s">
        <v>3188</v>
      </c>
      <c r="E1108" s="23" t="s">
        <v>3189</v>
      </c>
      <c r="F1108" s="23" t="s">
        <v>3190</v>
      </c>
      <c r="G1108" s="23" t="s">
        <v>3191</v>
      </c>
      <c r="H1108" s="23" t="s">
        <v>3200</v>
      </c>
      <c r="I1108" s="22" t="s">
        <v>48</v>
      </c>
      <c r="J1108" s="21" t="s">
        <v>1680</v>
      </c>
      <c r="K1108" s="21"/>
      <c r="L1108" s="21"/>
      <c r="N1108" s="22" t="s">
        <v>3223</v>
      </c>
      <c r="O1108" s="22" t="s">
        <v>3196</v>
      </c>
      <c r="P1108" s="21">
        <v>90390</v>
      </c>
      <c r="Q1108" s="21">
        <v>660</v>
      </c>
      <c r="R1108" s="21">
        <v>95</v>
      </c>
      <c r="S1108" s="21">
        <v>95</v>
      </c>
      <c r="T1108" s="21" t="s">
        <v>160</v>
      </c>
      <c r="U1108" s="21">
        <v>1</v>
      </c>
      <c r="V1108" s="21">
        <v>1</v>
      </c>
      <c r="W1108" s="24">
        <f t="shared" si="190"/>
        <v>211047.25</v>
      </c>
      <c r="X1108" s="25">
        <f t="shared" si="191"/>
        <v>4675852.5</v>
      </c>
      <c r="Y1108" s="21">
        <v>1</v>
      </c>
      <c r="Z1108" s="24">
        <f t="shared" si="185"/>
        <v>211047.25</v>
      </c>
      <c r="AA1108" s="24">
        <f t="shared" si="186"/>
        <v>4675852.5</v>
      </c>
      <c r="AB1108" s="21"/>
      <c r="AC1108" s="21"/>
      <c r="AD1108" s="21"/>
      <c r="AE1108" s="21"/>
      <c r="AF1108" s="21"/>
      <c r="AG1108" s="21"/>
      <c r="AH1108" s="24"/>
      <c r="AI1108" s="24"/>
      <c r="AJ1108" s="21">
        <v>1559408.1</v>
      </c>
      <c r="AK1108" s="21">
        <v>660</v>
      </c>
      <c r="AL1108" s="22" t="s">
        <v>161</v>
      </c>
      <c r="AM1108" s="22">
        <v>0.11</v>
      </c>
      <c r="AO1108" s="22" t="s">
        <v>1517</v>
      </c>
      <c r="AP1108" s="22" t="s">
        <v>162</v>
      </c>
      <c r="AQ1108" s="22" t="str">
        <f t="shared" si="187"/>
        <v>Microphytoplankton</v>
      </c>
      <c r="AR1108" s="22">
        <v>0</v>
      </c>
      <c r="AS1108" s="22">
        <v>0</v>
      </c>
      <c r="AT1108" s="22">
        <v>0</v>
      </c>
      <c r="AU1108" s="22">
        <v>0</v>
      </c>
      <c r="AV1108" s="22">
        <v>0</v>
      </c>
      <c r="AW1108" s="22">
        <v>0</v>
      </c>
      <c r="AX1108" s="22">
        <v>0</v>
      </c>
      <c r="AY1108" s="22">
        <v>1</v>
      </c>
    </row>
    <row r="1109" spans="1:57">
      <c r="A1109" s="21" t="s">
        <v>3224</v>
      </c>
      <c r="B1109" s="22" t="s">
        <v>663</v>
      </c>
      <c r="C1109" s="23" t="s">
        <v>2223</v>
      </c>
      <c r="D1109" s="22" t="s">
        <v>3188</v>
      </c>
      <c r="E1109" s="23" t="s">
        <v>3189</v>
      </c>
      <c r="F1109" s="23" t="s">
        <v>3190</v>
      </c>
      <c r="G1109" s="23" t="s">
        <v>3191</v>
      </c>
      <c r="H1109" s="23" t="s">
        <v>3200</v>
      </c>
      <c r="I1109" s="22" t="s">
        <v>48</v>
      </c>
      <c r="J1109" s="21" t="s">
        <v>222</v>
      </c>
      <c r="K1109" s="21"/>
      <c r="L1109" s="21"/>
      <c r="N1109" s="22" t="s">
        <v>3225</v>
      </c>
      <c r="O1109" s="22" t="s">
        <v>3196</v>
      </c>
      <c r="P1109" s="21">
        <v>90360</v>
      </c>
      <c r="Q1109" s="21">
        <v>220</v>
      </c>
      <c r="R1109" s="21">
        <v>5</v>
      </c>
      <c r="S1109" s="21">
        <v>5</v>
      </c>
      <c r="T1109" s="21" t="s">
        <v>160</v>
      </c>
      <c r="U1109" s="21">
        <v>0.9</v>
      </c>
      <c r="V1109" s="21">
        <v>0.9</v>
      </c>
      <c r="W1109" s="24">
        <f t="shared" si="190"/>
        <v>3497.6111111111118</v>
      </c>
      <c r="X1109" s="25">
        <f t="shared" si="191"/>
        <v>3885.75</v>
      </c>
      <c r="Y1109" s="21">
        <v>1</v>
      </c>
      <c r="Z1109" s="24">
        <f t="shared" si="185"/>
        <v>3497.6111111111118</v>
      </c>
      <c r="AA1109" s="24">
        <f t="shared" si="186"/>
        <v>3885.75</v>
      </c>
      <c r="AB1109" s="21"/>
      <c r="AC1109" s="21"/>
      <c r="AD1109" s="21"/>
      <c r="AE1109" s="21"/>
      <c r="AF1109" s="21"/>
      <c r="AG1109" s="21"/>
      <c r="AH1109" s="24"/>
      <c r="AI1109" s="24"/>
      <c r="AJ1109" s="21">
        <v>3887.7</v>
      </c>
      <c r="AK1109" s="21">
        <v>220</v>
      </c>
      <c r="AL1109" s="22" t="s">
        <v>161</v>
      </c>
      <c r="AM1109" s="22">
        <v>0.11</v>
      </c>
      <c r="AO1109" s="22" t="s">
        <v>1517</v>
      </c>
      <c r="AP1109" s="22" t="s">
        <v>162</v>
      </c>
      <c r="AQ1109" s="22" t="str">
        <f t="shared" si="187"/>
        <v>Microphytoplankton</v>
      </c>
      <c r="AR1109" s="22">
        <v>0</v>
      </c>
      <c r="AS1109" s="22">
        <v>0</v>
      </c>
      <c r="AT1109" s="22">
        <v>0</v>
      </c>
      <c r="AU1109" s="22">
        <v>0</v>
      </c>
      <c r="AV1109" s="22">
        <v>0</v>
      </c>
      <c r="AW1109" s="22">
        <v>0</v>
      </c>
      <c r="AX1109" s="22">
        <v>0</v>
      </c>
      <c r="AY1109" s="22">
        <v>1</v>
      </c>
    </row>
    <row r="1110" spans="1:57">
      <c r="A1110" s="21" t="s">
        <v>3226</v>
      </c>
      <c r="B1110" s="22" t="s">
        <v>663</v>
      </c>
      <c r="C1110" s="23" t="s">
        <v>2223</v>
      </c>
      <c r="D1110" s="22" t="s">
        <v>3188</v>
      </c>
      <c r="E1110" s="23" t="s">
        <v>3189</v>
      </c>
      <c r="F1110" s="23" t="s">
        <v>3190</v>
      </c>
      <c r="G1110" s="23" t="s">
        <v>3191</v>
      </c>
      <c r="H1110" s="23" t="s">
        <v>3200</v>
      </c>
      <c r="I1110" s="22" t="s">
        <v>48</v>
      </c>
      <c r="J1110" s="21" t="s">
        <v>3227</v>
      </c>
      <c r="K1110" s="21"/>
      <c r="L1110" s="21"/>
      <c r="N1110" s="22" t="s">
        <v>3228</v>
      </c>
      <c r="O1110" s="22" t="s">
        <v>3196</v>
      </c>
      <c r="P1110" s="21">
        <v>90391</v>
      </c>
      <c r="Q1110" s="21">
        <v>35</v>
      </c>
      <c r="R1110" s="21">
        <v>3</v>
      </c>
      <c r="S1110" s="21">
        <v>3</v>
      </c>
      <c r="T1110" s="21" t="s">
        <v>160</v>
      </c>
      <c r="U1110" s="21">
        <v>0.7</v>
      </c>
      <c r="V1110" s="21">
        <v>0.7</v>
      </c>
      <c r="W1110" s="24">
        <f t="shared" si="190"/>
        <v>349.8857142857143</v>
      </c>
      <c r="X1110" s="25">
        <f t="shared" si="191"/>
        <v>173.0925</v>
      </c>
      <c r="Y1110" s="21">
        <v>1</v>
      </c>
      <c r="Z1110" s="24">
        <f t="shared" si="185"/>
        <v>349.8857142857143</v>
      </c>
      <c r="AA1110" s="24">
        <f t="shared" si="186"/>
        <v>173.0925</v>
      </c>
      <c r="AB1110" s="21"/>
      <c r="AC1110" s="21"/>
      <c r="AD1110" s="21"/>
      <c r="AE1110" s="21"/>
      <c r="AF1110" s="21"/>
      <c r="AG1110" s="21"/>
      <c r="AH1110" s="24"/>
      <c r="AI1110" s="24"/>
      <c r="AJ1110" s="21">
        <v>173.2</v>
      </c>
      <c r="AK1110" s="21">
        <v>35</v>
      </c>
      <c r="AL1110" s="22" t="s">
        <v>161</v>
      </c>
      <c r="AM1110" s="22">
        <v>0.11</v>
      </c>
      <c r="AO1110" s="22" t="s">
        <v>1517</v>
      </c>
      <c r="AP1110" s="22" t="s">
        <v>162</v>
      </c>
      <c r="AQ1110" s="22" t="str">
        <f t="shared" si="187"/>
        <v>Microphytoplankton</v>
      </c>
      <c r="AR1110" s="22">
        <v>0</v>
      </c>
      <c r="AS1110" s="22">
        <v>0</v>
      </c>
      <c r="AT1110" s="22">
        <v>0</v>
      </c>
      <c r="AU1110" s="22">
        <v>0</v>
      </c>
      <c r="AV1110" s="22">
        <v>0</v>
      </c>
      <c r="AW1110" s="22">
        <v>0</v>
      </c>
      <c r="AX1110" s="22">
        <v>0</v>
      </c>
      <c r="AY1110" s="22">
        <v>1</v>
      </c>
    </row>
    <row r="1111" spans="1:57">
      <c r="A1111" s="21" t="s">
        <v>3229</v>
      </c>
      <c r="B1111" s="22" t="s">
        <v>663</v>
      </c>
      <c r="C1111" s="23" t="s">
        <v>2223</v>
      </c>
      <c r="D1111" s="22" t="s">
        <v>3188</v>
      </c>
      <c r="E1111" s="23" t="s">
        <v>3189</v>
      </c>
      <c r="F1111" s="23" t="s">
        <v>3190</v>
      </c>
      <c r="G1111" s="23" t="s">
        <v>3191</v>
      </c>
      <c r="H1111" s="23" t="s">
        <v>3200</v>
      </c>
      <c r="I1111" s="22" t="s">
        <v>48</v>
      </c>
      <c r="J1111" s="21" t="s">
        <v>176</v>
      </c>
      <c r="K1111" s="21"/>
      <c r="L1111" s="21"/>
      <c r="N1111" s="22" t="s">
        <v>167</v>
      </c>
      <c r="O1111" s="22" t="s">
        <v>3196</v>
      </c>
      <c r="P1111" s="21">
        <v>90395</v>
      </c>
      <c r="Q1111" s="21">
        <v>167.5</v>
      </c>
      <c r="R1111" s="21">
        <v>5.2</v>
      </c>
      <c r="S1111" s="21">
        <v>5.2</v>
      </c>
      <c r="T1111" s="21" t="s">
        <v>160</v>
      </c>
      <c r="U1111" s="21">
        <v>0.7</v>
      </c>
      <c r="V1111" s="21">
        <v>0.7</v>
      </c>
      <c r="W1111" s="24">
        <f t="shared" si="190"/>
        <v>2795.5868571428578</v>
      </c>
      <c r="X1111" s="25">
        <f t="shared" si="191"/>
        <v>2488.7954</v>
      </c>
      <c r="Y1111" s="21">
        <v>1</v>
      </c>
      <c r="Z1111" s="24">
        <f t="shared" si="185"/>
        <v>2795.5868571428578</v>
      </c>
      <c r="AA1111" s="24">
        <f t="shared" si="186"/>
        <v>2488.7954</v>
      </c>
      <c r="AB1111" s="21"/>
      <c r="AC1111" s="21"/>
      <c r="AD1111" s="21"/>
      <c r="AE1111" s="21"/>
      <c r="AF1111" s="21"/>
      <c r="AG1111" s="21"/>
      <c r="AH1111" s="24"/>
      <c r="AI1111" s="24"/>
      <c r="AJ1111" s="21">
        <v>3170</v>
      </c>
      <c r="AK1111" s="21">
        <v>167.5</v>
      </c>
      <c r="AL1111" s="22" t="s">
        <v>161</v>
      </c>
      <c r="AM1111" s="22">
        <v>0.11</v>
      </c>
      <c r="AO1111" s="22" t="s">
        <v>1517</v>
      </c>
      <c r="AP1111" s="22" t="s">
        <v>162</v>
      </c>
      <c r="AQ1111" s="22" t="str">
        <f t="shared" si="187"/>
        <v>Microphytoplankton</v>
      </c>
      <c r="AR1111" s="22">
        <v>0</v>
      </c>
      <c r="AS1111" s="22">
        <v>0</v>
      </c>
      <c r="AT1111" s="22">
        <v>0</v>
      </c>
      <c r="AU1111" s="22">
        <v>0</v>
      </c>
      <c r="AV1111" s="22">
        <v>0</v>
      </c>
      <c r="AW1111" s="22">
        <v>0</v>
      </c>
      <c r="AX1111" s="22">
        <v>0</v>
      </c>
      <c r="AY1111" s="22">
        <v>1</v>
      </c>
    </row>
    <row r="1112" spans="1:57">
      <c r="A1112" s="21" t="s">
        <v>3230</v>
      </c>
      <c r="B1112" s="22" t="s">
        <v>663</v>
      </c>
      <c r="C1112" s="23" t="s">
        <v>2223</v>
      </c>
      <c r="D1112" s="22" t="s">
        <v>3188</v>
      </c>
      <c r="E1112" s="23" t="s">
        <v>3189</v>
      </c>
      <c r="F1112" s="23" t="s">
        <v>3190</v>
      </c>
      <c r="G1112" s="23" t="s">
        <v>3191</v>
      </c>
      <c r="H1112" s="23" t="s">
        <v>3200</v>
      </c>
      <c r="I1112" s="22" t="s">
        <v>48</v>
      </c>
      <c r="J1112" s="21" t="s">
        <v>3231</v>
      </c>
      <c r="K1112" s="21"/>
      <c r="L1112" s="21"/>
      <c r="N1112" s="22" t="s">
        <v>694</v>
      </c>
      <c r="O1112" s="22" t="s">
        <v>3196</v>
      </c>
      <c r="P1112" s="21">
        <v>90312</v>
      </c>
      <c r="Q1112" s="22">
        <v>400</v>
      </c>
      <c r="R1112" s="22">
        <v>23</v>
      </c>
      <c r="S1112" s="22">
        <v>23</v>
      </c>
      <c r="T1112" s="21" t="s">
        <v>160</v>
      </c>
      <c r="U1112" s="22">
        <v>0.8</v>
      </c>
      <c r="V1112" s="22">
        <v>0.8</v>
      </c>
      <c r="W1112" s="24">
        <f t="shared" si="190"/>
        <v>29926.162499999999</v>
      </c>
      <c r="X1112" s="25">
        <f t="shared" si="191"/>
        <v>132884.80000000002</v>
      </c>
      <c r="Y1112" s="21">
        <v>1</v>
      </c>
      <c r="Z1112" s="24">
        <f t="shared" si="185"/>
        <v>29926.162499999999</v>
      </c>
      <c r="AA1112" s="24">
        <f t="shared" si="186"/>
        <v>132884.80000000002</v>
      </c>
      <c r="AJ1112" s="21">
        <v>169000</v>
      </c>
      <c r="AK1112" s="21">
        <v>400</v>
      </c>
      <c r="AL1112" s="22" t="s">
        <v>161</v>
      </c>
      <c r="AM1112" s="22">
        <v>0.11</v>
      </c>
      <c r="AO1112" s="22" t="s">
        <v>1517</v>
      </c>
      <c r="AP1112" s="22" t="s">
        <v>162</v>
      </c>
      <c r="AQ1112" s="22" t="str">
        <f t="shared" si="187"/>
        <v>Microphytoplankton</v>
      </c>
      <c r="AR1112" s="22">
        <v>0</v>
      </c>
      <c r="AS1112" s="22">
        <v>0</v>
      </c>
      <c r="AT1112" s="22">
        <v>0</v>
      </c>
      <c r="AU1112" s="22">
        <v>0</v>
      </c>
      <c r="AV1112" s="22">
        <v>0</v>
      </c>
      <c r="AW1112" s="22">
        <v>0</v>
      </c>
      <c r="AX1112" s="22">
        <v>0</v>
      </c>
      <c r="AY1112" s="22">
        <v>1</v>
      </c>
    </row>
    <row r="1113" spans="1:57">
      <c r="A1113" s="21" t="s">
        <v>3232</v>
      </c>
      <c r="B1113" s="22" t="s">
        <v>663</v>
      </c>
      <c r="C1113" s="23" t="s">
        <v>2223</v>
      </c>
      <c r="D1113" s="22" t="s">
        <v>3188</v>
      </c>
      <c r="E1113" s="23" t="s">
        <v>3189</v>
      </c>
      <c r="F1113" s="23" t="s">
        <v>3190</v>
      </c>
      <c r="G1113" s="23" t="s">
        <v>3191</v>
      </c>
      <c r="H1113" s="23" t="s">
        <v>3200</v>
      </c>
      <c r="I1113" s="22" t="s">
        <v>48</v>
      </c>
      <c r="J1113" s="21" t="s">
        <v>3233</v>
      </c>
      <c r="K1113" s="21"/>
      <c r="L1113" s="21"/>
      <c r="N1113" s="22" t="s">
        <v>3234</v>
      </c>
      <c r="O1113" s="22" t="s">
        <v>3196</v>
      </c>
      <c r="P1113" s="21">
        <v>90380</v>
      </c>
      <c r="Q1113" s="21">
        <v>310</v>
      </c>
      <c r="R1113" s="21">
        <v>30</v>
      </c>
      <c r="S1113" s="21">
        <v>30</v>
      </c>
      <c r="T1113" s="21" t="s">
        <v>160</v>
      </c>
      <c r="U1113" s="21">
        <v>1</v>
      </c>
      <c r="V1113" s="21">
        <v>1</v>
      </c>
      <c r="W1113" s="24">
        <f t="shared" si="190"/>
        <v>30615</v>
      </c>
      <c r="X1113" s="25">
        <f t="shared" si="191"/>
        <v>219015</v>
      </c>
      <c r="Y1113" s="21">
        <v>1</v>
      </c>
      <c r="Z1113" s="24">
        <f t="shared" si="185"/>
        <v>30615</v>
      </c>
      <c r="AA1113" s="24">
        <f t="shared" si="186"/>
        <v>219015</v>
      </c>
      <c r="AB1113" s="21"/>
      <c r="AC1113" s="21"/>
      <c r="AD1113" s="21"/>
      <c r="AE1113" s="21"/>
      <c r="AF1113" s="21"/>
      <c r="AG1113" s="21"/>
      <c r="AH1113" s="24"/>
      <c r="AI1113" s="24"/>
      <c r="AJ1113" s="21">
        <v>73042</v>
      </c>
      <c r="AK1113" s="21">
        <v>310</v>
      </c>
      <c r="AL1113" s="22" t="s">
        <v>161</v>
      </c>
      <c r="AM1113" s="22">
        <v>0.11</v>
      </c>
      <c r="AO1113" s="22" t="s">
        <v>1517</v>
      </c>
      <c r="AP1113" s="22" t="s">
        <v>162</v>
      </c>
      <c r="AQ1113" s="22" t="str">
        <f t="shared" si="187"/>
        <v>Microphytoplankton</v>
      </c>
      <c r="AR1113" s="22">
        <v>0</v>
      </c>
      <c r="AS1113" s="22">
        <v>0</v>
      </c>
      <c r="AT1113" s="22">
        <v>0</v>
      </c>
      <c r="AU1113" s="22">
        <v>0</v>
      </c>
      <c r="AV1113" s="22">
        <v>0</v>
      </c>
      <c r="AW1113" s="22">
        <v>0</v>
      </c>
      <c r="AX1113" s="22">
        <v>0</v>
      </c>
      <c r="AY1113" s="22">
        <v>1</v>
      </c>
    </row>
    <row r="1114" spans="1:57">
      <c r="A1114" s="21" t="s">
        <v>3235</v>
      </c>
      <c r="B1114" s="22" t="s">
        <v>663</v>
      </c>
      <c r="C1114" s="23" t="s">
        <v>2223</v>
      </c>
      <c r="D1114" s="22" t="s">
        <v>3188</v>
      </c>
      <c r="E1114" s="23" t="s">
        <v>3189</v>
      </c>
      <c r="F1114" s="23" t="s">
        <v>3190</v>
      </c>
      <c r="G1114" s="23" t="s">
        <v>3191</v>
      </c>
      <c r="H1114" s="23" t="s">
        <v>3200</v>
      </c>
      <c r="I1114" s="22" t="s">
        <v>48</v>
      </c>
      <c r="J1114" s="21" t="s">
        <v>3236</v>
      </c>
      <c r="K1114" s="21"/>
      <c r="L1114" s="21"/>
      <c r="N1114" s="22" t="s">
        <v>409</v>
      </c>
      <c r="O1114" s="22" t="s">
        <v>3196</v>
      </c>
      <c r="P1114" s="21">
        <v>90340</v>
      </c>
      <c r="Q1114" s="21">
        <v>250</v>
      </c>
      <c r="R1114" s="21">
        <v>10</v>
      </c>
      <c r="S1114" s="21">
        <v>10</v>
      </c>
      <c r="T1114" s="21" t="s">
        <v>160</v>
      </c>
      <c r="U1114" s="21">
        <v>0.8</v>
      </c>
      <c r="V1114" s="21">
        <v>0.8</v>
      </c>
      <c r="W1114" s="24">
        <f t="shared" si="190"/>
        <v>8046.2500000000009</v>
      </c>
      <c r="X1114" s="25">
        <f t="shared" si="191"/>
        <v>15700</v>
      </c>
      <c r="Y1114" s="21">
        <v>1</v>
      </c>
      <c r="Z1114" s="24">
        <f t="shared" si="185"/>
        <v>8046.2500000000009</v>
      </c>
      <c r="AA1114" s="24">
        <f t="shared" si="186"/>
        <v>15700</v>
      </c>
      <c r="AB1114" s="21"/>
      <c r="AC1114" s="21"/>
      <c r="AD1114" s="21"/>
      <c r="AE1114" s="21"/>
      <c r="AF1114" s="21"/>
      <c r="AG1114" s="21"/>
      <c r="AH1114" s="24"/>
      <c r="AI1114" s="24"/>
      <c r="AJ1114" s="21">
        <v>15708</v>
      </c>
      <c r="AK1114" s="21">
        <v>250</v>
      </c>
      <c r="AL1114" s="22" t="s">
        <v>161</v>
      </c>
      <c r="AM1114" s="22">
        <v>0.11</v>
      </c>
      <c r="AO1114" s="22" t="s">
        <v>1517</v>
      </c>
      <c r="AP1114" s="22" t="s">
        <v>162</v>
      </c>
      <c r="AQ1114" s="22" t="str">
        <f t="shared" si="187"/>
        <v>Microphytoplankton</v>
      </c>
      <c r="AR1114" s="22">
        <v>0</v>
      </c>
      <c r="AS1114" s="22">
        <v>0</v>
      </c>
      <c r="AT1114" s="22">
        <v>0</v>
      </c>
      <c r="AU1114" s="22">
        <v>0</v>
      </c>
      <c r="AV1114" s="22">
        <v>0</v>
      </c>
      <c r="AW1114" s="22">
        <v>0</v>
      </c>
      <c r="AX1114" s="22">
        <v>0</v>
      </c>
      <c r="AY1114" s="22">
        <v>1</v>
      </c>
      <c r="AZ1114" s="22">
        <v>0</v>
      </c>
      <c r="BA1114" s="22">
        <v>0</v>
      </c>
      <c r="BB1114" s="22">
        <v>0</v>
      </c>
      <c r="BC1114" s="22">
        <v>1</v>
      </c>
      <c r="BD1114" s="22">
        <v>3</v>
      </c>
      <c r="BE1114" s="22">
        <v>6</v>
      </c>
    </row>
    <row r="1115" spans="1:57">
      <c r="A1115" s="21" t="s">
        <v>3237</v>
      </c>
      <c r="B1115" s="22" t="s">
        <v>663</v>
      </c>
      <c r="C1115" s="23" t="s">
        <v>2223</v>
      </c>
      <c r="D1115" s="22" t="s">
        <v>3188</v>
      </c>
      <c r="E1115" s="23" t="s">
        <v>3189</v>
      </c>
      <c r="F1115" s="23" t="s">
        <v>3190</v>
      </c>
      <c r="G1115" s="23" t="s">
        <v>3191</v>
      </c>
      <c r="H1115" s="23" t="s">
        <v>3200</v>
      </c>
      <c r="I1115" s="22" t="s">
        <v>48</v>
      </c>
      <c r="J1115" s="21" t="s">
        <v>1914</v>
      </c>
      <c r="K1115" s="21"/>
      <c r="L1115" s="21"/>
      <c r="N1115" s="22" t="s">
        <v>228</v>
      </c>
      <c r="O1115" s="22" t="s">
        <v>3196</v>
      </c>
      <c r="P1115" s="21">
        <v>90280</v>
      </c>
      <c r="Q1115" s="21">
        <v>100</v>
      </c>
      <c r="R1115" s="21">
        <v>15</v>
      </c>
      <c r="S1115" s="21">
        <v>15</v>
      </c>
      <c r="T1115" s="21" t="s">
        <v>160</v>
      </c>
      <c r="U1115" s="21">
        <v>1.2</v>
      </c>
      <c r="V1115" s="21">
        <v>1.2</v>
      </c>
      <c r="W1115" s="24">
        <f t="shared" si="190"/>
        <v>5004.375</v>
      </c>
      <c r="X1115" s="25">
        <f t="shared" si="191"/>
        <v>21195</v>
      </c>
      <c r="Y1115" s="21">
        <v>1</v>
      </c>
      <c r="Z1115" s="24">
        <f t="shared" si="185"/>
        <v>5004.375</v>
      </c>
      <c r="AA1115" s="24">
        <f t="shared" si="186"/>
        <v>21195</v>
      </c>
      <c r="AB1115" s="21"/>
      <c r="AC1115" s="21"/>
      <c r="AD1115" s="21"/>
      <c r="AE1115" s="21"/>
      <c r="AF1115" s="21"/>
      <c r="AG1115" s="21"/>
      <c r="AH1115" s="24"/>
      <c r="AI1115" s="24"/>
      <c r="AJ1115" s="21">
        <v>7068.6</v>
      </c>
      <c r="AK1115" s="21">
        <v>100</v>
      </c>
      <c r="AL1115" s="22" t="s">
        <v>161</v>
      </c>
      <c r="AM1115" s="22">
        <v>0.11</v>
      </c>
      <c r="AO1115" s="22" t="s">
        <v>1517</v>
      </c>
      <c r="AP1115" s="22" t="s">
        <v>162</v>
      </c>
      <c r="AQ1115" s="22" t="str">
        <f t="shared" si="187"/>
        <v>Microphytoplankton</v>
      </c>
      <c r="AR1115" s="22">
        <v>0</v>
      </c>
      <c r="AS1115" s="22">
        <v>0</v>
      </c>
      <c r="AT1115" s="22">
        <v>0</v>
      </c>
      <c r="AU1115" s="22">
        <v>0</v>
      </c>
      <c r="AV1115" s="22">
        <v>0</v>
      </c>
      <c r="AW1115" s="22">
        <v>0</v>
      </c>
      <c r="AX1115" s="22">
        <v>0</v>
      </c>
      <c r="AY1115" s="22">
        <v>1</v>
      </c>
    </row>
    <row r="1116" spans="1:57">
      <c r="A1116" s="22" t="s">
        <v>3238</v>
      </c>
      <c r="B1116" s="22" t="s">
        <v>663</v>
      </c>
      <c r="C1116" s="23" t="s">
        <v>2223</v>
      </c>
      <c r="D1116" s="22" t="s">
        <v>3188</v>
      </c>
      <c r="E1116" s="23" t="s">
        <v>3189</v>
      </c>
      <c r="F1116" s="23" t="s">
        <v>3190</v>
      </c>
      <c r="G1116" s="23" t="s">
        <v>3191</v>
      </c>
      <c r="H1116" s="23" t="s">
        <v>3200</v>
      </c>
      <c r="I1116" s="22" t="s">
        <v>48</v>
      </c>
      <c r="J1116" s="22" t="s">
        <v>3239</v>
      </c>
      <c r="N1116" s="22" t="s">
        <v>3207</v>
      </c>
      <c r="O1116" s="22" t="s">
        <v>3196</v>
      </c>
      <c r="P1116" s="21">
        <v>90316</v>
      </c>
      <c r="Q1116" s="22">
        <v>300</v>
      </c>
      <c r="R1116" s="22">
        <v>7.5</v>
      </c>
      <c r="S1116" s="22">
        <v>7.5</v>
      </c>
      <c r="T1116" s="22" t="s">
        <v>874</v>
      </c>
      <c r="U1116" s="22">
        <v>1</v>
      </c>
      <c r="V1116" s="22">
        <v>1</v>
      </c>
      <c r="W1116" s="24">
        <f>(4*3.14*(((Q1116^1.6*R1116^1.6+Q1116^1.6*S1116^1.6+R1116^1.6+S1116^1.6)/3)^(1/1.6)))*(1/V1116)</f>
        <v>21935.354094871433</v>
      </c>
      <c r="X1116" s="24">
        <f>3.14/12*R1116*S1116*Q1116*U1116</f>
        <v>4415.625</v>
      </c>
      <c r="Y1116" s="21">
        <v>1</v>
      </c>
      <c r="Z1116" s="24">
        <f t="shared" si="185"/>
        <v>21935.354094871433</v>
      </c>
      <c r="AA1116" s="24">
        <f t="shared" si="186"/>
        <v>4415.625</v>
      </c>
      <c r="AJ1116" s="21">
        <v>4415.625</v>
      </c>
      <c r="AK1116" s="21">
        <v>300</v>
      </c>
      <c r="AL1116" s="22" t="s">
        <v>161</v>
      </c>
      <c r="AM1116" s="22">
        <v>0.11</v>
      </c>
      <c r="AO1116" s="22" t="s">
        <v>1517</v>
      </c>
      <c r="AP1116" s="22" t="s">
        <v>162</v>
      </c>
      <c r="AQ1116" s="22" t="str">
        <f t="shared" si="187"/>
        <v>Microphytoplankton</v>
      </c>
      <c r="AR1116" s="22">
        <v>0</v>
      </c>
      <c r="AS1116" s="22">
        <v>0</v>
      </c>
      <c r="AT1116" s="22">
        <v>0</v>
      </c>
      <c r="AU1116" s="22">
        <v>0</v>
      </c>
      <c r="AV1116" s="22">
        <v>0</v>
      </c>
      <c r="AW1116" s="22">
        <v>0</v>
      </c>
      <c r="AX1116" s="22">
        <v>0</v>
      </c>
      <c r="AY1116" s="22">
        <v>1</v>
      </c>
    </row>
    <row r="1117" spans="1:57">
      <c r="A1117" s="21" t="s">
        <v>3240</v>
      </c>
      <c r="B1117" s="22" t="s">
        <v>663</v>
      </c>
      <c r="C1117" s="23" t="s">
        <v>2223</v>
      </c>
      <c r="D1117" s="22" t="s">
        <v>3188</v>
      </c>
      <c r="E1117" s="23" t="s">
        <v>3189</v>
      </c>
      <c r="F1117" s="23" t="s">
        <v>3190</v>
      </c>
      <c r="G1117" s="23" t="s">
        <v>3191</v>
      </c>
      <c r="H1117" s="23" t="s">
        <v>3200</v>
      </c>
      <c r="I1117" s="22" t="s">
        <v>48</v>
      </c>
      <c r="J1117" s="21" t="s">
        <v>211</v>
      </c>
      <c r="K1117" s="21"/>
      <c r="L1117" s="21"/>
      <c r="M1117" s="22" t="s">
        <v>1</v>
      </c>
      <c r="N1117" s="22" t="s">
        <v>3241</v>
      </c>
      <c r="O1117" s="22" t="s">
        <v>3196</v>
      </c>
      <c r="P1117" s="21">
        <v>90300</v>
      </c>
      <c r="Q1117" s="21">
        <v>175</v>
      </c>
      <c r="R1117" s="21">
        <v>28</v>
      </c>
      <c r="S1117" s="21">
        <v>28</v>
      </c>
      <c r="T1117" s="21" t="s">
        <v>160</v>
      </c>
      <c r="U1117" s="21">
        <v>1</v>
      </c>
      <c r="V1117" s="21">
        <v>1</v>
      </c>
      <c r="W1117" s="24">
        <f>3.14*R1117*Q1117+2*3.14*(S1117/2)^2/V1117</f>
        <v>16616.88</v>
      </c>
      <c r="X1117" s="25">
        <f>(3.14/4*R1117^2*Q1117)*U1117</f>
        <v>107702.00000000001</v>
      </c>
      <c r="Y1117" s="21">
        <v>1</v>
      </c>
      <c r="Z1117" s="24">
        <f t="shared" si="185"/>
        <v>16616.88</v>
      </c>
      <c r="AA1117" s="24">
        <f t="shared" si="186"/>
        <v>107702.00000000001</v>
      </c>
      <c r="AB1117" s="21"/>
      <c r="AC1117" s="21"/>
      <c r="AD1117" s="21"/>
      <c r="AE1117" s="21"/>
      <c r="AF1117" s="21"/>
      <c r="AG1117" s="21"/>
      <c r="AH1117" s="24"/>
      <c r="AI1117" s="24"/>
      <c r="AJ1117" s="21">
        <v>71837.8</v>
      </c>
      <c r="AK1117" s="21">
        <v>175</v>
      </c>
      <c r="AL1117" s="22" t="s">
        <v>161</v>
      </c>
      <c r="AM1117" s="22">
        <v>0.11</v>
      </c>
      <c r="AO1117" s="22" t="s">
        <v>1517</v>
      </c>
      <c r="AP1117" s="22" t="s">
        <v>162</v>
      </c>
      <c r="AQ1117" s="22" t="str">
        <f t="shared" si="187"/>
        <v>Microphytoplankton</v>
      </c>
      <c r="AR1117" s="22">
        <v>0</v>
      </c>
      <c r="AS1117" s="22">
        <v>0</v>
      </c>
      <c r="AT1117" s="22">
        <v>0</v>
      </c>
      <c r="AU1117" s="22">
        <v>0</v>
      </c>
      <c r="AV1117" s="22">
        <v>0</v>
      </c>
      <c r="AW1117" s="22">
        <v>0</v>
      </c>
      <c r="AX1117" s="22">
        <v>0</v>
      </c>
      <c r="AY1117" s="22">
        <v>1</v>
      </c>
    </row>
    <row r="1118" spans="1:57">
      <c r="A1118" s="21" t="s">
        <v>3242</v>
      </c>
      <c r="B1118" s="22" t="s">
        <v>663</v>
      </c>
      <c r="C1118" s="23" t="s">
        <v>2223</v>
      </c>
      <c r="D1118" s="22" t="s">
        <v>3188</v>
      </c>
      <c r="E1118" s="23" t="s">
        <v>3189</v>
      </c>
      <c r="F1118" s="23" t="s">
        <v>3190</v>
      </c>
      <c r="G1118" s="23" t="s">
        <v>3191</v>
      </c>
      <c r="H1118" s="23" t="s">
        <v>3200</v>
      </c>
      <c r="I1118" s="22" t="s">
        <v>48</v>
      </c>
      <c r="J1118" s="21" t="s">
        <v>1175</v>
      </c>
      <c r="K1118" s="21"/>
      <c r="L1118" s="21"/>
      <c r="M1118" s="22" t="s">
        <v>1</v>
      </c>
      <c r="N1118" s="22" t="s">
        <v>3243</v>
      </c>
      <c r="O1118" s="22" t="s">
        <v>3196</v>
      </c>
      <c r="P1118" s="21">
        <v>90350</v>
      </c>
      <c r="Q1118" s="21">
        <v>19.399999999999999</v>
      </c>
      <c r="R1118" s="21">
        <v>5.4</v>
      </c>
      <c r="S1118" s="21">
        <v>4</v>
      </c>
      <c r="T1118" s="21" t="s">
        <v>160</v>
      </c>
      <c r="U1118" s="21">
        <v>0.9</v>
      </c>
      <c r="V1118" s="21">
        <v>0.9</v>
      </c>
      <c r="W1118" s="24">
        <f>3.14*R1118*Q1118+2*3.14*(S1118/2)^2/V1118</f>
        <v>356.85751111111114</v>
      </c>
      <c r="X1118" s="25">
        <f>(3.14/4*R1118^2*Q1118)*U1118</f>
        <v>399.66987600000004</v>
      </c>
      <c r="Y1118" s="21">
        <v>1</v>
      </c>
      <c r="Z1118" s="24">
        <f t="shared" si="185"/>
        <v>356.85751111111114</v>
      </c>
      <c r="AA1118" s="24">
        <f t="shared" si="186"/>
        <v>399.66987600000004</v>
      </c>
      <c r="AB1118" s="21"/>
      <c r="AC1118" s="21"/>
      <c r="AD1118" s="21"/>
      <c r="AE1118" s="21"/>
      <c r="AF1118" s="21"/>
      <c r="AG1118" s="21"/>
      <c r="AH1118" s="24"/>
      <c r="AI1118" s="24"/>
      <c r="AJ1118" s="21">
        <v>377</v>
      </c>
      <c r="AK1118" s="21">
        <v>19.399999999999999</v>
      </c>
      <c r="AL1118" s="22" t="s">
        <v>161</v>
      </c>
      <c r="AM1118" s="22">
        <v>0.11</v>
      </c>
      <c r="AO1118" s="22" t="s">
        <v>1517</v>
      </c>
      <c r="AP1118" s="22" t="s">
        <v>162</v>
      </c>
      <c r="AQ1118" s="22" t="str">
        <f t="shared" si="187"/>
        <v>Nanophytoplankton</v>
      </c>
      <c r="AR1118" s="22">
        <v>0</v>
      </c>
      <c r="AS1118" s="22">
        <v>0</v>
      </c>
      <c r="AT1118" s="22">
        <v>0</v>
      </c>
      <c r="AU1118" s="22">
        <v>0</v>
      </c>
      <c r="AV1118" s="22">
        <v>0</v>
      </c>
      <c r="AW1118" s="22">
        <v>0</v>
      </c>
      <c r="AX1118" s="22">
        <v>0</v>
      </c>
      <c r="AY1118" s="22">
        <v>1</v>
      </c>
    </row>
    <row r="1119" spans="1:57">
      <c r="A1119" s="22" t="s">
        <v>3244</v>
      </c>
      <c r="B1119" s="22" t="s">
        <v>663</v>
      </c>
      <c r="C1119" s="23" t="s">
        <v>2223</v>
      </c>
      <c r="D1119" s="22" t="s">
        <v>3188</v>
      </c>
      <c r="E1119" s="23" t="s">
        <v>3189</v>
      </c>
      <c r="F1119" s="23" t="s">
        <v>3190</v>
      </c>
      <c r="G1119" s="23" t="s">
        <v>3191</v>
      </c>
      <c r="H1119" s="23" t="s">
        <v>3200</v>
      </c>
      <c r="I1119" s="22" t="s">
        <v>48</v>
      </c>
      <c r="J1119" s="22" t="s">
        <v>3245</v>
      </c>
      <c r="N1119" s="22" t="s">
        <v>3207</v>
      </c>
      <c r="O1119" s="22" t="s">
        <v>3196</v>
      </c>
      <c r="P1119" s="21">
        <v>90317</v>
      </c>
      <c r="Q1119" s="22">
        <v>250</v>
      </c>
      <c r="R1119" s="22">
        <v>14</v>
      </c>
      <c r="S1119" s="22">
        <v>5</v>
      </c>
      <c r="T1119" s="22" t="s">
        <v>874</v>
      </c>
      <c r="U1119" s="22">
        <v>1</v>
      </c>
      <c r="V1119" s="22">
        <v>1</v>
      </c>
      <c r="W1119" s="24">
        <f>(4*3.14*(((Q1119^1.6*R1119^1.6+Q1119^1.6*S1119^1.6+R1119^1.6+S1119^1.6)/3)^(1/1.6)))*(1/V1119)</f>
        <v>24699.870067975764</v>
      </c>
      <c r="X1119" s="24">
        <f>3.14/12*R1119*S1119*Q1119*U1119</f>
        <v>4579.166666666667</v>
      </c>
      <c r="Y1119" s="21">
        <v>1</v>
      </c>
      <c r="Z1119" s="24">
        <f t="shared" si="185"/>
        <v>24699.870067975764</v>
      </c>
      <c r="AA1119" s="24">
        <f t="shared" si="186"/>
        <v>4579.166666666667</v>
      </c>
      <c r="AJ1119" s="21">
        <v>12821.666666666666</v>
      </c>
      <c r="AK1119" s="21">
        <v>250</v>
      </c>
      <c r="AL1119" s="22" t="s">
        <v>161</v>
      </c>
      <c r="AM1119" s="22">
        <v>0.11</v>
      </c>
      <c r="AN1119" s="22" t="s">
        <v>1517</v>
      </c>
      <c r="AO1119" s="22" t="s">
        <v>1517</v>
      </c>
      <c r="AP1119" s="22" t="s">
        <v>162</v>
      </c>
      <c r="AQ1119" s="22" t="str">
        <f t="shared" si="187"/>
        <v>Microphytoplankton</v>
      </c>
      <c r="AR1119" s="22">
        <v>0</v>
      </c>
      <c r="AS1119" s="22">
        <v>0</v>
      </c>
      <c r="AT1119" s="22">
        <v>0</v>
      </c>
      <c r="AU1119" s="22">
        <v>0</v>
      </c>
      <c r="AV1119" s="22">
        <v>0</v>
      </c>
      <c r="AW1119" s="22">
        <v>0</v>
      </c>
      <c r="AX1119" s="22">
        <v>0</v>
      </c>
      <c r="AY1119" s="22">
        <v>1</v>
      </c>
    </row>
    <row r="1120" spans="1:57">
      <c r="A1120" s="21" t="s">
        <v>3246</v>
      </c>
      <c r="B1120" s="22" t="s">
        <v>663</v>
      </c>
      <c r="C1120" s="23" t="s">
        <v>2223</v>
      </c>
      <c r="D1120" s="22" t="s">
        <v>3188</v>
      </c>
      <c r="E1120" s="23" t="s">
        <v>3189</v>
      </c>
      <c r="F1120" s="23" t="s">
        <v>3190</v>
      </c>
      <c r="G1120" s="23" t="s">
        <v>3191</v>
      </c>
      <c r="H1120" s="23" t="s">
        <v>3200</v>
      </c>
      <c r="I1120" s="22" t="s">
        <v>48</v>
      </c>
      <c r="J1120" s="21" t="s">
        <v>3247</v>
      </c>
      <c r="K1120" s="21"/>
      <c r="L1120" s="21"/>
      <c r="N1120" s="22" t="s">
        <v>3234</v>
      </c>
      <c r="O1120" s="22" t="s">
        <v>3196</v>
      </c>
      <c r="P1120" s="21">
        <v>90385</v>
      </c>
      <c r="Q1120" s="21">
        <v>380</v>
      </c>
      <c r="R1120" s="21">
        <v>35</v>
      </c>
      <c r="S1120" s="21">
        <v>35</v>
      </c>
      <c r="T1120" s="21" t="s">
        <v>160</v>
      </c>
      <c r="U1120" s="21">
        <v>0.9</v>
      </c>
      <c r="V1120" s="21">
        <v>0.9</v>
      </c>
      <c r="W1120" s="24">
        <f>3.14*R1120*Q1120+2*3.14*(S1120/2)^2/V1120</f>
        <v>43898.944444444445</v>
      </c>
      <c r="X1120" s="25">
        <f>(3.14/4*R1120^2*Q1120)*U1120</f>
        <v>328875.75</v>
      </c>
      <c r="Y1120" s="21">
        <v>1</v>
      </c>
      <c r="Z1120" s="24">
        <f t="shared" si="185"/>
        <v>43898.944444444445</v>
      </c>
      <c r="AA1120" s="24">
        <f t="shared" si="186"/>
        <v>328875.75</v>
      </c>
      <c r="AB1120" s="21"/>
      <c r="AC1120" s="21"/>
      <c r="AD1120" s="21"/>
      <c r="AE1120" s="21"/>
      <c r="AF1120" s="21"/>
      <c r="AG1120" s="21"/>
      <c r="AH1120" s="24"/>
      <c r="AI1120" s="24"/>
      <c r="AJ1120" s="21">
        <v>365604</v>
      </c>
      <c r="AK1120" s="21">
        <v>380</v>
      </c>
      <c r="AL1120" s="22" t="s">
        <v>161</v>
      </c>
      <c r="AM1120" s="22">
        <v>0.11</v>
      </c>
      <c r="AO1120" s="22" t="s">
        <v>1517</v>
      </c>
      <c r="AP1120" s="22" t="s">
        <v>162</v>
      </c>
      <c r="AQ1120" s="22" t="str">
        <f t="shared" si="187"/>
        <v>Microphytoplankton</v>
      </c>
      <c r="AR1120" s="22">
        <v>0</v>
      </c>
      <c r="AS1120" s="22">
        <v>0</v>
      </c>
      <c r="AT1120" s="22">
        <v>0</v>
      </c>
      <c r="AU1120" s="22">
        <v>0</v>
      </c>
      <c r="AV1120" s="22">
        <v>0</v>
      </c>
      <c r="AW1120" s="22">
        <v>0</v>
      </c>
      <c r="AX1120" s="22">
        <v>0</v>
      </c>
      <c r="AY1120" s="22">
        <v>1</v>
      </c>
      <c r="AZ1120" s="22">
        <v>0</v>
      </c>
      <c r="BA1120" s="22">
        <v>0</v>
      </c>
      <c r="BB1120" s="22">
        <v>0</v>
      </c>
      <c r="BC1120" s="22">
        <v>1</v>
      </c>
      <c r="BD1120" s="22">
        <v>3</v>
      </c>
      <c r="BE1120" s="22">
        <v>6</v>
      </c>
    </row>
    <row r="1121" spans="1:57">
      <c r="A1121" s="22" t="s">
        <v>3248</v>
      </c>
      <c r="B1121" s="22" t="s">
        <v>663</v>
      </c>
      <c r="C1121" s="23" t="s">
        <v>2223</v>
      </c>
      <c r="D1121" s="22" t="s">
        <v>3188</v>
      </c>
      <c r="E1121" s="23" t="s">
        <v>3189</v>
      </c>
      <c r="F1121" s="23" t="s">
        <v>3190</v>
      </c>
      <c r="G1121" s="23" t="s">
        <v>3191</v>
      </c>
      <c r="H1121" s="23" t="s">
        <v>3200</v>
      </c>
      <c r="I1121" s="22" t="s">
        <v>48</v>
      </c>
      <c r="J1121" s="22" t="s">
        <v>3249</v>
      </c>
      <c r="K1121" s="22" t="s">
        <v>175</v>
      </c>
      <c r="L1121" s="22" t="s">
        <v>3250</v>
      </c>
      <c r="N1121" s="22" t="s">
        <v>3251</v>
      </c>
      <c r="O1121" s="22" t="s">
        <v>3196</v>
      </c>
      <c r="P1121" s="21">
        <v>90318</v>
      </c>
      <c r="Q1121" s="22">
        <v>67</v>
      </c>
      <c r="R1121" s="22">
        <v>9.5</v>
      </c>
      <c r="S1121" s="22">
        <v>9.5</v>
      </c>
      <c r="T1121" s="22" t="s">
        <v>874</v>
      </c>
      <c r="U1121" s="22">
        <v>1</v>
      </c>
      <c r="V1121" s="22">
        <v>1</v>
      </c>
      <c r="W1121" s="24">
        <f t="shared" ref="W1121:W1141" si="192">(4*3.14*(((Q1121^1.6*R1121^1.6+Q1121^1.6*S1121^1.6+R1121^1.6+S1121^1.6)/3)^(1/1.6)))*(1/V1121)</f>
        <v>6209.4889971698285</v>
      </c>
      <c r="X1121" s="24">
        <f>3.14/12*R1121*S1121*Q1121*U1121</f>
        <v>1582.2329166666668</v>
      </c>
      <c r="Y1121" s="21">
        <v>1</v>
      </c>
      <c r="Z1121" s="24">
        <f t="shared" si="185"/>
        <v>6209.4889971698285</v>
      </c>
      <c r="AA1121" s="24">
        <f t="shared" si="186"/>
        <v>1582.2329166666668</v>
      </c>
      <c r="AJ1121" s="21">
        <v>1582.2329166666666</v>
      </c>
      <c r="AK1121" s="21">
        <v>67</v>
      </c>
      <c r="AL1121" s="22" t="s">
        <v>161</v>
      </c>
      <c r="AM1121" s="22">
        <v>0.11</v>
      </c>
      <c r="AO1121" s="22" t="s">
        <v>1517</v>
      </c>
      <c r="AP1121" s="22" t="s">
        <v>162</v>
      </c>
      <c r="AQ1121" s="22" t="str">
        <f t="shared" si="187"/>
        <v>Microphytoplankton</v>
      </c>
      <c r="AR1121" s="22">
        <v>0</v>
      </c>
      <c r="AS1121" s="22">
        <v>0</v>
      </c>
      <c r="AT1121" s="22">
        <v>0</v>
      </c>
      <c r="AU1121" s="22">
        <v>0</v>
      </c>
      <c r="AV1121" s="22">
        <v>0</v>
      </c>
      <c r="AW1121" s="22">
        <v>0</v>
      </c>
      <c r="AX1121" s="22">
        <v>0</v>
      </c>
      <c r="AY1121" s="22">
        <v>1</v>
      </c>
    </row>
    <row r="1122" spans="1:57">
      <c r="A1122" s="21" t="s">
        <v>3252</v>
      </c>
      <c r="B1122" s="22" t="s">
        <v>663</v>
      </c>
      <c r="C1122" s="23" t="s">
        <v>2223</v>
      </c>
      <c r="D1122" s="22" t="s">
        <v>3188</v>
      </c>
      <c r="E1122" s="23" t="s">
        <v>3189</v>
      </c>
      <c r="F1122" s="23" t="s">
        <v>3190</v>
      </c>
      <c r="G1122" s="23" t="s">
        <v>3191</v>
      </c>
      <c r="H1122" s="23" t="s">
        <v>3192</v>
      </c>
      <c r="I1122" s="22" t="s">
        <v>3253</v>
      </c>
      <c r="J1122" s="21" t="s">
        <v>3254</v>
      </c>
      <c r="K1122" s="21"/>
      <c r="L1122" s="21"/>
      <c r="N1122" s="22" t="s">
        <v>3255</v>
      </c>
      <c r="O1122" s="22" t="s">
        <v>3196</v>
      </c>
      <c r="P1122" s="21">
        <v>90405</v>
      </c>
      <c r="Q1122" s="21">
        <v>10</v>
      </c>
      <c r="R1122" s="21">
        <v>10</v>
      </c>
      <c r="S1122" s="21">
        <v>7</v>
      </c>
      <c r="T1122" s="21" t="s">
        <v>281</v>
      </c>
      <c r="U1122" s="21">
        <v>1</v>
      </c>
      <c r="V1122" s="21">
        <v>1</v>
      </c>
      <c r="W1122" s="24">
        <f t="shared" si="192"/>
        <v>849.41255259792024</v>
      </c>
      <c r="X1122" s="24">
        <f t="shared" ref="X1122:X1141" si="193">3.14/6*Q1122*R1122*S1122*U1122</f>
        <v>366.33333333333337</v>
      </c>
      <c r="Y1122" s="21">
        <v>1</v>
      </c>
      <c r="Z1122" s="24">
        <f t="shared" si="185"/>
        <v>849.41255259792024</v>
      </c>
      <c r="AA1122" s="24">
        <f t="shared" si="186"/>
        <v>366.33333333333337</v>
      </c>
      <c r="AB1122" s="21"/>
      <c r="AC1122" s="21"/>
      <c r="AD1122" s="21"/>
      <c r="AE1122" s="21"/>
      <c r="AF1122" s="21"/>
      <c r="AG1122" s="21"/>
      <c r="AH1122" s="24"/>
      <c r="AI1122" s="24"/>
      <c r="AJ1122" s="21">
        <v>366.5</v>
      </c>
      <c r="AK1122" s="21">
        <v>10</v>
      </c>
      <c r="AL1122" s="22" t="s">
        <v>161</v>
      </c>
      <c r="AM1122" s="22">
        <v>0.11</v>
      </c>
      <c r="AN1122" s="22" t="s">
        <v>2206</v>
      </c>
      <c r="AO1122" s="22" t="s">
        <v>2206</v>
      </c>
      <c r="AP1122" s="22" t="s">
        <v>162</v>
      </c>
      <c r="AQ1122" s="22" t="str">
        <f t="shared" si="187"/>
        <v>Nanophytoplankton</v>
      </c>
      <c r="AR1122" s="22">
        <v>0</v>
      </c>
      <c r="AS1122" s="22">
        <v>0</v>
      </c>
      <c r="AT1122" s="22">
        <v>0</v>
      </c>
      <c r="AU1122" s="22">
        <v>0</v>
      </c>
      <c r="AV1122" s="22">
        <v>0</v>
      </c>
      <c r="AW1122" s="22">
        <v>0</v>
      </c>
      <c r="AX1122" s="22">
        <v>0</v>
      </c>
      <c r="AY1122" s="22">
        <v>1</v>
      </c>
    </row>
    <row r="1123" spans="1:57">
      <c r="A1123" s="21" t="s">
        <v>3256</v>
      </c>
      <c r="B1123" s="22" t="s">
        <v>663</v>
      </c>
      <c r="C1123" s="23" t="s">
        <v>2223</v>
      </c>
      <c r="D1123" s="22" t="s">
        <v>3188</v>
      </c>
      <c r="E1123" s="23" t="s">
        <v>3189</v>
      </c>
      <c r="F1123" s="23" t="s">
        <v>3190</v>
      </c>
      <c r="G1123" s="23" t="s">
        <v>3191</v>
      </c>
      <c r="H1123" s="23" t="s">
        <v>3192</v>
      </c>
      <c r="I1123" s="22" t="s">
        <v>3253</v>
      </c>
      <c r="J1123" s="21" t="s">
        <v>3254</v>
      </c>
      <c r="K1123" s="21" t="s">
        <v>184</v>
      </c>
      <c r="L1123" s="21" t="s">
        <v>1294</v>
      </c>
      <c r="N1123" s="22" t="s">
        <v>3257</v>
      </c>
      <c r="O1123" s="22" t="s">
        <v>3196</v>
      </c>
      <c r="P1123" s="21">
        <v>90406</v>
      </c>
      <c r="Q1123" s="21">
        <v>10</v>
      </c>
      <c r="R1123" s="21">
        <v>10</v>
      </c>
      <c r="S1123" s="21">
        <v>7</v>
      </c>
      <c r="T1123" s="21" t="s">
        <v>281</v>
      </c>
      <c r="U1123" s="21">
        <v>1</v>
      </c>
      <c r="V1123" s="21">
        <v>1</v>
      </c>
      <c r="W1123" s="24">
        <f t="shared" si="192"/>
        <v>849.41255259792024</v>
      </c>
      <c r="X1123" s="24">
        <f t="shared" si="193"/>
        <v>366.33333333333337</v>
      </c>
      <c r="Y1123" s="21">
        <v>1</v>
      </c>
      <c r="Z1123" s="24">
        <f t="shared" si="185"/>
        <v>849.41255259792024</v>
      </c>
      <c r="AA1123" s="24">
        <f t="shared" si="186"/>
        <v>366.33333333333337</v>
      </c>
      <c r="AB1123" s="21"/>
      <c r="AC1123" s="21"/>
      <c r="AD1123" s="21"/>
      <c r="AE1123" s="21"/>
      <c r="AF1123" s="21"/>
      <c r="AG1123" s="21"/>
      <c r="AH1123" s="24"/>
      <c r="AI1123" s="24"/>
      <c r="AJ1123" s="21">
        <v>366.33333333333337</v>
      </c>
      <c r="AK1123" s="21">
        <v>10</v>
      </c>
      <c r="AL1123" s="22" t="s">
        <v>3258</v>
      </c>
      <c r="AM1123" s="22">
        <v>0.11</v>
      </c>
      <c r="AN1123" s="22" t="s">
        <v>2206</v>
      </c>
      <c r="AO1123" s="22" t="s">
        <v>2206</v>
      </c>
      <c r="AP1123" s="22" t="s">
        <v>162</v>
      </c>
      <c r="AQ1123" s="22" t="str">
        <f t="shared" si="187"/>
        <v>Nanophytoplankton</v>
      </c>
      <c r="AR1123" s="22">
        <v>0</v>
      </c>
      <c r="AS1123" s="22">
        <v>0</v>
      </c>
      <c r="AT1123" s="22">
        <v>0</v>
      </c>
      <c r="AU1123" s="22">
        <v>0</v>
      </c>
      <c r="AV1123" s="22">
        <v>0</v>
      </c>
      <c r="AW1123" s="22">
        <v>0</v>
      </c>
      <c r="AX1123" s="22">
        <v>0</v>
      </c>
      <c r="AY1123" s="22">
        <v>1</v>
      </c>
    </row>
    <row r="1124" spans="1:57">
      <c r="A1124" s="21" t="s">
        <v>3259</v>
      </c>
      <c r="B1124" s="22" t="s">
        <v>663</v>
      </c>
      <c r="C1124" s="23" t="s">
        <v>2223</v>
      </c>
      <c r="D1124" s="22" t="s">
        <v>3188</v>
      </c>
      <c r="E1124" s="23" t="s">
        <v>3189</v>
      </c>
      <c r="F1124" s="23" t="s">
        <v>3190</v>
      </c>
      <c r="G1124" s="23" t="s">
        <v>3191</v>
      </c>
      <c r="H1124" s="23" t="s">
        <v>3192</v>
      </c>
      <c r="I1124" s="22" t="s">
        <v>3253</v>
      </c>
      <c r="J1124" s="21" t="s">
        <v>3260</v>
      </c>
      <c r="K1124" s="21"/>
      <c r="L1124" s="21"/>
      <c r="N1124" s="22" t="s">
        <v>3261</v>
      </c>
      <c r="O1124" s="22" t="s">
        <v>3196</v>
      </c>
      <c r="P1124" s="21">
        <v>90470</v>
      </c>
      <c r="Q1124" s="21">
        <v>54</v>
      </c>
      <c r="R1124" s="21">
        <v>46</v>
      </c>
      <c r="S1124" s="21">
        <v>27</v>
      </c>
      <c r="T1124" s="21" t="s">
        <v>281</v>
      </c>
      <c r="U1124" s="21">
        <v>1</v>
      </c>
      <c r="V1124" s="21">
        <v>1</v>
      </c>
      <c r="W1124" s="24">
        <f t="shared" si="192"/>
        <v>19624.156598540489</v>
      </c>
      <c r="X1124" s="24">
        <f t="shared" si="193"/>
        <v>35098.92</v>
      </c>
      <c r="Y1124" s="21">
        <v>1</v>
      </c>
      <c r="Z1124" s="24">
        <f t="shared" si="185"/>
        <v>19624.156598540489</v>
      </c>
      <c r="AA1124" s="24">
        <f t="shared" si="186"/>
        <v>35098.92</v>
      </c>
      <c r="AB1124" s="21"/>
      <c r="AC1124" s="21"/>
      <c r="AD1124" s="21"/>
      <c r="AE1124" s="21"/>
      <c r="AF1124" s="21"/>
      <c r="AG1124" s="21"/>
      <c r="AH1124" s="24"/>
      <c r="AI1124" s="24"/>
      <c r="AJ1124" s="21">
        <v>35116.699999999997</v>
      </c>
      <c r="AK1124" s="21">
        <v>54</v>
      </c>
      <c r="AL1124" s="22" t="s">
        <v>161</v>
      </c>
      <c r="AM1124" s="22">
        <v>0.11</v>
      </c>
      <c r="AN1124" s="22" t="s">
        <v>2206</v>
      </c>
      <c r="AO1124" s="22" t="s">
        <v>2206</v>
      </c>
      <c r="AP1124" s="22" t="s">
        <v>162</v>
      </c>
      <c r="AQ1124" s="22" t="str">
        <f t="shared" si="187"/>
        <v>Microphytoplankton</v>
      </c>
      <c r="AR1124" s="22">
        <v>0</v>
      </c>
      <c r="AS1124" s="22">
        <v>0</v>
      </c>
      <c r="AT1124" s="22">
        <v>0</v>
      </c>
      <c r="AU1124" s="22">
        <v>0</v>
      </c>
      <c r="AV1124" s="22">
        <v>0</v>
      </c>
      <c r="AW1124" s="22">
        <v>0</v>
      </c>
      <c r="AX1124" s="22">
        <v>0</v>
      </c>
      <c r="AY1124" s="22">
        <v>1</v>
      </c>
    </row>
    <row r="1125" spans="1:57">
      <c r="A1125" s="22" t="s">
        <v>3262</v>
      </c>
      <c r="B1125" s="22" t="s">
        <v>663</v>
      </c>
      <c r="C1125" s="23" t="s">
        <v>2223</v>
      </c>
      <c r="D1125" s="22" t="s">
        <v>3188</v>
      </c>
      <c r="E1125" s="23" t="s">
        <v>3189</v>
      </c>
      <c r="F1125" s="23" t="s">
        <v>3190</v>
      </c>
      <c r="G1125" s="23" t="s">
        <v>3191</v>
      </c>
      <c r="H1125" s="23" t="s">
        <v>3192</v>
      </c>
      <c r="I1125" s="22" t="s">
        <v>3253</v>
      </c>
      <c r="J1125" s="22" t="s">
        <v>3263</v>
      </c>
      <c r="L1125" s="22" t="s">
        <v>513</v>
      </c>
      <c r="N1125" s="22" t="s">
        <v>2530</v>
      </c>
      <c r="O1125" s="22" t="s">
        <v>3196</v>
      </c>
      <c r="P1125" s="21">
        <v>90401</v>
      </c>
      <c r="Q1125" s="22">
        <v>16.5</v>
      </c>
      <c r="R1125" s="22">
        <v>15</v>
      </c>
      <c r="S1125" s="22">
        <v>5</v>
      </c>
      <c r="T1125" s="22" t="s">
        <v>159</v>
      </c>
      <c r="U1125" s="22">
        <v>1</v>
      </c>
      <c r="V1125" s="22">
        <v>1</v>
      </c>
      <c r="W1125" s="24">
        <f t="shared" si="192"/>
        <v>1740.144920276515</v>
      </c>
      <c r="X1125" s="24">
        <f t="shared" si="193"/>
        <v>647.625</v>
      </c>
      <c r="Y1125" s="21">
        <v>1</v>
      </c>
      <c r="Z1125" s="24">
        <f t="shared" si="185"/>
        <v>1740.144920276515</v>
      </c>
      <c r="AA1125" s="24">
        <f t="shared" si="186"/>
        <v>647.625</v>
      </c>
      <c r="AJ1125" s="21">
        <v>647.625</v>
      </c>
      <c r="AK1125" s="21">
        <v>16.5</v>
      </c>
      <c r="AL1125" s="22" t="s">
        <v>161</v>
      </c>
      <c r="AM1125" s="22">
        <v>0.11</v>
      </c>
      <c r="AN1125" s="22" t="s">
        <v>2206</v>
      </c>
      <c r="AO1125" s="22" t="s">
        <v>2206</v>
      </c>
      <c r="AP1125" s="22" t="s">
        <v>162</v>
      </c>
      <c r="AQ1125" s="22" t="str">
        <f t="shared" si="187"/>
        <v>Nanophytoplankton</v>
      </c>
      <c r="AR1125" s="22">
        <v>0</v>
      </c>
      <c r="AS1125" s="22">
        <v>0</v>
      </c>
      <c r="AT1125" s="22">
        <v>0</v>
      </c>
      <c r="AU1125" s="22">
        <v>0</v>
      </c>
      <c r="AV1125" s="22">
        <v>0</v>
      </c>
      <c r="AW1125" s="22">
        <v>0</v>
      </c>
      <c r="AX1125" s="22">
        <v>0</v>
      </c>
      <c r="AY1125" s="22">
        <v>1</v>
      </c>
    </row>
    <row r="1126" spans="1:57">
      <c r="A1126" s="21" t="s">
        <v>3264</v>
      </c>
      <c r="B1126" s="22" t="s">
        <v>663</v>
      </c>
      <c r="C1126" s="23" t="s">
        <v>2223</v>
      </c>
      <c r="D1126" s="22" t="s">
        <v>3188</v>
      </c>
      <c r="E1126" s="23" t="s">
        <v>3189</v>
      </c>
      <c r="F1126" s="23" t="s">
        <v>3190</v>
      </c>
      <c r="G1126" s="23" t="s">
        <v>3191</v>
      </c>
      <c r="H1126" s="23" t="s">
        <v>3192</v>
      </c>
      <c r="I1126" s="22" t="s">
        <v>3253</v>
      </c>
      <c r="J1126" s="21" t="s">
        <v>1043</v>
      </c>
      <c r="K1126" s="21"/>
      <c r="L1126" s="21"/>
      <c r="N1126" s="22" t="s">
        <v>3223</v>
      </c>
      <c r="O1126" s="22" t="s">
        <v>3196</v>
      </c>
      <c r="P1126" s="21">
        <v>90440</v>
      </c>
      <c r="Q1126" s="21">
        <v>30</v>
      </c>
      <c r="R1126" s="21">
        <v>15</v>
      </c>
      <c r="S1126" s="21">
        <v>9</v>
      </c>
      <c r="T1126" s="21" t="s">
        <v>281</v>
      </c>
      <c r="U1126" s="21">
        <v>1</v>
      </c>
      <c r="V1126" s="21">
        <v>1</v>
      </c>
      <c r="W1126" s="24">
        <f t="shared" si="192"/>
        <v>3584.7173648375287</v>
      </c>
      <c r="X1126" s="24">
        <f t="shared" si="193"/>
        <v>2119.5</v>
      </c>
      <c r="Y1126" s="21">
        <v>1</v>
      </c>
      <c r="Z1126" s="24">
        <f t="shared" si="185"/>
        <v>3584.7173648375287</v>
      </c>
      <c r="AA1126" s="24">
        <f t="shared" si="186"/>
        <v>2119.5</v>
      </c>
      <c r="AB1126" s="21"/>
      <c r="AC1126" s="21"/>
      <c r="AD1126" s="21"/>
      <c r="AE1126" s="21"/>
      <c r="AF1126" s="21"/>
      <c r="AG1126" s="21"/>
      <c r="AH1126" s="24"/>
      <c r="AI1126" s="24"/>
      <c r="AJ1126" s="21">
        <v>2120.6</v>
      </c>
      <c r="AK1126" s="21">
        <v>30</v>
      </c>
      <c r="AL1126" s="22" t="s">
        <v>161</v>
      </c>
      <c r="AM1126" s="22">
        <v>0.11</v>
      </c>
      <c r="AN1126" s="22" t="s">
        <v>2206</v>
      </c>
      <c r="AO1126" s="22" t="s">
        <v>2206</v>
      </c>
      <c r="AP1126" s="22" t="s">
        <v>162</v>
      </c>
      <c r="AQ1126" s="22" t="str">
        <f t="shared" si="187"/>
        <v>Microphytoplankton</v>
      </c>
      <c r="AR1126" s="22">
        <v>0</v>
      </c>
      <c r="AS1126" s="22">
        <v>0</v>
      </c>
      <c r="AT1126" s="22">
        <v>0</v>
      </c>
      <c r="AU1126" s="22">
        <v>0</v>
      </c>
      <c r="AV1126" s="22">
        <v>0</v>
      </c>
      <c r="AW1126" s="22">
        <v>0</v>
      </c>
      <c r="AX1126" s="22">
        <v>0</v>
      </c>
      <c r="AY1126" s="22">
        <v>1</v>
      </c>
    </row>
    <row r="1127" spans="1:57">
      <c r="A1127" s="21" t="s">
        <v>3265</v>
      </c>
      <c r="B1127" s="22" t="s">
        <v>663</v>
      </c>
      <c r="C1127" s="23" t="s">
        <v>2223</v>
      </c>
      <c r="D1127" s="22" t="s">
        <v>3188</v>
      </c>
      <c r="E1127" s="23" t="s">
        <v>3189</v>
      </c>
      <c r="F1127" s="23" t="s">
        <v>3190</v>
      </c>
      <c r="G1127" s="23" t="s">
        <v>3191</v>
      </c>
      <c r="H1127" s="23" t="s">
        <v>3192</v>
      </c>
      <c r="I1127" s="22" t="s">
        <v>3253</v>
      </c>
      <c r="J1127" s="21" t="s">
        <v>2192</v>
      </c>
      <c r="K1127" s="21"/>
      <c r="L1127" s="21"/>
      <c r="N1127" s="22" t="s">
        <v>2931</v>
      </c>
      <c r="O1127" s="22" t="s">
        <v>3196</v>
      </c>
      <c r="P1127" s="21">
        <v>90475</v>
      </c>
      <c r="Q1127" s="21">
        <v>50</v>
      </c>
      <c r="R1127" s="21">
        <v>40</v>
      </c>
      <c r="S1127" s="21">
        <v>27</v>
      </c>
      <c r="T1127" s="21" t="s">
        <v>281</v>
      </c>
      <c r="U1127" s="21">
        <v>1</v>
      </c>
      <c r="V1127" s="21">
        <v>1</v>
      </c>
      <c r="W1127" s="24">
        <f t="shared" si="192"/>
        <v>16532.399556109503</v>
      </c>
      <c r="X1127" s="24">
        <f t="shared" si="193"/>
        <v>28259.999999999996</v>
      </c>
      <c r="Y1127" s="21">
        <v>1</v>
      </c>
      <c r="Z1127" s="24">
        <f t="shared" si="185"/>
        <v>16532.399556109503</v>
      </c>
      <c r="AA1127" s="24">
        <f t="shared" si="186"/>
        <v>28259.999999999996</v>
      </c>
      <c r="AB1127" s="21"/>
      <c r="AC1127" s="21"/>
      <c r="AD1127" s="21"/>
      <c r="AE1127" s="21"/>
      <c r="AF1127" s="21"/>
      <c r="AG1127" s="21"/>
      <c r="AH1127" s="24"/>
      <c r="AI1127" s="24"/>
      <c r="AJ1127" s="21">
        <v>28274.400000000001</v>
      </c>
      <c r="AK1127" s="21">
        <v>50</v>
      </c>
      <c r="AL1127" s="22" t="s">
        <v>161</v>
      </c>
      <c r="AM1127" s="22">
        <v>0.11</v>
      </c>
      <c r="AN1127" s="22" t="s">
        <v>2206</v>
      </c>
      <c r="AO1127" s="22" t="s">
        <v>2206</v>
      </c>
      <c r="AP1127" s="22" t="s">
        <v>162</v>
      </c>
      <c r="AQ1127" s="22" t="str">
        <f t="shared" si="187"/>
        <v>Microphytoplankton</v>
      </c>
      <c r="AR1127" s="22">
        <v>0</v>
      </c>
      <c r="AS1127" s="22">
        <v>0</v>
      </c>
      <c r="AT1127" s="22">
        <v>0</v>
      </c>
      <c r="AU1127" s="22">
        <v>0</v>
      </c>
      <c r="AV1127" s="22">
        <v>0</v>
      </c>
      <c r="AW1127" s="22">
        <v>0</v>
      </c>
      <c r="AX1127" s="22">
        <v>0</v>
      </c>
      <c r="AY1127" s="22">
        <v>1</v>
      </c>
    </row>
    <row r="1128" spans="1:57">
      <c r="A1128" s="21" t="s">
        <v>3266</v>
      </c>
      <c r="B1128" s="22" t="s">
        <v>663</v>
      </c>
      <c r="C1128" s="23" t="s">
        <v>2223</v>
      </c>
      <c r="D1128" s="22" t="s">
        <v>3188</v>
      </c>
      <c r="E1128" s="23" t="s">
        <v>3189</v>
      </c>
      <c r="F1128" s="23" t="s">
        <v>3190</v>
      </c>
      <c r="G1128" s="23" t="s">
        <v>3191</v>
      </c>
      <c r="H1128" s="23" t="s">
        <v>3192</v>
      </c>
      <c r="I1128" s="22" t="s">
        <v>3253</v>
      </c>
      <c r="J1128" s="21" t="s">
        <v>3267</v>
      </c>
      <c r="K1128" s="21"/>
      <c r="L1128" s="21"/>
      <c r="N1128" s="22" t="s">
        <v>3268</v>
      </c>
      <c r="O1128" s="22" t="s">
        <v>3196</v>
      </c>
      <c r="P1128" s="21">
        <v>90411</v>
      </c>
      <c r="Q1128" s="21">
        <v>30</v>
      </c>
      <c r="R1128" s="21">
        <v>30</v>
      </c>
      <c r="S1128" s="21">
        <v>15</v>
      </c>
      <c r="T1128" s="21" t="s">
        <v>281</v>
      </c>
      <c r="U1128" s="21">
        <v>0.9</v>
      </c>
      <c r="V1128" s="21">
        <v>0.9</v>
      </c>
      <c r="W1128" s="24">
        <f t="shared" si="192"/>
        <v>7574.328088433931</v>
      </c>
      <c r="X1128" s="24">
        <f t="shared" si="193"/>
        <v>6358.5</v>
      </c>
      <c r="Y1128" s="21">
        <v>1</v>
      </c>
      <c r="Z1128" s="24">
        <f t="shared" si="185"/>
        <v>7574.328088433931</v>
      </c>
      <c r="AA1128" s="24">
        <f t="shared" si="186"/>
        <v>6358.5</v>
      </c>
      <c r="AB1128" s="21"/>
      <c r="AC1128" s="21"/>
      <c r="AD1128" s="21"/>
      <c r="AE1128" s="21"/>
      <c r="AF1128" s="21"/>
      <c r="AG1128" s="21"/>
      <c r="AH1128" s="24"/>
      <c r="AI1128" s="24"/>
      <c r="AJ1128" s="21">
        <v>6361.7</v>
      </c>
      <c r="AK1128" s="21">
        <v>30</v>
      </c>
      <c r="AL1128" s="22" t="s">
        <v>161</v>
      </c>
      <c r="AM1128" s="22">
        <v>0.11</v>
      </c>
      <c r="AN1128" s="22" t="s">
        <v>2206</v>
      </c>
      <c r="AO1128" s="22" t="s">
        <v>2206</v>
      </c>
      <c r="AP1128" s="22" t="s">
        <v>162</v>
      </c>
      <c r="AQ1128" s="22" t="str">
        <f t="shared" si="187"/>
        <v>Microphytoplankton</v>
      </c>
      <c r="AR1128" s="22">
        <v>0</v>
      </c>
      <c r="AS1128" s="22">
        <v>0</v>
      </c>
      <c r="AT1128" s="22">
        <v>0</v>
      </c>
      <c r="AU1128" s="22">
        <v>0</v>
      </c>
      <c r="AV1128" s="22">
        <v>0</v>
      </c>
      <c r="AW1128" s="22">
        <v>0</v>
      </c>
      <c r="AX1128" s="22">
        <v>0</v>
      </c>
      <c r="AY1128" s="22">
        <v>1</v>
      </c>
      <c r="AZ1128" s="22">
        <v>0</v>
      </c>
      <c r="BA1128" s="22">
        <v>1</v>
      </c>
      <c r="BB1128" s="22">
        <v>5</v>
      </c>
      <c r="BC1128" s="22">
        <v>2</v>
      </c>
      <c r="BD1128" s="22">
        <v>1</v>
      </c>
      <c r="BE1128" s="22">
        <v>1</v>
      </c>
    </row>
    <row r="1129" spans="1:57">
      <c r="A1129" s="21" t="s">
        <v>3269</v>
      </c>
      <c r="B1129" s="22" t="s">
        <v>663</v>
      </c>
      <c r="C1129" s="23" t="s">
        <v>2223</v>
      </c>
      <c r="D1129" s="22" t="s">
        <v>3188</v>
      </c>
      <c r="E1129" s="23" t="s">
        <v>3189</v>
      </c>
      <c r="F1129" s="23" t="s">
        <v>3190</v>
      </c>
      <c r="G1129" s="23" t="s">
        <v>3191</v>
      </c>
      <c r="H1129" s="23" t="s">
        <v>3192</v>
      </c>
      <c r="I1129" s="22" t="s">
        <v>3253</v>
      </c>
      <c r="J1129" s="21" t="s">
        <v>3267</v>
      </c>
      <c r="K1129" s="21" t="s">
        <v>175</v>
      </c>
      <c r="L1129" s="21" t="s">
        <v>371</v>
      </c>
      <c r="N1129" s="22" t="s">
        <v>3270</v>
      </c>
      <c r="O1129" s="22" t="s">
        <v>3196</v>
      </c>
      <c r="P1129" s="21">
        <v>90410</v>
      </c>
      <c r="Q1129" s="21">
        <v>30</v>
      </c>
      <c r="R1129" s="21">
        <v>30</v>
      </c>
      <c r="S1129" s="21">
        <v>15</v>
      </c>
      <c r="T1129" s="21" t="s">
        <v>281</v>
      </c>
      <c r="U1129" s="21">
        <v>0.9</v>
      </c>
      <c r="V1129" s="21">
        <v>0.9</v>
      </c>
      <c r="W1129" s="24">
        <f t="shared" si="192"/>
        <v>7574.328088433931</v>
      </c>
      <c r="X1129" s="24">
        <f t="shared" si="193"/>
        <v>6358.5</v>
      </c>
      <c r="Y1129" s="21">
        <v>1</v>
      </c>
      <c r="Z1129" s="24">
        <f t="shared" si="185"/>
        <v>7574.328088433931</v>
      </c>
      <c r="AA1129" s="24">
        <f t="shared" si="186"/>
        <v>6358.5</v>
      </c>
      <c r="AB1129" s="21"/>
      <c r="AC1129" s="21"/>
      <c r="AD1129" s="21"/>
      <c r="AE1129" s="21"/>
      <c r="AF1129" s="21"/>
      <c r="AG1129" s="21"/>
      <c r="AH1129" s="24"/>
      <c r="AI1129" s="24"/>
      <c r="AJ1129" s="21">
        <v>6361.7</v>
      </c>
      <c r="AK1129" s="21">
        <v>65</v>
      </c>
      <c r="AL1129" s="22" t="s">
        <v>161</v>
      </c>
      <c r="AM1129" s="22">
        <v>0.11</v>
      </c>
      <c r="AN1129" s="22" t="s">
        <v>2206</v>
      </c>
      <c r="AO1129" s="22" t="s">
        <v>2206</v>
      </c>
      <c r="AP1129" s="22" t="s">
        <v>162</v>
      </c>
      <c r="AQ1129" s="22" t="str">
        <f t="shared" si="187"/>
        <v>Microphytoplankton</v>
      </c>
      <c r="AR1129" s="22">
        <v>0</v>
      </c>
      <c r="AS1129" s="22">
        <v>0</v>
      </c>
      <c r="AT1129" s="22">
        <v>0</v>
      </c>
      <c r="AU1129" s="22">
        <v>0</v>
      </c>
      <c r="AV1129" s="22">
        <v>0</v>
      </c>
      <c r="AW1129" s="22">
        <v>0</v>
      </c>
      <c r="AX1129" s="22">
        <v>0</v>
      </c>
      <c r="AY1129" s="22">
        <v>1</v>
      </c>
    </row>
    <row r="1130" spans="1:57">
      <c r="A1130" s="21" t="s">
        <v>3271</v>
      </c>
      <c r="B1130" s="22" t="s">
        <v>663</v>
      </c>
      <c r="C1130" s="23" t="s">
        <v>2223</v>
      </c>
      <c r="D1130" s="22" t="s">
        <v>3188</v>
      </c>
      <c r="E1130" s="23" t="s">
        <v>3189</v>
      </c>
      <c r="F1130" s="23" t="s">
        <v>3190</v>
      </c>
      <c r="G1130" s="23" t="s">
        <v>3191</v>
      </c>
      <c r="H1130" s="23" t="s">
        <v>3192</v>
      </c>
      <c r="I1130" s="22" t="s">
        <v>3253</v>
      </c>
      <c r="J1130" s="21" t="s">
        <v>3272</v>
      </c>
      <c r="K1130" s="21"/>
      <c r="L1130" s="21"/>
      <c r="N1130" s="22" t="s">
        <v>3273</v>
      </c>
      <c r="O1130" s="22" t="s">
        <v>3196</v>
      </c>
      <c r="P1130" s="21">
        <v>90420</v>
      </c>
      <c r="Q1130" s="21">
        <v>45</v>
      </c>
      <c r="R1130" s="21">
        <v>33</v>
      </c>
      <c r="S1130" s="21">
        <v>16</v>
      </c>
      <c r="T1130" s="21" t="s">
        <v>281</v>
      </c>
      <c r="U1130" s="21">
        <v>1</v>
      </c>
      <c r="V1130" s="21">
        <v>1</v>
      </c>
      <c r="W1130" s="24">
        <f t="shared" si="192"/>
        <v>11149.546378231671</v>
      </c>
      <c r="X1130" s="24">
        <f t="shared" si="193"/>
        <v>12434.4</v>
      </c>
      <c r="Y1130" s="21">
        <v>1</v>
      </c>
      <c r="Z1130" s="24">
        <f t="shared" si="185"/>
        <v>11149.546378231671</v>
      </c>
      <c r="AA1130" s="24">
        <f t="shared" si="186"/>
        <v>12434.4</v>
      </c>
      <c r="AB1130" s="21"/>
      <c r="AC1130" s="21"/>
      <c r="AD1130" s="21"/>
      <c r="AE1130" s="21"/>
      <c r="AF1130" s="21"/>
      <c r="AG1130" s="21"/>
      <c r="AH1130" s="24"/>
      <c r="AI1130" s="24"/>
      <c r="AJ1130" s="21">
        <v>12440.7</v>
      </c>
      <c r="AK1130" s="21">
        <v>45</v>
      </c>
      <c r="AL1130" s="22" t="s">
        <v>161</v>
      </c>
      <c r="AM1130" s="22">
        <v>0.11</v>
      </c>
      <c r="AN1130" s="22" t="s">
        <v>2206</v>
      </c>
      <c r="AO1130" s="22" t="s">
        <v>2206</v>
      </c>
      <c r="AP1130" s="22" t="s">
        <v>162</v>
      </c>
      <c r="AQ1130" s="22" t="str">
        <f t="shared" si="187"/>
        <v>Microphytoplankton</v>
      </c>
      <c r="AR1130" s="22">
        <v>0</v>
      </c>
      <c r="AS1130" s="22">
        <v>0</v>
      </c>
      <c r="AT1130" s="22">
        <v>0</v>
      </c>
      <c r="AU1130" s="22">
        <v>0</v>
      </c>
      <c r="AV1130" s="22">
        <v>0</v>
      </c>
      <c r="AW1130" s="22">
        <v>0</v>
      </c>
      <c r="AX1130" s="22">
        <v>0</v>
      </c>
      <c r="AY1130" s="22">
        <v>1</v>
      </c>
    </row>
    <row r="1131" spans="1:57">
      <c r="A1131" s="22" t="s">
        <v>3274</v>
      </c>
      <c r="B1131" s="22" t="s">
        <v>663</v>
      </c>
      <c r="C1131" s="23" t="s">
        <v>2223</v>
      </c>
      <c r="D1131" s="22" t="s">
        <v>3188</v>
      </c>
      <c r="E1131" s="23" t="s">
        <v>3189</v>
      </c>
      <c r="F1131" s="23" t="s">
        <v>3190</v>
      </c>
      <c r="G1131" s="23" t="s">
        <v>3191</v>
      </c>
      <c r="H1131" s="23" t="s">
        <v>3192</v>
      </c>
      <c r="I1131" s="22" t="s">
        <v>3253</v>
      </c>
      <c r="J1131" s="22" t="s">
        <v>3275</v>
      </c>
      <c r="N1131" s="22" t="s">
        <v>3276</v>
      </c>
      <c r="O1131" s="22" t="s">
        <v>3196</v>
      </c>
      <c r="P1131" s="21">
        <v>90407</v>
      </c>
      <c r="Q1131" s="22">
        <v>31.5</v>
      </c>
      <c r="R1131" s="22">
        <v>24</v>
      </c>
      <c r="S1131" s="22">
        <v>10</v>
      </c>
      <c r="T1131" s="22" t="s">
        <v>159</v>
      </c>
      <c r="U1131" s="22">
        <v>1</v>
      </c>
      <c r="V1131" s="22">
        <v>1</v>
      </c>
      <c r="W1131" s="24">
        <f t="shared" si="192"/>
        <v>5497.742021965495</v>
      </c>
      <c r="X1131" s="24">
        <f t="shared" si="193"/>
        <v>3956.3999999999996</v>
      </c>
      <c r="Y1131" s="21">
        <v>1</v>
      </c>
      <c r="Z1131" s="24">
        <f t="shared" si="185"/>
        <v>5497.742021965495</v>
      </c>
      <c r="AA1131" s="24">
        <f t="shared" si="186"/>
        <v>3956.3999999999996</v>
      </c>
      <c r="AJ1131" s="21">
        <v>3956.3999999999996</v>
      </c>
      <c r="AK1131" s="21">
        <v>31.5</v>
      </c>
      <c r="AL1131" s="22" t="s">
        <v>161</v>
      </c>
      <c r="AM1131" s="22">
        <v>0.11</v>
      </c>
      <c r="AN1131" s="22" t="s">
        <v>2206</v>
      </c>
      <c r="AO1131" s="22" t="s">
        <v>2206</v>
      </c>
      <c r="AP1131" s="22" t="s">
        <v>162</v>
      </c>
      <c r="AQ1131" s="22" t="str">
        <f t="shared" si="187"/>
        <v>Microphytoplankton</v>
      </c>
      <c r="AR1131" s="22">
        <v>0</v>
      </c>
      <c r="AS1131" s="22">
        <v>0</v>
      </c>
      <c r="AT1131" s="22">
        <v>0</v>
      </c>
      <c r="AU1131" s="22">
        <v>0</v>
      </c>
      <c r="AV1131" s="22">
        <v>0</v>
      </c>
      <c r="AW1131" s="22">
        <v>0</v>
      </c>
      <c r="AX1131" s="22">
        <v>0</v>
      </c>
      <c r="AY1131" s="22">
        <v>1</v>
      </c>
    </row>
    <row r="1132" spans="1:57">
      <c r="A1132" s="21" t="s">
        <v>3277</v>
      </c>
      <c r="B1132" s="22" t="s">
        <v>663</v>
      </c>
      <c r="C1132" s="23" t="s">
        <v>2223</v>
      </c>
      <c r="D1132" s="22" t="s">
        <v>3188</v>
      </c>
      <c r="E1132" s="23" t="s">
        <v>3189</v>
      </c>
      <c r="F1132" s="23" t="s">
        <v>3190</v>
      </c>
      <c r="G1132" s="23" t="s">
        <v>3191</v>
      </c>
      <c r="H1132" s="23" t="s">
        <v>3192</v>
      </c>
      <c r="I1132" s="22" t="s">
        <v>3253</v>
      </c>
      <c r="J1132" s="21" t="s">
        <v>3278</v>
      </c>
      <c r="K1132" s="21"/>
      <c r="L1132" s="21"/>
      <c r="N1132" s="22" t="s">
        <v>182</v>
      </c>
      <c r="O1132" s="22" t="s">
        <v>3196</v>
      </c>
      <c r="P1132" s="21">
        <v>90480</v>
      </c>
      <c r="Q1132" s="21">
        <v>25</v>
      </c>
      <c r="R1132" s="21">
        <v>17</v>
      </c>
      <c r="S1132" s="21">
        <v>10</v>
      </c>
      <c r="T1132" s="21" t="s">
        <v>281</v>
      </c>
      <c r="U1132" s="21">
        <v>1</v>
      </c>
      <c r="V1132" s="21">
        <v>1</v>
      </c>
      <c r="W1132" s="24">
        <f t="shared" si="192"/>
        <v>3368.3860338127256</v>
      </c>
      <c r="X1132" s="24">
        <f t="shared" si="193"/>
        <v>2224.1666666666665</v>
      </c>
      <c r="Y1132" s="21">
        <v>1</v>
      </c>
      <c r="Z1132" s="24">
        <f t="shared" si="185"/>
        <v>3368.3860338127256</v>
      </c>
      <c r="AA1132" s="24">
        <f t="shared" si="186"/>
        <v>2224.1666666666665</v>
      </c>
      <c r="AB1132" s="21"/>
      <c r="AC1132" s="21"/>
      <c r="AD1132" s="21"/>
      <c r="AE1132" s="21"/>
      <c r="AF1132" s="21"/>
      <c r="AG1132" s="21"/>
      <c r="AH1132" s="24"/>
      <c r="AI1132" s="24"/>
      <c r="AJ1132" s="21">
        <v>2225.3000000000002</v>
      </c>
      <c r="AK1132" s="21">
        <v>25</v>
      </c>
      <c r="AL1132" s="22" t="s">
        <v>161</v>
      </c>
      <c r="AM1132" s="22">
        <v>0.11</v>
      </c>
      <c r="AN1132" s="22" t="s">
        <v>2206</v>
      </c>
      <c r="AO1132" s="22" t="s">
        <v>2206</v>
      </c>
      <c r="AP1132" s="22" t="s">
        <v>162</v>
      </c>
      <c r="AQ1132" s="22" t="str">
        <f t="shared" si="187"/>
        <v>Microphytoplankton</v>
      </c>
      <c r="AR1132" s="22">
        <v>0</v>
      </c>
      <c r="AS1132" s="22">
        <v>0</v>
      </c>
      <c r="AT1132" s="22">
        <v>0</v>
      </c>
      <c r="AU1132" s="22">
        <v>0</v>
      </c>
      <c r="AV1132" s="22">
        <v>0</v>
      </c>
      <c r="AW1132" s="22">
        <v>0</v>
      </c>
      <c r="AX1132" s="22">
        <v>0</v>
      </c>
      <c r="AY1132" s="22">
        <v>1</v>
      </c>
    </row>
    <row r="1133" spans="1:57">
      <c r="A1133" s="21" t="s">
        <v>3279</v>
      </c>
      <c r="B1133" s="22" t="s">
        <v>663</v>
      </c>
      <c r="C1133" s="23" t="s">
        <v>2223</v>
      </c>
      <c r="D1133" s="22" t="s">
        <v>3188</v>
      </c>
      <c r="E1133" s="23" t="s">
        <v>3189</v>
      </c>
      <c r="F1133" s="23" t="s">
        <v>3190</v>
      </c>
      <c r="G1133" s="23" t="s">
        <v>3191</v>
      </c>
      <c r="H1133" s="23" t="s">
        <v>3192</v>
      </c>
      <c r="I1133" s="22" t="s">
        <v>3253</v>
      </c>
      <c r="J1133" s="21" t="s">
        <v>3280</v>
      </c>
      <c r="K1133" s="21"/>
      <c r="L1133" s="21"/>
      <c r="N1133" s="22" t="s">
        <v>3223</v>
      </c>
      <c r="O1133" s="22" t="s">
        <v>3196</v>
      </c>
      <c r="P1133" s="21">
        <v>90412</v>
      </c>
      <c r="Q1133" s="21">
        <v>57</v>
      </c>
      <c r="R1133" s="21">
        <v>44</v>
      </c>
      <c r="S1133" s="21">
        <v>44</v>
      </c>
      <c r="T1133" s="21" t="s">
        <v>281</v>
      </c>
      <c r="U1133" s="21">
        <v>0.8</v>
      </c>
      <c r="V1133" s="21">
        <v>0.8</v>
      </c>
      <c r="W1133" s="24">
        <f t="shared" si="192"/>
        <v>30590.797878450176</v>
      </c>
      <c r="X1133" s="24">
        <f t="shared" si="193"/>
        <v>46200.703999999998</v>
      </c>
      <c r="Y1133" s="21">
        <v>1</v>
      </c>
      <c r="Z1133" s="24">
        <f t="shared" si="185"/>
        <v>30590.797878450176</v>
      </c>
      <c r="AA1133" s="24">
        <f t="shared" si="186"/>
        <v>46200.703999999998</v>
      </c>
      <c r="AB1133" s="21"/>
      <c r="AC1133" s="21"/>
      <c r="AD1133" s="21"/>
      <c r="AE1133" s="21"/>
      <c r="AF1133" s="21"/>
      <c r="AG1133" s="21"/>
      <c r="AH1133" s="24"/>
      <c r="AI1133" s="24"/>
      <c r="AJ1133" s="21">
        <v>46200</v>
      </c>
      <c r="AK1133" s="21">
        <v>57</v>
      </c>
      <c r="AL1133" s="22" t="s">
        <v>161</v>
      </c>
      <c r="AM1133" s="22">
        <v>0.11</v>
      </c>
      <c r="AN1133" s="22" t="s">
        <v>2206</v>
      </c>
      <c r="AO1133" s="22" t="s">
        <v>2206</v>
      </c>
      <c r="AP1133" s="22" t="s">
        <v>162</v>
      </c>
      <c r="AQ1133" s="22" t="str">
        <f t="shared" si="187"/>
        <v>Microphytoplankton</v>
      </c>
      <c r="AR1133" s="22">
        <v>0</v>
      </c>
      <c r="AS1133" s="22">
        <v>0</v>
      </c>
      <c r="AT1133" s="22">
        <v>0</v>
      </c>
      <c r="AU1133" s="22">
        <v>0</v>
      </c>
      <c r="AV1133" s="22">
        <v>0</v>
      </c>
      <c r="AW1133" s="22">
        <v>0</v>
      </c>
      <c r="AX1133" s="22">
        <v>0</v>
      </c>
      <c r="AY1133" s="22">
        <v>1</v>
      </c>
    </row>
    <row r="1134" spans="1:57">
      <c r="A1134" s="21" t="s">
        <v>3281</v>
      </c>
      <c r="B1134" s="22" t="s">
        <v>663</v>
      </c>
      <c r="C1134" s="23" t="s">
        <v>2223</v>
      </c>
      <c r="D1134" s="22" t="s">
        <v>3188</v>
      </c>
      <c r="E1134" s="23" t="s">
        <v>3189</v>
      </c>
      <c r="F1134" s="23" t="s">
        <v>3190</v>
      </c>
      <c r="G1134" s="23" t="s">
        <v>3191</v>
      </c>
      <c r="H1134" s="23" t="s">
        <v>3192</v>
      </c>
      <c r="I1134" s="22" t="s">
        <v>3253</v>
      </c>
      <c r="J1134" s="21" t="s">
        <v>3280</v>
      </c>
      <c r="K1134" s="21" t="s">
        <v>184</v>
      </c>
      <c r="L1134" s="21" t="s">
        <v>3282</v>
      </c>
      <c r="N1134" s="22" t="s">
        <v>3283</v>
      </c>
      <c r="O1134" s="22" t="s">
        <v>3196</v>
      </c>
      <c r="P1134" s="21">
        <v>90413</v>
      </c>
      <c r="Q1134" s="21">
        <v>37</v>
      </c>
      <c r="R1134" s="21">
        <v>35</v>
      </c>
      <c r="S1134" s="21">
        <v>35</v>
      </c>
      <c r="T1134" s="21" t="s">
        <v>281</v>
      </c>
      <c r="U1134" s="21">
        <v>0.8</v>
      </c>
      <c r="V1134" s="21">
        <v>0.8</v>
      </c>
      <c r="W1134" s="24">
        <f t="shared" si="192"/>
        <v>15810.718002053629</v>
      </c>
      <c r="X1134" s="24">
        <f t="shared" si="193"/>
        <v>18976.066666666669</v>
      </c>
      <c r="Y1134" s="21">
        <v>1</v>
      </c>
      <c r="Z1134" s="24">
        <f t="shared" si="185"/>
        <v>15810.718002053629</v>
      </c>
      <c r="AA1134" s="24">
        <f t="shared" si="186"/>
        <v>18976.066666666669</v>
      </c>
      <c r="AB1134" s="21"/>
      <c r="AC1134" s="21"/>
      <c r="AD1134" s="21"/>
      <c r="AE1134" s="21"/>
      <c r="AF1134" s="21"/>
      <c r="AG1134" s="21"/>
      <c r="AH1134" s="24"/>
      <c r="AI1134" s="24"/>
      <c r="AJ1134" s="21">
        <v>18976</v>
      </c>
      <c r="AK1134" s="21">
        <v>37</v>
      </c>
      <c r="AL1134" s="22" t="s">
        <v>161</v>
      </c>
      <c r="AM1134" s="22">
        <v>0.11</v>
      </c>
      <c r="AN1134" s="22" t="s">
        <v>2206</v>
      </c>
      <c r="AO1134" s="22" t="s">
        <v>2206</v>
      </c>
      <c r="AP1134" s="22" t="s">
        <v>162</v>
      </c>
      <c r="AQ1134" s="22" t="str">
        <f t="shared" si="187"/>
        <v>Microphytoplankton</v>
      </c>
      <c r="AR1134" s="22">
        <v>0</v>
      </c>
      <c r="AS1134" s="22">
        <v>0</v>
      </c>
      <c r="AT1134" s="22">
        <v>0</v>
      </c>
      <c r="AU1134" s="22">
        <v>0</v>
      </c>
      <c r="AV1134" s="22">
        <v>0</v>
      </c>
      <c r="AW1134" s="22">
        <v>0</v>
      </c>
      <c r="AX1134" s="22">
        <v>0</v>
      </c>
      <c r="AY1134" s="22">
        <v>1</v>
      </c>
    </row>
    <row r="1135" spans="1:57">
      <c r="A1135" s="21" t="s">
        <v>3284</v>
      </c>
      <c r="B1135" s="22" t="s">
        <v>663</v>
      </c>
      <c r="C1135" s="23" t="s">
        <v>2223</v>
      </c>
      <c r="D1135" s="22" t="s">
        <v>3188</v>
      </c>
      <c r="E1135" s="23" t="s">
        <v>3189</v>
      </c>
      <c r="F1135" s="23" t="s">
        <v>3190</v>
      </c>
      <c r="G1135" s="23" t="s">
        <v>3191</v>
      </c>
      <c r="H1135" s="23" t="s">
        <v>3192</v>
      </c>
      <c r="I1135" s="22" t="s">
        <v>3253</v>
      </c>
      <c r="J1135" s="21" t="s">
        <v>3285</v>
      </c>
      <c r="K1135" s="21"/>
      <c r="L1135" s="21"/>
      <c r="N1135" s="22" t="s">
        <v>189</v>
      </c>
      <c r="O1135" s="22" t="s">
        <v>3196</v>
      </c>
      <c r="P1135" s="21">
        <v>90430</v>
      </c>
      <c r="Q1135" s="21">
        <v>18</v>
      </c>
      <c r="R1135" s="21">
        <v>14</v>
      </c>
      <c r="S1135" s="21">
        <v>8</v>
      </c>
      <c r="T1135" s="21" t="s">
        <v>281</v>
      </c>
      <c r="U1135" s="21">
        <v>1.2</v>
      </c>
      <c r="V1135" s="21">
        <v>1.2</v>
      </c>
      <c r="W1135" s="24">
        <f t="shared" si="192"/>
        <v>1654.3246497659841</v>
      </c>
      <c r="X1135" s="24">
        <f t="shared" si="193"/>
        <v>1266.048</v>
      </c>
      <c r="Y1135" s="21">
        <v>1</v>
      </c>
      <c r="Z1135" s="24">
        <f t="shared" si="185"/>
        <v>1654.3246497659841</v>
      </c>
      <c r="AA1135" s="24">
        <f t="shared" si="186"/>
        <v>1266.048</v>
      </c>
      <c r="AB1135" s="21"/>
      <c r="AC1135" s="21"/>
      <c r="AD1135" s="21"/>
      <c r="AE1135" s="21"/>
      <c r="AF1135" s="21"/>
      <c r="AG1135" s="21"/>
      <c r="AH1135" s="24"/>
      <c r="AI1135" s="24"/>
      <c r="AJ1135" s="21">
        <v>1266.7</v>
      </c>
      <c r="AK1135" s="21">
        <v>18</v>
      </c>
      <c r="AL1135" s="22" t="s">
        <v>161</v>
      </c>
      <c r="AM1135" s="22">
        <v>0.11</v>
      </c>
      <c r="AN1135" s="22" t="s">
        <v>2206</v>
      </c>
      <c r="AO1135" s="22" t="s">
        <v>2206</v>
      </c>
      <c r="AP1135" s="22" t="s">
        <v>162</v>
      </c>
      <c r="AQ1135" s="22" t="str">
        <f t="shared" si="187"/>
        <v>Nanophytoplankton</v>
      </c>
      <c r="AR1135" s="22">
        <v>0</v>
      </c>
      <c r="AS1135" s="22">
        <v>0</v>
      </c>
      <c r="AT1135" s="22">
        <v>0</v>
      </c>
      <c r="AU1135" s="22">
        <v>0</v>
      </c>
      <c r="AV1135" s="22">
        <v>0</v>
      </c>
      <c r="AW1135" s="22">
        <v>0</v>
      </c>
      <c r="AX1135" s="22">
        <v>0</v>
      </c>
      <c r="AY1135" s="22">
        <v>1</v>
      </c>
    </row>
    <row r="1136" spans="1:57">
      <c r="A1136" s="21" t="s">
        <v>3286</v>
      </c>
      <c r="B1136" s="22" t="s">
        <v>663</v>
      </c>
      <c r="C1136" s="23" t="s">
        <v>2223</v>
      </c>
      <c r="D1136" s="22" t="s">
        <v>3188</v>
      </c>
      <c r="E1136" s="23" t="s">
        <v>3189</v>
      </c>
      <c r="F1136" s="23" t="s">
        <v>3190</v>
      </c>
      <c r="G1136" s="23" t="s">
        <v>3191</v>
      </c>
      <c r="H1136" s="23" t="s">
        <v>3192</v>
      </c>
      <c r="I1136" s="22" t="s">
        <v>3253</v>
      </c>
      <c r="J1136" s="21" t="s">
        <v>2444</v>
      </c>
      <c r="K1136" s="21"/>
      <c r="L1136" s="21"/>
      <c r="N1136" s="22" t="s">
        <v>3287</v>
      </c>
      <c r="O1136" s="22" t="s">
        <v>3196</v>
      </c>
      <c r="P1136" s="21">
        <v>90414</v>
      </c>
      <c r="Q1136" s="21">
        <v>11</v>
      </c>
      <c r="R1136" s="21">
        <v>9</v>
      </c>
      <c r="S1136" s="21">
        <v>9</v>
      </c>
      <c r="T1136" s="21" t="s">
        <v>281</v>
      </c>
      <c r="U1136" s="21">
        <v>0.9</v>
      </c>
      <c r="V1136" s="21">
        <v>0.9</v>
      </c>
      <c r="W1136" s="24">
        <f t="shared" si="192"/>
        <v>1086.717934085596</v>
      </c>
      <c r="X1136" s="24">
        <f t="shared" si="193"/>
        <v>419.661</v>
      </c>
      <c r="Y1136" s="21">
        <v>1</v>
      </c>
      <c r="Z1136" s="24">
        <f t="shared" si="185"/>
        <v>1086.717934085596</v>
      </c>
      <c r="AA1136" s="24">
        <f t="shared" si="186"/>
        <v>419.661</v>
      </c>
      <c r="AB1136" s="21"/>
      <c r="AC1136" s="21"/>
      <c r="AD1136" s="21"/>
      <c r="AE1136" s="21"/>
      <c r="AF1136" s="21"/>
      <c r="AG1136" s="21"/>
      <c r="AH1136" s="24"/>
      <c r="AI1136" s="24"/>
      <c r="AJ1136" s="21">
        <v>419.6</v>
      </c>
      <c r="AK1136" s="21">
        <v>11</v>
      </c>
      <c r="AL1136" s="22" t="s">
        <v>161</v>
      </c>
      <c r="AM1136" s="22">
        <v>0.11</v>
      </c>
      <c r="AN1136" s="22" t="s">
        <v>2206</v>
      </c>
      <c r="AO1136" s="22" t="s">
        <v>2206</v>
      </c>
      <c r="AP1136" s="22" t="s">
        <v>162</v>
      </c>
      <c r="AQ1136" s="22" t="str">
        <f t="shared" si="187"/>
        <v>Nanophytoplankton</v>
      </c>
      <c r="AR1136" s="22">
        <v>0</v>
      </c>
      <c r="AS1136" s="22">
        <v>0</v>
      </c>
      <c r="AT1136" s="22">
        <v>0</v>
      </c>
      <c r="AU1136" s="22">
        <v>0</v>
      </c>
      <c r="AV1136" s="22">
        <v>0</v>
      </c>
      <c r="AW1136" s="22">
        <v>0</v>
      </c>
      <c r="AX1136" s="22">
        <v>0</v>
      </c>
      <c r="AY1136" s="22">
        <v>1</v>
      </c>
    </row>
    <row r="1137" spans="1:51">
      <c r="A1137" s="21" t="s">
        <v>3288</v>
      </c>
      <c r="B1137" s="22" t="s">
        <v>663</v>
      </c>
      <c r="C1137" s="23" t="s">
        <v>2223</v>
      </c>
      <c r="D1137" s="22" t="s">
        <v>3188</v>
      </c>
      <c r="E1137" s="23" t="s">
        <v>3189</v>
      </c>
      <c r="F1137" s="23" t="s">
        <v>3190</v>
      </c>
      <c r="G1137" s="23" t="s">
        <v>3191</v>
      </c>
      <c r="H1137" s="23" t="s">
        <v>3192</v>
      </c>
      <c r="I1137" s="22" t="s">
        <v>3253</v>
      </c>
      <c r="J1137" s="21" t="s">
        <v>3289</v>
      </c>
      <c r="K1137" s="21" t="s">
        <v>175</v>
      </c>
      <c r="L1137" s="21" t="s">
        <v>3290</v>
      </c>
      <c r="N1137" s="22" t="s">
        <v>3291</v>
      </c>
      <c r="O1137" s="22" t="s">
        <v>3196</v>
      </c>
      <c r="P1137" s="21">
        <v>90434</v>
      </c>
      <c r="Q1137" s="21">
        <v>16</v>
      </c>
      <c r="R1137" s="21">
        <v>15</v>
      </c>
      <c r="S1137" s="21">
        <v>9</v>
      </c>
      <c r="T1137" s="21" t="s">
        <v>159</v>
      </c>
      <c r="U1137" s="21">
        <v>0.8</v>
      </c>
      <c r="V1137" s="21">
        <v>0.8</v>
      </c>
      <c r="W1137" s="24">
        <f t="shared" si="192"/>
        <v>2400.965305793804</v>
      </c>
      <c r="X1137" s="24">
        <f t="shared" si="193"/>
        <v>904.31999999999994</v>
      </c>
      <c r="Y1137" s="21">
        <v>1</v>
      </c>
      <c r="Z1137" s="24">
        <f t="shared" si="185"/>
        <v>2400.965305793804</v>
      </c>
      <c r="AA1137" s="24">
        <f t="shared" si="186"/>
        <v>904.31999999999994</v>
      </c>
      <c r="AB1137" s="21"/>
      <c r="AC1137" s="21"/>
      <c r="AD1137" s="21"/>
      <c r="AE1137" s="21"/>
      <c r="AF1137" s="21"/>
      <c r="AG1137" s="21"/>
      <c r="AH1137" s="24"/>
      <c r="AI1137" s="24"/>
      <c r="AJ1137" s="21">
        <v>904.31999999999994</v>
      </c>
      <c r="AK1137" s="21">
        <v>16</v>
      </c>
      <c r="AL1137" s="22" t="s">
        <v>161</v>
      </c>
      <c r="AM1137" s="22">
        <v>0.11</v>
      </c>
      <c r="AN1137" s="22" t="s">
        <v>2206</v>
      </c>
      <c r="AO1137" s="22" t="s">
        <v>2206</v>
      </c>
      <c r="AP1137" s="22" t="s">
        <v>162</v>
      </c>
      <c r="AQ1137" s="22" t="str">
        <f t="shared" si="187"/>
        <v>Nanophytoplankton</v>
      </c>
      <c r="AR1137" s="22">
        <v>0</v>
      </c>
      <c r="AS1137" s="22">
        <v>0</v>
      </c>
      <c r="AT1137" s="22">
        <v>0</v>
      </c>
      <c r="AU1137" s="22">
        <v>0</v>
      </c>
      <c r="AV1137" s="22">
        <v>0</v>
      </c>
      <c r="AW1137" s="22">
        <v>0</v>
      </c>
      <c r="AX1137" s="22">
        <v>0</v>
      </c>
      <c r="AY1137" s="22">
        <v>1</v>
      </c>
    </row>
    <row r="1138" spans="1:51">
      <c r="A1138" s="21" t="s">
        <v>3292</v>
      </c>
      <c r="B1138" s="22" t="s">
        <v>663</v>
      </c>
      <c r="C1138" s="23" t="s">
        <v>2223</v>
      </c>
      <c r="D1138" s="22" t="s">
        <v>3188</v>
      </c>
      <c r="E1138" s="23" t="s">
        <v>3189</v>
      </c>
      <c r="F1138" s="23" t="s">
        <v>3190</v>
      </c>
      <c r="G1138" s="23" t="s">
        <v>3191</v>
      </c>
      <c r="H1138" s="23" t="s">
        <v>3192</v>
      </c>
      <c r="I1138" s="22" t="s">
        <v>3253</v>
      </c>
      <c r="J1138" s="21" t="s">
        <v>3293</v>
      </c>
      <c r="K1138" s="21"/>
      <c r="L1138" s="21"/>
      <c r="N1138" s="22" t="s">
        <v>3294</v>
      </c>
      <c r="O1138" s="22" t="s">
        <v>3196</v>
      </c>
      <c r="P1138" s="21">
        <v>90417</v>
      </c>
      <c r="Q1138" s="21">
        <v>44</v>
      </c>
      <c r="R1138" s="21">
        <v>33</v>
      </c>
      <c r="S1138" s="21">
        <v>33</v>
      </c>
      <c r="T1138" s="21" t="s">
        <v>281</v>
      </c>
      <c r="U1138" s="21">
        <v>0.9</v>
      </c>
      <c r="V1138" s="21">
        <v>0.9</v>
      </c>
      <c r="W1138" s="24">
        <f t="shared" si="192"/>
        <v>15750.449915339328</v>
      </c>
      <c r="X1138" s="24">
        <f t="shared" si="193"/>
        <v>22568.436000000002</v>
      </c>
      <c r="Y1138" s="21">
        <v>1</v>
      </c>
      <c r="Z1138" s="24">
        <f t="shared" si="185"/>
        <v>15750.449915339328</v>
      </c>
      <c r="AA1138" s="24">
        <f t="shared" si="186"/>
        <v>22568.436000000002</v>
      </c>
      <c r="AB1138" s="21"/>
      <c r="AC1138" s="21"/>
      <c r="AD1138" s="21"/>
      <c r="AE1138" s="21"/>
      <c r="AF1138" s="21"/>
      <c r="AG1138" s="21"/>
      <c r="AH1138" s="24"/>
      <c r="AI1138" s="24"/>
      <c r="AJ1138" s="21">
        <v>25568</v>
      </c>
      <c r="AK1138" s="21">
        <v>44</v>
      </c>
      <c r="AL1138" s="22" t="s">
        <v>161</v>
      </c>
      <c r="AM1138" s="22">
        <v>0.11</v>
      </c>
      <c r="AN1138" s="22" t="s">
        <v>2206</v>
      </c>
      <c r="AO1138" s="22" t="s">
        <v>2206</v>
      </c>
      <c r="AP1138" s="22" t="s">
        <v>162</v>
      </c>
      <c r="AQ1138" s="22" t="str">
        <f t="shared" si="187"/>
        <v>Microphytoplankton</v>
      </c>
      <c r="AR1138" s="22">
        <v>0</v>
      </c>
      <c r="AS1138" s="22">
        <v>0</v>
      </c>
      <c r="AT1138" s="22">
        <v>0</v>
      </c>
      <c r="AU1138" s="22">
        <v>0</v>
      </c>
      <c r="AV1138" s="22">
        <v>0</v>
      </c>
      <c r="AW1138" s="22">
        <v>0</v>
      </c>
      <c r="AX1138" s="22">
        <v>0</v>
      </c>
      <c r="AY1138" s="22">
        <v>1</v>
      </c>
    </row>
    <row r="1139" spans="1:51">
      <c r="A1139" s="22" t="s">
        <v>3295</v>
      </c>
      <c r="B1139" s="22" t="s">
        <v>663</v>
      </c>
      <c r="C1139" s="23" t="s">
        <v>2223</v>
      </c>
      <c r="D1139" s="22" t="s">
        <v>3188</v>
      </c>
      <c r="E1139" s="23" t="s">
        <v>3189</v>
      </c>
      <c r="F1139" s="23" t="s">
        <v>3190</v>
      </c>
      <c r="G1139" s="23" t="s">
        <v>3191</v>
      </c>
      <c r="H1139" s="23" t="s">
        <v>3192</v>
      </c>
      <c r="I1139" s="22" t="s">
        <v>3253</v>
      </c>
      <c r="J1139" s="22" t="s">
        <v>3296</v>
      </c>
      <c r="N1139" s="22" t="s">
        <v>3228</v>
      </c>
      <c r="O1139" s="22" t="s">
        <v>3196</v>
      </c>
      <c r="P1139" s="21">
        <v>90408</v>
      </c>
      <c r="Q1139" s="22">
        <v>36.5</v>
      </c>
      <c r="R1139" s="22">
        <v>37</v>
      </c>
      <c r="S1139" s="22">
        <v>15</v>
      </c>
      <c r="T1139" s="22" t="s">
        <v>159</v>
      </c>
      <c r="U1139" s="22">
        <v>1</v>
      </c>
      <c r="V1139" s="22">
        <v>1</v>
      </c>
      <c r="W1139" s="24">
        <f t="shared" si="192"/>
        <v>9763.7845557494693</v>
      </c>
      <c r="X1139" s="24">
        <f t="shared" si="193"/>
        <v>10601.424999999999</v>
      </c>
      <c r="Y1139" s="21">
        <v>1</v>
      </c>
      <c r="Z1139" s="24">
        <f t="shared" si="185"/>
        <v>9763.7845557494693</v>
      </c>
      <c r="AA1139" s="24">
        <f t="shared" si="186"/>
        <v>10601.424999999999</v>
      </c>
      <c r="AJ1139" s="21">
        <v>10601.424999999999</v>
      </c>
      <c r="AK1139" s="21">
        <v>37</v>
      </c>
      <c r="AL1139" s="22" t="s">
        <v>161</v>
      </c>
      <c r="AM1139" s="22">
        <v>0.11</v>
      </c>
      <c r="AN1139" s="22" t="s">
        <v>2206</v>
      </c>
      <c r="AO1139" s="22" t="s">
        <v>2206</v>
      </c>
      <c r="AP1139" s="22" t="s">
        <v>162</v>
      </c>
      <c r="AQ1139" s="22" t="str">
        <f t="shared" si="187"/>
        <v>Microphytoplankton</v>
      </c>
      <c r="AR1139" s="22">
        <v>0</v>
      </c>
      <c r="AS1139" s="22">
        <v>0</v>
      </c>
      <c r="AT1139" s="22">
        <v>0</v>
      </c>
      <c r="AU1139" s="22">
        <v>0</v>
      </c>
      <c r="AV1139" s="22">
        <v>0</v>
      </c>
      <c r="AW1139" s="22">
        <v>0</v>
      </c>
      <c r="AX1139" s="22">
        <v>0</v>
      </c>
      <c r="AY1139" s="22">
        <v>1</v>
      </c>
    </row>
    <row r="1140" spans="1:51">
      <c r="A1140" s="21" t="s">
        <v>3297</v>
      </c>
      <c r="B1140" s="22" t="s">
        <v>663</v>
      </c>
      <c r="C1140" s="23" t="s">
        <v>2223</v>
      </c>
      <c r="D1140" s="22" t="s">
        <v>3188</v>
      </c>
      <c r="E1140" s="23" t="s">
        <v>3189</v>
      </c>
      <c r="F1140" s="23" t="s">
        <v>3190</v>
      </c>
      <c r="G1140" s="23" t="s">
        <v>3191</v>
      </c>
      <c r="H1140" s="23" t="s">
        <v>3192</v>
      </c>
      <c r="I1140" s="22" t="s">
        <v>3253</v>
      </c>
      <c r="J1140" s="21" t="s">
        <v>3298</v>
      </c>
      <c r="K1140" s="21"/>
      <c r="L1140" s="21"/>
      <c r="N1140" s="22" t="s">
        <v>3299</v>
      </c>
      <c r="O1140" s="22" t="s">
        <v>3196</v>
      </c>
      <c r="P1140" s="21">
        <v>90415</v>
      </c>
      <c r="Q1140" s="21">
        <v>25</v>
      </c>
      <c r="R1140" s="21">
        <v>23.5</v>
      </c>
      <c r="S1140" s="21">
        <v>12</v>
      </c>
      <c r="T1140" s="21" t="s">
        <v>281</v>
      </c>
      <c r="U1140" s="21">
        <v>1</v>
      </c>
      <c r="V1140" s="21">
        <v>1</v>
      </c>
      <c r="W1140" s="24">
        <f t="shared" si="192"/>
        <v>4477.5979581272741</v>
      </c>
      <c r="X1140" s="24">
        <f t="shared" si="193"/>
        <v>3689.5</v>
      </c>
      <c r="Y1140" s="21">
        <v>1</v>
      </c>
      <c r="Z1140" s="24">
        <f t="shared" si="185"/>
        <v>4477.5979581272741</v>
      </c>
      <c r="AA1140" s="24">
        <f t="shared" si="186"/>
        <v>3689.5</v>
      </c>
      <c r="AB1140" s="21"/>
      <c r="AC1140" s="21"/>
      <c r="AD1140" s="21"/>
      <c r="AE1140" s="21"/>
      <c r="AF1140" s="21"/>
      <c r="AG1140" s="21"/>
      <c r="AH1140" s="24"/>
      <c r="AI1140" s="24"/>
      <c r="AJ1140" s="21">
        <v>3691.4</v>
      </c>
      <c r="AK1140" s="21">
        <v>25</v>
      </c>
      <c r="AL1140" s="22" t="s">
        <v>161</v>
      </c>
      <c r="AM1140" s="22">
        <v>0.11</v>
      </c>
      <c r="AN1140" s="22" t="s">
        <v>2206</v>
      </c>
      <c r="AO1140" s="22" t="s">
        <v>2206</v>
      </c>
      <c r="AP1140" s="22" t="s">
        <v>162</v>
      </c>
      <c r="AQ1140" s="22" t="str">
        <f t="shared" si="187"/>
        <v>Microphytoplankton</v>
      </c>
      <c r="AR1140" s="22">
        <v>0</v>
      </c>
      <c r="AS1140" s="22">
        <v>0</v>
      </c>
      <c r="AT1140" s="22">
        <v>0</v>
      </c>
      <c r="AU1140" s="22">
        <v>0</v>
      </c>
      <c r="AV1140" s="22">
        <v>0</v>
      </c>
      <c r="AW1140" s="22">
        <v>0</v>
      </c>
      <c r="AX1140" s="22">
        <v>0</v>
      </c>
      <c r="AY1140" s="22">
        <v>1</v>
      </c>
    </row>
    <row r="1141" spans="1:51">
      <c r="A1141" s="21" t="s">
        <v>3300</v>
      </c>
      <c r="B1141" s="22" t="s">
        <v>663</v>
      </c>
      <c r="C1141" s="23" t="s">
        <v>2223</v>
      </c>
      <c r="D1141" s="22" t="s">
        <v>3188</v>
      </c>
      <c r="E1141" s="23" t="s">
        <v>3189</v>
      </c>
      <c r="F1141" s="23" t="s">
        <v>3190</v>
      </c>
      <c r="G1141" s="23" t="s">
        <v>3191</v>
      </c>
      <c r="H1141" s="23" t="s">
        <v>3192</v>
      </c>
      <c r="I1141" s="22" t="s">
        <v>3253</v>
      </c>
      <c r="J1141" s="21" t="s">
        <v>3298</v>
      </c>
      <c r="K1141" s="21" t="s">
        <v>175</v>
      </c>
      <c r="L1141" s="21" t="s">
        <v>1419</v>
      </c>
      <c r="N1141" s="22" t="s">
        <v>3301</v>
      </c>
      <c r="O1141" s="22" t="s">
        <v>3196</v>
      </c>
      <c r="P1141" s="21">
        <v>90435</v>
      </c>
      <c r="Q1141" s="21">
        <v>20</v>
      </c>
      <c r="R1141" s="21">
        <v>15</v>
      </c>
      <c r="S1141" s="21">
        <v>10</v>
      </c>
      <c r="T1141" s="21" t="s">
        <v>159</v>
      </c>
      <c r="U1141" s="21">
        <v>0.8</v>
      </c>
      <c r="V1141" s="21">
        <v>0.8</v>
      </c>
      <c r="W1141" s="24">
        <f t="shared" si="192"/>
        <v>3098.8052350184257</v>
      </c>
      <c r="X1141" s="24">
        <f t="shared" si="193"/>
        <v>1256</v>
      </c>
      <c r="Y1141" s="21">
        <v>1</v>
      </c>
      <c r="Z1141" s="24">
        <f t="shared" si="185"/>
        <v>3098.8052350184257</v>
      </c>
      <c r="AA1141" s="24">
        <f t="shared" si="186"/>
        <v>1256</v>
      </c>
      <c r="AB1141" s="21"/>
      <c r="AC1141" s="21"/>
      <c r="AD1141" s="21"/>
      <c r="AE1141" s="21"/>
      <c r="AF1141" s="21"/>
      <c r="AG1141" s="21"/>
      <c r="AH1141" s="24"/>
      <c r="AI1141" s="24"/>
      <c r="AJ1141" s="21">
        <v>1256</v>
      </c>
      <c r="AK1141" s="21">
        <v>20</v>
      </c>
      <c r="AL1141" s="22" t="s">
        <v>161</v>
      </c>
      <c r="AM1141" s="22">
        <v>0.11</v>
      </c>
      <c r="AN1141" s="22" t="s">
        <v>2206</v>
      </c>
      <c r="AO1141" s="22" t="s">
        <v>2206</v>
      </c>
      <c r="AP1141" s="22" t="s">
        <v>162</v>
      </c>
      <c r="AQ1141" s="22" t="str">
        <f t="shared" si="187"/>
        <v>Microphytoplankton</v>
      </c>
      <c r="AR1141" s="22">
        <v>0</v>
      </c>
      <c r="AS1141" s="22">
        <v>0</v>
      </c>
      <c r="AT1141" s="22">
        <v>0</v>
      </c>
      <c r="AU1141" s="22">
        <v>0</v>
      </c>
      <c r="AV1141" s="22">
        <v>0</v>
      </c>
      <c r="AW1141" s="22">
        <v>0</v>
      </c>
      <c r="AX1141" s="22">
        <v>0</v>
      </c>
      <c r="AY1141" s="22">
        <v>1</v>
      </c>
    </row>
    <row r="1142" spans="1:51">
      <c r="A1142" s="21" t="s">
        <v>3302</v>
      </c>
      <c r="B1142" s="22" t="s">
        <v>663</v>
      </c>
      <c r="C1142" s="23" t="s">
        <v>2223</v>
      </c>
      <c r="D1142" s="22" t="s">
        <v>3188</v>
      </c>
      <c r="E1142" s="23" t="s">
        <v>3189</v>
      </c>
      <c r="F1142" s="23" t="s">
        <v>3190</v>
      </c>
      <c r="G1142" s="23" t="s">
        <v>3191</v>
      </c>
      <c r="H1142" s="23" t="s">
        <v>3192</v>
      </c>
      <c r="I1142" s="22" t="s">
        <v>3253</v>
      </c>
      <c r="J1142" s="21" t="s">
        <v>3303</v>
      </c>
      <c r="K1142" s="21" t="s">
        <v>175</v>
      </c>
      <c r="L1142" s="21" t="s">
        <v>3304</v>
      </c>
      <c r="N1142" s="22" t="s">
        <v>3305</v>
      </c>
      <c r="O1142" s="22" t="s">
        <v>3196</v>
      </c>
      <c r="P1142" s="21">
        <v>90437</v>
      </c>
      <c r="Q1142" s="21">
        <v>10</v>
      </c>
      <c r="R1142" s="21">
        <v>9</v>
      </c>
      <c r="S1142" s="21">
        <v>4</v>
      </c>
      <c r="T1142" s="21" t="s">
        <v>330</v>
      </c>
      <c r="U1142" s="21">
        <v>0.8</v>
      </c>
      <c r="V1142" s="21">
        <v>0.8</v>
      </c>
      <c r="W1142" s="25">
        <f>(Q1142*R1142*2+Q1142*S1142*2+R1142*S1142*2)/V1142</f>
        <v>415</v>
      </c>
      <c r="X1142" s="25">
        <f>Q1142*R1142*S1142*U1142</f>
        <v>288</v>
      </c>
      <c r="Y1142" s="21">
        <v>1</v>
      </c>
      <c r="Z1142" s="24">
        <f t="shared" si="185"/>
        <v>415</v>
      </c>
      <c r="AA1142" s="24">
        <f t="shared" si="186"/>
        <v>288</v>
      </c>
      <c r="AB1142" s="21"/>
      <c r="AC1142" s="21"/>
      <c r="AD1142" s="21"/>
      <c r="AE1142" s="21"/>
      <c r="AF1142" s="21"/>
      <c r="AG1142" s="21"/>
      <c r="AH1142" s="24"/>
      <c r="AI1142" s="24"/>
      <c r="AJ1142" s="21">
        <v>288</v>
      </c>
      <c r="AK1142" s="21">
        <v>10</v>
      </c>
      <c r="AL1142" s="22" t="s">
        <v>161</v>
      </c>
      <c r="AM1142" s="22">
        <v>0.11</v>
      </c>
      <c r="AN1142" s="22" t="s">
        <v>2206</v>
      </c>
      <c r="AO1142" s="22" t="s">
        <v>2206</v>
      </c>
      <c r="AP1142" s="22" t="s">
        <v>162</v>
      </c>
      <c r="AQ1142" s="22" t="str">
        <f t="shared" si="187"/>
        <v>Nanophytoplankton</v>
      </c>
      <c r="AR1142" s="22">
        <v>0</v>
      </c>
      <c r="AS1142" s="22">
        <v>0</v>
      </c>
      <c r="AT1142" s="22">
        <v>0</v>
      </c>
      <c r="AU1142" s="22">
        <v>0</v>
      </c>
      <c r="AV1142" s="22">
        <v>0</v>
      </c>
      <c r="AW1142" s="22">
        <v>0</v>
      </c>
      <c r="AX1142" s="22">
        <v>0</v>
      </c>
      <c r="AY1142" s="22">
        <v>1</v>
      </c>
    </row>
    <row r="1143" spans="1:51">
      <c r="A1143" s="21" t="s">
        <v>3306</v>
      </c>
      <c r="B1143" s="22" t="s">
        <v>663</v>
      </c>
      <c r="C1143" s="23" t="s">
        <v>2223</v>
      </c>
      <c r="D1143" s="22" t="s">
        <v>3188</v>
      </c>
      <c r="E1143" s="23" t="s">
        <v>3189</v>
      </c>
      <c r="F1143" s="23" t="s">
        <v>3190</v>
      </c>
      <c r="G1143" s="23" t="s">
        <v>3191</v>
      </c>
      <c r="H1143" s="23" t="s">
        <v>3192</v>
      </c>
      <c r="I1143" s="22" t="s">
        <v>3253</v>
      </c>
      <c r="J1143" s="21" t="s">
        <v>1107</v>
      </c>
      <c r="K1143" s="21"/>
      <c r="L1143" s="21"/>
      <c r="N1143" s="22" t="s">
        <v>3307</v>
      </c>
      <c r="O1143" s="22" t="s">
        <v>3196</v>
      </c>
      <c r="P1143" s="21">
        <v>90460</v>
      </c>
      <c r="Q1143" s="21">
        <v>40</v>
      </c>
      <c r="R1143" s="21">
        <v>37</v>
      </c>
      <c r="S1143" s="21">
        <v>20</v>
      </c>
      <c r="T1143" s="21" t="s">
        <v>281</v>
      </c>
      <c r="U1143" s="21">
        <v>0.9</v>
      </c>
      <c r="V1143" s="21">
        <v>0.9</v>
      </c>
      <c r="W1143" s="24">
        <f t="shared" ref="W1143:W1173" si="194">(4*3.14*(((Q1143^1.6*R1143^1.6+Q1143^1.6*S1143^1.6+R1143^1.6+S1143^1.6)/3)^(1/1.6)))*(1/V1143)</f>
        <v>12697.896648924409</v>
      </c>
      <c r="X1143" s="24">
        <f t="shared" ref="X1143:X1173" si="195">3.14/6*Q1143*R1143*S1143*U1143</f>
        <v>13941.6</v>
      </c>
      <c r="Y1143" s="21">
        <v>1</v>
      </c>
      <c r="Z1143" s="24">
        <f t="shared" si="185"/>
        <v>12697.896648924409</v>
      </c>
      <c r="AA1143" s="24">
        <f t="shared" si="186"/>
        <v>13941.6</v>
      </c>
      <c r="AB1143" s="21"/>
      <c r="AC1143" s="21"/>
      <c r="AD1143" s="21"/>
      <c r="AE1143" s="21"/>
      <c r="AF1143" s="21"/>
      <c r="AG1143" s="21"/>
      <c r="AH1143" s="24"/>
      <c r="AI1143" s="24"/>
      <c r="AJ1143" s="21">
        <v>13948.7</v>
      </c>
      <c r="AK1143" s="21">
        <v>40</v>
      </c>
      <c r="AL1143" s="22" t="s">
        <v>161</v>
      </c>
      <c r="AM1143" s="22">
        <v>0.11</v>
      </c>
      <c r="AN1143" s="22" t="s">
        <v>2206</v>
      </c>
      <c r="AO1143" s="22" t="s">
        <v>2206</v>
      </c>
      <c r="AP1143" s="22" t="s">
        <v>162</v>
      </c>
      <c r="AQ1143" s="22" t="str">
        <f t="shared" si="187"/>
        <v>Microphytoplankton</v>
      </c>
      <c r="AR1143" s="22">
        <v>0</v>
      </c>
      <c r="AS1143" s="22">
        <v>0</v>
      </c>
      <c r="AT1143" s="22">
        <v>0</v>
      </c>
      <c r="AU1143" s="22">
        <v>0</v>
      </c>
      <c r="AV1143" s="22">
        <v>0</v>
      </c>
      <c r="AW1143" s="22">
        <v>0</v>
      </c>
      <c r="AX1143" s="22">
        <v>0</v>
      </c>
      <c r="AY1143" s="22">
        <v>1</v>
      </c>
    </row>
    <row r="1144" spans="1:51">
      <c r="A1144" s="21" t="s">
        <v>3308</v>
      </c>
      <c r="B1144" s="22" t="s">
        <v>663</v>
      </c>
      <c r="C1144" s="23" t="s">
        <v>2223</v>
      </c>
      <c r="D1144" s="22" t="s">
        <v>3188</v>
      </c>
      <c r="E1144" s="23" t="s">
        <v>3189</v>
      </c>
      <c r="F1144" s="23" t="s">
        <v>3190</v>
      </c>
      <c r="G1144" s="23" t="s">
        <v>3191</v>
      </c>
      <c r="H1144" s="23" t="s">
        <v>3192</v>
      </c>
      <c r="I1144" s="22" t="s">
        <v>3253</v>
      </c>
      <c r="J1144" s="21" t="s">
        <v>3309</v>
      </c>
      <c r="K1144" s="21"/>
      <c r="L1144" s="21"/>
      <c r="N1144" s="22" t="s">
        <v>3294</v>
      </c>
      <c r="O1144" s="22" t="s">
        <v>3196</v>
      </c>
      <c r="P1144" s="21">
        <v>90416</v>
      </c>
      <c r="Q1144" s="21">
        <v>33</v>
      </c>
      <c r="R1144" s="21">
        <v>22</v>
      </c>
      <c r="S1144" s="21">
        <v>22</v>
      </c>
      <c r="T1144" s="21" t="s">
        <v>281</v>
      </c>
      <c r="U1144" s="21">
        <v>0.9</v>
      </c>
      <c r="V1144" s="21">
        <v>0.9</v>
      </c>
      <c r="W1144" s="24">
        <f t="shared" si="194"/>
        <v>7881.9593779077577</v>
      </c>
      <c r="X1144" s="24">
        <f t="shared" si="195"/>
        <v>7522.8120000000008</v>
      </c>
      <c r="Y1144" s="21">
        <v>1</v>
      </c>
      <c r="Z1144" s="24">
        <f t="shared" si="185"/>
        <v>7881.9593779077577</v>
      </c>
      <c r="AA1144" s="24">
        <f t="shared" si="186"/>
        <v>7522.8120000000008</v>
      </c>
      <c r="AB1144" s="21"/>
      <c r="AC1144" s="21"/>
      <c r="AD1144" s="21"/>
      <c r="AE1144" s="21"/>
      <c r="AF1144" s="21"/>
      <c r="AG1144" s="21"/>
      <c r="AH1144" s="24"/>
      <c r="AI1144" s="24"/>
      <c r="AJ1144" s="21">
        <v>7523</v>
      </c>
      <c r="AK1144" s="21">
        <v>33</v>
      </c>
      <c r="AL1144" s="22" t="s">
        <v>161</v>
      </c>
      <c r="AM1144" s="22">
        <v>0.11</v>
      </c>
      <c r="AN1144" s="22" t="s">
        <v>2206</v>
      </c>
      <c r="AO1144" s="22" t="s">
        <v>2206</v>
      </c>
      <c r="AP1144" s="22" t="s">
        <v>162</v>
      </c>
      <c r="AQ1144" s="22" t="str">
        <f t="shared" si="187"/>
        <v>Microphytoplankton</v>
      </c>
      <c r="AR1144" s="22">
        <v>0</v>
      </c>
      <c r="AS1144" s="22">
        <v>0</v>
      </c>
      <c r="AT1144" s="22">
        <v>0</v>
      </c>
      <c r="AU1144" s="22">
        <v>0</v>
      </c>
      <c r="AV1144" s="22">
        <v>0</v>
      </c>
      <c r="AW1144" s="22">
        <v>0</v>
      </c>
      <c r="AX1144" s="22">
        <v>0</v>
      </c>
      <c r="AY1144" s="22">
        <v>1</v>
      </c>
    </row>
    <row r="1145" spans="1:51">
      <c r="A1145" s="22" t="s">
        <v>3310</v>
      </c>
      <c r="B1145" s="22" t="s">
        <v>663</v>
      </c>
      <c r="C1145" s="23" t="s">
        <v>2223</v>
      </c>
      <c r="D1145" s="22" t="s">
        <v>3188</v>
      </c>
      <c r="E1145" s="23" t="s">
        <v>3189</v>
      </c>
      <c r="F1145" s="23" t="s">
        <v>3190</v>
      </c>
      <c r="G1145" s="23" t="s">
        <v>3191</v>
      </c>
      <c r="H1145" s="23" t="s">
        <v>3192</v>
      </c>
      <c r="I1145" s="22" t="s">
        <v>3253</v>
      </c>
      <c r="J1145" s="22" t="s">
        <v>3311</v>
      </c>
      <c r="N1145" s="22" t="s">
        <v>3312</v>
      </c>
      <c r="O1145" s="22" t="s">
        <v>3196</v>
      </c>
      <c r="P1145" s="21">
        <v>90409</v>
      </c>
      <c r="Q1145" s="22">
        <v>31.5</v>
      </c>
      <c r="R1145" s="22">
        <v>29.5</v>
      </c>
      <c r="S1145" s="22">
        <v>15</v>
      </c>
      <c r="T1145" s="22" t="s">
        <v>159</v>
      </c>
      <c r="U1145" s="22">
        <v>1</v>
      </c>
      <c r="V1145" s="22">
        <v>1</v>
      </c>
      <c r="W1145" s="24">
        <f t="shared" si="194"/>
        <v>7066.7175841450617</v>
      </c>
      <c r="X1145" s="24">
        <f t="shared" si="195"/>
        <v>7294.6125000000002</v>
      </c>
      <c r="Y1145" s="21">
        <v>1</v>
      </c>
      <c r="Z1145" s="24">
        <f t="shared" si="185"/>
        <v>7066.7175841450617</v>
      </c>
      <c r="AA1145" s="24">
        <f t="shared" si="186"/>
        <v>7294.6125000000002</v>
      </c>
      <c r="AJ1145" s="21">
        <v>7294.6125000000002</v>
      </c>
      <c r="AK1145" s="21">
        <v>31.5</v>
      </c>
      <c r="AL1145" s="22" t="s">
        <v>161</v>
      </c>
      <c r="AM1145" s="22">
        <v>0.11</v>
      </c>
      <c r="AN1145" s="22" t="s">
        <v>2206</v>
      </c>
      <c r="AO1145" s="22" t="s">
        <v>2206</v>
      </c>
      <c r="AP1145" s="22" t="s">
        <v>162</v>
      </c>
      <c r="AQ1145" s="22" t="str">
        <f t="shared" si="187"/>
        <v>Microphytoplankton</v>
      </c>
      <c r="AR1145" s="22">
        <v>0</v>
      </c>
      <c r="AS1145" s="22">
        <v>0</v>
      </c>
      <c r="AT1145" s="22">
        <v>0</v>
      </c>
      <c r="AU1145" s="22">
        <v>0</v>
      </c>
      <c r="AV1145" s="22">
        <v>0</v>
      </c>
      <c r="AW1145" s="22">
        <v>0</v>
      </c>
      <c r="AX1145" s="22">
        <v>0</v>
      </c>
      <c r="AY1145" s="22">
        <v>1</v>
      </c>
    </row>
    <row r="1146" spans="1:51">
      <c r="A1146" s="21" t="s">
        <v>3313</v>
      </c>
      <c r="B1146" s="22" t="s">
        <v>663</v>
      </c>
      <c r="C1146" s="23" t="s">
        <v>2223</v>
      </c>
      <c r="D1146" s="22" t="s">
        <v>3188</v>
      </c>
      <c r="E1146" s="23" t="s">
        <v>3189</v>
      </c>
      <c r="F1146" s="23" t="s">
        <v>3190</v>
      </c>
      <c r="G1146" s="23" t="s">
        <v>3191</v>
      </c>
      <c r="H1146" s="23" t="s">
        <v>3192</v>
      </c>
      <c r="I1146" s="22" t="s">
        <v>3253</v>
      </c>
      <c r="J1146" s="21" t="s">
        <v>3314</v>
      </c>
      <c r="K1146" s="21"/>
      <c r="L1146" s="21"/>
      <c r="N1146" s="22" t="s">
        <v>3315</v>
      </c>
      <c r="O1146" s="22" t="s">
        <v>3196</v>
      </c>
      <c r="P1146" s="21">
        <v>90418</v>
      </c>
      <c r="Q1146" s="21">
        <v>51</v>
      </c>
      <c r="R1146" s="21">
        <v>32</v>
      </c>
      <c r="S1146" s="21">
        <v>32</v>
      </c>
      <c r="T1146" s="21" t="s">
        <v>281</v>
      </c>
      <c r="U1146" s="21">
        <v>0.9</v>
      </c>
      <c r="V1146" s="21">
        <v>0.9</v>
      </c>
      <c r="W1146" s="24">
        <f t="shared" si="194"/>
        <v>17697.5343343153</v>
      </c>
      <c r="X1146" s="24">
        <f t="shared" si="195"/>
        <v>24597.503999999997</v>
      </c>
      <c r="Y1146" s="21">
        <v>1</v>
      </c>
      <c r="Z1146" s="24">
        <f t="shared" si="185"/>
        <v>17697.5343343153</v>
      </c>
      <c r="AA1146" s="24">
        <f t="shared" si="186"/>
        <v>24597.503999999997</v>
      </c>
      <c r="AB1146" s="21"/>
      <c r="AC1146" s="21"/>
      <c r="AD1146" s="21"/>
      <c r="AE1146" s="21"/>
      <c r="AF1146" s="21"/>
      <c r="AG1146" s="21"/>
      <c r="AH1146" s="24"/>
      <c r="AI1146" s="24"/>
      <c r="AJ1146" s="21">
        <v>24598</v>
      </c>
      <c r="AK1146" s="21">
        <v>51</v>
      </c>
      <c r="AL1146" s="22" t="s">
        <v>161</v>
      </c>
      <c r="AM1146" s="22">
        <v>0.11</v>
      </c>
      <c r="AN1146" s="22" t="s">
        <v>2206</v>
      </c>
      <c r="AO1146" s="22" t="s">
        <v>2206</v>
      </c>
      <c r="AP1146" s="22" t="s">
        <v>162</v>
      </c>
      <c r="AQ1146" s="22" t="str">
        <f t="shared" si="187"/>
        <v>Microphytoplankton</v>
      </c>
      <c r="AR1146" s="22">
        <v>0</v>
      </c>
      <c r="AS1146" s="22">
        <v>0</v>
      </c>
      <c r="AT1146" s="22">
        <v>0</v>
      </c>
      <c r="AU1146" s="22">
        <v>0</v>
      </c>
      <c r="AV1146" s="22">
        <v>0</v>
      </c>
      <c r="AW1146" s="22">
        <v>0</v>
      </c>
      <c r="AX1146" s="22">
        <v>0</v>
      </c>
      <c r="AY1146" s="22">
        <v>1</v>
      </c>
    </row>
    <row r="1147" spans="1:51">
      <c r="A1147" s="21" t="s">
        <v>3316</v>
      </c>
      <c r="B1147" s="22" t="s">
        <v>663</v>
      </c>
      <c r="C1147" s="23" t="s">
        <v>2223</v>
      </c>
      <c r="D1147" s="22" t="s">
        <v>3188</v>
      </c>
      <c r="E1147" s="23" t="s">
        <v>3189</v>
      </c>
      <c r="F1147" s="23" t="s">
        <v>3190</v>
      </c>
      <c r="G1147" s="23" t="s">
        <v>3191</v>
      </c>
      <c r="H1147" s="23" t="s">
        <v>3192</v>
      </c>
      <c r="I1147" s="22" t="s">
        <v>3253</v>
      </c>
      <c r="J1147" s="21" t="s">
        <v>3317</v>
      </c>
      <c r="K1147" s="21"/>
      <c r="L1147" s="21"/>
      <c r="N1147" s="22" t="s">
        <v>189</v>
      </c>
      <c r="O1147" s="22" t="s">
        <v>3196</v>
      </c>
      <c r="P1147" s="21">
        <v>90490</v>
      </c>
      <c r="Q1147" s="21">
        <v>40</v>
      </c>
      <c r="R1147" s="21">
        <v>35</v>
      </c>
      <c r="S1147" s="21">
        <v>20</v>
      </c>
      <c r="T1147" s="21" t="s">
        <v>281</v>
      </c>
      <c r="U1147" s="21">
        <v>1</v>
      </c>
      <c r="V1147" s="21">
        <v>1</v>
      </c>
      <c r="W1147" s="24">
        <f t="shared" si="194"/>
        <v>10980.478210529511</v>
      </c>
      <c r="X1147" s="24">
        <f t="shared" si="195"/>
        <v>14653.333333333332</v>
      </c>
      <c r="Y1147" s="21">
        <v>1</v>
      </c>
      <c r="Z1147" s="24">
        <f t="shared" si="185"/>
        <v>10980.478210529511</v>
      </c>
      <c r="AA1147" s="24">
        <f t="shared" si="186"/>
        <v>14653.333333333332</v>
      </c>
      <c r="AB1147" s="21"/>
      <c r="AC1147" s="21"/>
      <c r="AD1147" s="21"/>
      <c r="AE1147" s="21"/>
      <c r="AF1147" s="21"/>
      <c r="AG1147" s="21"/>
      <c r="AH1147" s="24"/>
      <c r="AI1147" s="24"/>
      <c r="AJ1147" s="21">
        <v>14660.8</v>
      </c>
      <c r="AK1147" s="21">
        <v>40</v>
      </c>
      <c r="AL1147" s="22" t="s">
        <v>161</v>
      </c>
      <c r="AM1147" s="22">
        <v>0.11</v>
      </c>
      <c r="AN1147" s="22" t="s">
        <v>2206</v>
      </c>
      <c r="AO1147" s="22" t="s">
        <v>2206</v>
      </c>
      <c r="AP1147" s="22" t="s">
        <v>162</v>
      </c>
      <c r="AQ1147" s="22" t="str">
        <f t="shared" si="187"/>
        <v>Microphytoplankton</v>
      </c>
      <c r="AR1147" s="22">
        <v>0</v>
      </c>
      <c r="AS1147" s="22">
        <v>0</v>
      </c>
      <c r="AT1147" s="22">
        <v>0</v>
      </c>
      <c r="AU1147" s="22">
        <v>0</v>
      </c>
      <c r="AV1147" s="22">
        <v>0</v>
      </c>
      <c r="AW1147" s="22">
        <v>0</v>
      </c>
      <c r="AX1147" s="22">
        <v>0</v>
      </c>
      <c r="AY1147" s="22">
        <v>1</v>
      </c>
    </row>
    <row r="1148" spans="1:51">
      <c r="A1148" s="21" t="s">
        <v>3318</v>
      </c>
      <c r="B1148" s="22" t="s">
        <v>663</v>
      </c>
      <c r="C1148" s="23" t="s">
        <v>2223</v>
      </c>
      <c r="D1148" s="22" t="s">
        <v>3188</v>
      </c>
      <c r="E1148" s="23" t="s">
        <v>3189</v>
      </c>
      <c r="F1148" s="23" t="s">
        <v>3190</v>
      </c>
      <c r="G1148" s="23" t="s">
        <v>3191</v>
      </c>
      <c r="H1148" s="23" t="s">
        <v>3192</v>
      </c>
      <c r="I1148" s="22" t="s">
        <v>3253</v>
      </c>
      <c r="J1148" s="21" t="s">
        <v>2676</v>
      </c>
      <c r="K1148" s="21"/>
      <c r="L1148" s="21"/>
      <c r="N1148" s="22" t="s">
        <v>3319</v>
      </c>
      <c r="O1148" s="22" t="s">
        <v>3196</v>
      </c>
      <c r="P1148" s="21">
        <v>90493</v>
      </c>
      <c r="Q1148" s="21">
        <v>11</v>
      </c>
      <c r="R1148" s="21">
        <v>11</v>
      </c>
      <c r="S1148" s="21">
        <v>5.5</v>
      </c>
      <c r="T1148" s="21" t="s">
        <v>281</v>
      </c>
      <c r="U1148" s="21">
        <v>0.9</v>
      </c>
      <c r="V1148" s="21">
        <v>0.9</v>
      </c>
      <c r="W1148" s="24">
        <f t="shared" si="194"/>
        <v>1029.213395514744</v>
      </c>
      <c r="X1148" s="24">
        <f t="shared" si="195"/>
        <v>313.45050000000003</v>
      </c>
      <c r="Y1148" s="21">
        <v>1</v>
      </c>
      <c r="Z1148" s="24">
        <f t="shared" si="185"/>
        <v>1029.213395514744</v>
      </c>
      <c r="AA1148" s="24">
        <f t="shared" si="186"/>
        <v>313.45050000000003</v>
      </c>
      <c r="AB1148" s="21"/>
      <c r="AC1148" s="21"/>
      <c r="AD1148" s="21"/>
      <c r="AE1148" s="21"/>
      <c r="AF1148" s="21"/>
      <c r="AG1148" s="21"/>
      <c r="AH1148" s="24"/>
      <c r="AI1148" s="24"/>
      <c r="AJ1148" s="21">
        <v>313.60000000000002</v>
      </c>
      <c r="AK1148" s="21">
        <v>11</v>
      </c>
      <c r="AL1148" s="22" t="s">
        <v>161</v>
      </c>
      <c r="AM1148" s="22">
        <v>0.11</v>
      </c>
      <c r="AN1148" s="22" t="s">
        <v>2206</v>
      </c>
      <c r="AO1148" s="22" t="s">
        <v>2206</v>
      </c>
      <c r="AP1148" s="22" t="s">
        <v>162</v>
      </c>
      <c r="AQ1148" s="22" t="str">
        <f t="shared" si="187"/>
        <v>Nanophytoplankton</v>
      </c>
      <c r="AR1148" s="22">
        <v>0</v>
      </c>
      <c r="AS1148" s="22">
        <v>0</v>
      </c>
      <c r="AT1148" s="22">
        <v>0</v>
      </c>
      <c r="AU1148" s="22">
        <v>0</v>
      </c>
      <c r="AV1148" s="22">
        <v>0</v>
      </c>
      <c r="AW1148" s="22">
        <v>0</v>
      </c>
      <c r="AX1148" s="22">
        <v>0</v>
      </c>
      <c r="AY1148" s="22">
        <v>1</v>
      </c>
    </row>
    <row r="1149" spans="1:51">
      <c r="A1149" s="22" t="s">
        <v>3320</v>
      </c>
      <c r="B1149" s="22" t="s">
        <v>663</v>
      </c>
      <c r="C1149" s="23" t="s">
        <v>2223</v>
      </c>
      <c r="D1149" s="22" t="s">
        <v>3188</v>
      </c>
      <c r="E1149" s="23" t="s">
        <v>3189</v>
      </c>
      <c r="F1149" s="23" t="s">
        <v>3190</v>
      </c>
      <c r="G1149" s="23" t="s">
        <v>3191</v>
      </c>
      <c r="H1149" s="23" t="s">
        <v>3192</v>
      </c>
      <c r="I1149" s="22" t="s">
        <v>3253</v>
      </c>
      <c r="J1149" s="22" t="s">
        <v>3321</v>
      </c>
      <c r="N1149" s="22" t="s">
        <v>2416</v>
      </c>
      <c r="O1149" s="22" t="s">
        <v>3196</v>
      </c>
      <c r="P1149" s="21">
        <v>90402</v>
      </c>
      <c r="Q1149" s="22">
        <v>11.5</v>
      </c>
      <c r="R1149" s="22">
        <v>12.5</v>
      </c>
      <c r="S1149" s="22">
        <v>10</v>
      </c>
      <c r="T1149" s="22" t="s">
        <v>159</v>
      </c>
      <c r="U1149" s="22">
        <v>1</v>
      </c>
      <c r="V1149" s="22">
        <v>1</v>
      </c>
      <c r="W1149" s="24">
        <f t="shared" si="194"/>
        <v>1281.6974180968091</v>
      </c>
      <c r="X1149" s="24">
        <f t="shared" si="195"/>
        <v>752.29166666666674</v>
      </c>
      <c r="Y1149" s="21">
        <v>1</v>
      </c>
      <c r="Z1149" s="24">
        <f t="shared" si="185"/>
        <v>1281.6974180968091</v>
      </c>
      <c r="AA1149" s="24">
        <f t="shared" si="186"/>
        <v>752.29166666666674</v>
      </c>
      <c r="AJ1149" s="21">
        <v>752.29166666666674</v>
      </c>
      <c r="AK1149" s="21">
        <v>12.5</v>
      </c>
      <c r="AL1149" s="22" t="s">
        <v>161</v>
      </c>
      <c r="AM1149" s="22">
        <v>0.11</v>
      </c>
      <c r="AN1149" s="22" t="s">
        <v>2206</v>
      </c>
      <c r="AO1149" s="22" t="s">
        <v>2206</v>
      </c>
      <c r="AP1149" s="22" t="s">
        <v>162</v>
      </c>
      <c r="AQ1149" s="22" t="str">
        <f t="shared" si="187"/>
        <v>Nanophytoplankton</v>
      </c>
      <c r="AR1149" s="22">
        <v>0</v>
      </c>
      <c r="AS1149" s="22">
        <v>0</v>
      </c>
      <c r="AT1149" s="22">
        <v>0</v>
      </c>
      <c r="AU1149" s="22">
        <v>0</v>
      </c>
      <c r="AV1149" s="22">
        <v>0</v>
      </c>
      <c r="AW1149" s="22">
        <v>0</v>
      </c>
      <c r="AX1149" s="22">
        <v>0</v>
      </c>
      <c r="AY1149" s="22">
        <v>1</v>
      </c>
    </row>
    <row r="1150" spans="1:51">
      <c r="A1150" s="22" t="s">
        <v>3322</v>
      </c>
      <c r="B1150" s="22" t="s">
        <v>663</v>
      </c>
      <c r="C1150" s="23" t="s">
        <v>2223</v>
      </c>
      <c r="D1150" s="22" t="s">
        <v>3188</v>
      </c>
      <c r="E1150" s="23" t="s">
        <v>3189</v>
      </c>
      <c r="F1150" s="23" t="s">
        <v>3190</v>
      </c>
      <c r="G1150" s="23" t="s">
        <v>3191</v>
      </c>
      <c r="H1150" s="23" t="s">
        <v>3192</v>
      </c>
      <c r="I1150" s="22" t="s">
        <v>3253</v>
      </c>
      <c r="J1150" s="22" t="s">
        <v>3321</v>
      </c>
      <c r="K1150" s="22" t="s">
        <v>175</v>
      </c>
      <c r="L1150" s="22" t="s">
        <v>3323</v>
      </c>
      <c r="N1150" s="22" t="s">
        <v>3324</v>
      </c>
      <c r="O1150" s="22" t="s">
        <v>3196</v>
      </c>
      <c r="P1150" s="21">
        <v>90438</v>
      </c>
      <c r="Q1150" s="22">
        <v>8</v>
      </c>
      <c r="R1150" s="22">
        <v>9</v>
      </c>
      <c r="S1150" s="22">
        <v>3.5</v>
      </c>
      <c r="T1150" s="22" t="s">
        <v>159</v>
      </c>
      <c r="U1150" s="22">
        <v>0.9</v>
      </c>
      <c r="V1150" s="22">
        <v>0.9</v>
      </c>
      <c r="W1150" s="24">
        <f t="shared" si="194"/>
        <v>585.56220808909552</v>
      </c>
      <c r="X1150" s="24">
        <f t="shared" si="195"/>
        <v>118.69199999999999</v>
      </c>
      <c r="Y1150" s="21">
        <v>1</v>
      </c>
      <c r="Z1150" s="24">
        <f t="shared" si="185"/>
        <v>585.56220808909552</v>
      </c>
      <c r="AA1150" s="24">
        <f t="shared" si="186"/>
        <v>118.69199999999999</v>
      </c>
      <c r="AJ1150" s="21">
        <v>118.69199999999999</v>
      </c>
      <c r="AK1150" s="21">
        <v>9</v>
      </c>
      <c r="AL1150" s="22" t="s">
        <v>161</v>
      </c>
      <c r="AM1150" s="22">
        <v>0.11</v>
      </c>
      <c r="AN1150" s="22" t="s">
        <v>2206</v>
      </c>
      <c r="AO1150" s="22" t="s">
        <v>2206</v>
      </c>
      <c r="AP1150" s="22" t="s">
        <v>162</v>
      </c>
      <c r="AQ1150" s="22" t="str">
        <f t="shared" si="187"/>
        <v>Nanophytoplankton</v>
      </c>
      <c r="AR1150" s="22">
        <v>0</v>
      </c>
      <c r="AS1150" s="22">
        <v>0</v>
      </c>
      <c r="AT1150" s="22">
        <v>0</v>
      </c>
      <c r="AU1150" s="22">
        <v>0</v>
      </c>
      <c r="AV1150" s="22">
        <v>0</v>
      </c>
      <c r="AW1150" s="22">
        <v>0</v>
      </c>
      <c r="AX1150" s="22">
        <v>0</v>
      </c>
      <c r="AY1150" s="22">
        <v>1</v>
      </c>
    </row>
    <row r="1151" spans="1:51">
      <c r="A1151" s="22" t="s">
        <v>3325</v>
      </c>
      <c r="B1151" s="22" t="s">
        <v>663</v>
      </c>
      <c r="C1151" s="23" t="s">
        <v>2223</v>
      </c>
      <c r="D1151" s="22" t="s">
        <v>3188</v>
      </c>
      <c r="E1151" s="23" t="s">
        <v>3189</v>
      </c>
      <c r="F1151" s="23" t="s">
        <v>3190</v>
      </c>
      <c r="G1151" s="23" t="s">
        <v>3191</v>
      </c>
      <c r="H1151" s="23" t="s">
        <v>3192</v>
      </c>
      <c r="I1151" s="22" t="s">
        <v>3253</v>
      </c>
      <c r="J1151" s="22" t="s">
        <v>3326</v>
      </c>
      <c r="N1151" s="22" t="s">
        <v>2530</v>
      </c>
      <c r="O1151" s="22" t="s">
        <v>3196</v>
      </c>
      <c r="P1151" s="21">
        <v>90424</v>
      </c>
      <c r="Q1151" s="22">
        <v>16</v>
      </c>
      <c r="R1151" s="22">
        <v>15</v>
      </c>
      <c r="S1151" s="22">
        <v>5</v>
      </c>
      <c r="T1151" s="22" t="s">
        <v>159</v>
      </c>
      <c r="U1151" s="22">
        <v>1</v>
      </c>
      <c r="V1151" s="22">
        <v>1</v>
      </c>
      <c r="W1151" s="24">
        <f t="shared" si="194"/>
        <v>1688.006480455653</v>
      </c>
      <c r="X1151" s="24">
        <f t="shared" si="195"/>
        <v>628</v>
      </c>
      <c r="Y1151" s="21">
        <v>1</v>
      </c>
      <c r="Z1151" s="24">
        <f t="shared" si="185"/>
        <v>1688.006480455653</v>
      </c>
      <c r="AA1151" s="24">
        <f t="shared" si="186"/>
        <v>628</v>
      </c>
      <c r="AJ1151" s="21">
        <v>628</v>
      </c>
      <c r="AK1151" s="21">
        <v>16</v>
      </c>
      <c r="AL1151" s="22" t="s">
        <v>161</v>
      </c>
      <c r="AM1151" s="22">
        <v>0.11</v>
      </c>
      <c r="AN1151" s="22" t="s">
        <v>2206</v>
      </c>
      <c r="AO1151" s="22" t="s">
        <v>2206</v>
      </c>
      <c r="AP1151" s="22" t="s">
        <v>162</v>
      </c>
      <c r="AQ1151" s="22" t="str">
        <f t="shared" si="187"/>
        <v>Nanophytoplankton</v>
      </c>
      <c r="AR1151" s="22">
        <v>0</v>
      </c>
      <c r="AS1151" s="22">
        <v>0</v>
      </c>
      <c r="AT1151" s="22">
        <v>0</v>
      </c>
      <c r="AU1151" s="22">
        <v>0</v>
      </c>
      <c r="AV1151" s="22">
        <v>0</v>
      </c>
      <c r="AW1151" s="22">
        <v>0</v>
      </c>
      <c r="AX1151" s="22">
        <v>0</v>
      </c>
      <c r="AY1151" s="22">
        <v>1</v>
      </c>
    </row>
    <row r="1152" spans="1:51">
      <c r="A1152" s="21" t="s">
        <v>3327</v>
      </c>
      <c r="B1152" s="22" t="s">
        <v>663</v>
      </c>
      <c r="C1152" s="23" t="s">
        <v>2223</v>
      </c>
      <c r="D1152" s="22" t="s">
        <v>3188</v>
      </c>
      <c r="E1152" s="23" t="s">
        <v>3189</v>
      </c>
      <c r="F1152" s="23" t="s">
        <v>3190</v>
      </c>
      <c r="G1152" s="23" t="s">
        <v>3191</v>
      </c>
      <c r="H1152" s="23" t="s">
        <v>3192</v>
      </c>
      <c r="I1152" s="22" t="s">
        <v>3253</v>
      </c>
      <c r="J1152" s="21" t="s">
        <v>3328</v>
      </c>
      <c r="K1152" s="21"/>
      <c r="L1152" s="21"/>
      <c r="N1152" s="22" t="s">
        <v>3329</v>
      </c>
      <c r="O1152" s="22" t="s">
        <v>3196</v>
      </c>
      <c r="P1152" s="21">
        <v>90495</v>
      </c>
      <c r="Q1152" s="21">
        <v>52</v>
      </c>
      <c r="R1152" s="21">
        <v>50</v>
      </c>
      <c r="S1152" s="21">
        <v>30</v>
      </c>
      <c r="T1152" s="21" t="s">
        <v>281</v>
      </c>
      <c r="U1152" s="21">
        <v>0.7</v>
      </c>
      <c r="V1152" s="21">
        <v>0.7</v>
      </c>
      <c r="W1152" s="24">
        <f t="shared" si="194"/>
        <v>29541.448121600803</v>
      </c>
      <c r="X1152" s="24">
        <f t="shared" si="195"/>
        <v>28573.999999999993</v>
      </c>
      <c r="Y1152" s="21">
        <v>1</v>
      </c>
      <c r="Z1152" s="24">
        <f t="shared" si="185"/>
        <v>29541.448121600803</v>
      </c>
      <c r="AA1152" s="24">
        <f t="shared" si="186"/>
        <v>28573.999999999993</v>
      </c>
      <c r="AB1152" s="21"/>
      <c r="AC1152" s="21"/>
      <c r="AD1152" s="21"/>
      <c r="AE1152" s="21"/>
      <c r="AF1152" s="21"/>
      <c r="AG1152" s="21"/>
      <c r="AH1152" s="24"/>
      <c r="AI1152" s="24"/>
      <c r="AJ1152" s="21">
        <v>31256</v>
      </c>
      <c r="AK1152" s="21">
        <v>52</v>
      </c>
      <c r="AL1152" s="22" t="s">
        <v>161</v>
      </c>
      <c r="AM1152" s="22">
        <v>0.11</v>
      </c>
      <c r="AN1152" s="22" t="s">
        <v>2206</v>
      </c>
      <c r="AO1152" s="22" t="s">
        <v>2206</v>
      </c>
      <c r="AP1152" s="22" t="s">
        <v>162</v>
      </c>
      <c r="AQ1152" s="22" t="str">
        <f t="shared" si="187"/>
        <v>Microphytoplankton</v>
      </c>
      <c r="AR1152" s="22">
        <v>0</v>
      </c>
      <c r="AS1152" s="22">
        <v>0</v>
      </c>
      <c r="AT1152" s="22">
        <v>0</v>
      </c>
      <c r="AU1152" s="22">
        <v>0</v>
      </c>
      <c r="AV1152" s="22">
        <v>0</v>
      </c>
      <c r="AW1152" s="22">
        <v>0</v>
      </c>
      <c r="AX1152" s="22">
        <v>0</v>
      </c>
      <c r="AY1152" s="22">
        <v>1</v>
      </c>
    </row>
    <row r="1153" spans="1:51">
      <c r="A1153" s="22" t="s">
        <v>3330</v>
      </c>
      <c r="B1153" s="22" t="s">
        <v>663</v>
      </c>
      <c r="C1153" s="23" t="s">
        <v>2223</v>
      </c>
      <c r="D1153" s="22" t="s">
        <v>3188</v>
      </c>
      <c r="E1153" s="23" t="s">
        <v>3189</v>
      </c>
      <c r="F1153" s="23" t="s">
        <v>3190</v>
      </c>
      <c r="G1153" s="23" t="s">
        <v>3191</v>
      </c>
      <c r="H1153" s="23" t="s">
        <v>3192</v>
      </c>
      <c r="I1153" s="22" t="s">
        <v>3253</v>
      </c>
      <c r="J1153" s="22" t="s">
        <v>3331</v>
      </c>
      <c r="K1153" s="22" t="s">
        <v>175</v>
      </c>
      <c r="L1153" s="22" t="s">
        <v>1419</v>
      </c>
      <c r="N1153" s="22" t="s">
        <v>3332</v>
      </c>
      <c r="O1153" s="22" t="s">
        <v>3196</v>
      </c>
      <c r="P1153" s="21">
        <v>90419</v>
      </c>
      <c r="Q1153" s="21">
        <v>14</v>
      </c>
      <c r="R1153" s="21">
        <v>13</v>
      </c>
      <c r="S1153" s="21">
        <v>13</v>
      </c>
      <c r="T1153" s="21" t="s">
        <v>281</v>
      </c>
      <c r="U1153" s="21">
        <v>0.9</v>
      </c>
      <c r="V1153" s="21">
        <v>0.9</v>
      </c>
      <c r="W1153" s="24">
        <f t="shared" si="194"/>
        <v>1989.355371584815</v>
      </c>
      <c r="X1153" s="24">
        <f t="shared" si="195"/>
        <v>1114.386</v>
      </c>
      <c r="Y1153" s="21">
        <v>1</v>
      </c>
      <c r="Z1153" s="24">
        <f t="shared" si="185"/>
        <v>1989.355371584815</v>
      </c>
      <c r="AA1153" s="24">
        <f t="shared" si="186"/>
        <v>1114.386</v>
      </c>
      <c r="AB1153" s="21"/>
      <c r="AC1153" s="21"/>
      <c r="AD1153" s="21"/>
      <c r="AE1153" s="21"/>
      <c r="AF1153" s="21"/>
      <c r="AG1153" s="21"/>
      <c r="AH1153" s="24"/>
      <c r="AI1153" s="24"/>
      <c r="AJ1153" s="21">
        <v>1114.4000000000001</v>
      </c>
      <c r="AK1153" s="21">
        <v>14</v>
      </c>
      <c r="AL1153" s="22" t="s">
        <v>161</v>
      </c>
      <c r="AM1153" s="22">
        <v>0.11</v>
      </c>
      <c r="AN1153" s="22" t="s">
        <v>2206</v>
      </c>
      <c r="AO1153" s="22" t="s">
        <v>2206</v>
      </c>
      <c r="AP1153" s="22" t="s">
        <v>162</v>
      </c>
      <c r="AQ1153" s="22" t="str">
        <f t="shared" si="187"/>
        <v>Nanophytoplankton</v>
      </c>
      <c r="AR1153" s="22">
        <v>0</v>
      </c>
      <c r="AS1153" s="22">
        <v>0</v>
      </c>
      <c r="AT1153" s="22">
        <v>0</v>
      </c>
      <c r="AU1153" s="22">
        <v>0</v>
      </c>
      <c r="AV1153" s="22">
        <v>0</v>
      </c>
      <c r="AW1153" s="22">
        <v>0</v>
      </c>
      <c r="AX1153" s="22">
        <v>0</v>
      </c>
      <c r="AY1153" s="22">
        <v>1</v>
      </c>
    </row>
    <row r="1154" spans="1:51">
      <c r="A1154" s="22" t="s">
        <v>3333</v>
      </c>
      <c r="B1154" s="22" t="s">
        <v>663</v>
      </c>
      <c r="C1154" s="23" t="s">
        <v>2223</v>
      </c>
      <c r="D1154" s="22" t="s">
        <v>3188</v>
      </c>
      <c r="E1154" s="23" t="s">
        <v>3189</v>
      </c>
      <c r="F1154" s="23" t="s">
        <v>3190</v>
      </c>
      <c r="G1154" s="23" t="s">
        <v>3191</v>
      </c>
      <c r="H1154" s="23" t="s">
        <v>3192</v>
      </c>
      <c r="I1154" s="22" t="s">
        <v>3253</v>
      </c>
      <c r="J1154" s="22" t="s">
        <v>422</v>
      </c>
      <c r="N1154" s="22" t="s">
        <v>3334</v>
      </c>
      <c r="O1154" s="22" t="s">
        <v>3196</v>
      </c>
      <c r="P1154" s="21">
        <v>90426</v>
      </c>
      <c r="Q1154" s="22">
        <v>12</v>
      </c>
      <c r="R1154" s="22">
        <v>12.2</v>
      </c>
      <c r="S1154" s="22">
        <v>5</v>
      </c>
      <c r="T1154" s="22" t="s">
        <v>159</v>
      </c>
      <c r="U1154" s="22">
        <v>1</v>
      </c>
      <c r="V1154" s="22">
        <v>1</v>
      </c>
      <c r="W1154" s="24">
        <f t="shared" si="194"/>
        <v>1070.9275029461662</v>
      </c>
      <c r="X1154" s="24">
        <f t="shared" si="195"/>
        <v>383.07999999999993</v>
      </c>
      <c r="Y1154" s="21">
        <v>1</v>
      </c>
      <c r="Z1154" s="24">
        <f t="shared" ref="Z1154:Z1217" si="196">Y1154*W1154</f>
        <v>1070.9275029461662</v>
      </c>
      <c r="AA1154" s="24">
        <f t="shared" ref="AA1154:AA1217" si="197">Y1154*X1154</f>
        <v>383.07999999999993</v>
      </c>
      <c r="AJ1154" s="21">
        <v>383.07999999999993</v>
      </c>
      <c r="AK1154" s="21">
        <v>12.2</v>
      </c>
      <c r="AL1154" s="22" t="s">
        <v>161</v>
      </c>
      <c r="AM1154" s="22">
        <v>0.11</v>
      </c>
      <c r="AN1154" s="22" t="s">
        <v>2206</v>
      </c>
      <c r="AO1154" s="22" t="s">
        <v>2206</v>
      </c>
      <c r="AP1154" s="22" t="s">
        <v>162</v>
      </c>
      <c r="AQ1154" s="22" t="str">
        <f t="shared" ref="AQ1154:AQ1217" si="198">IF(AND($AK1154&lt;20,AJ1154&lt;10000),"Nanophytoplankton","Microphytoplankton")</f>
        <v>Nanophytoplankton</v>
      </c>
      <c r="AR1154" s="22">
        <v>0</v>
      </c>
      <c r="AS1154" s="22">
        <v>0</v>
      </c>
      <c r="AT1154" s="22">
        <v>0</v>
      </c>
      <c r="AU1154" s="22">
        <v>0</v>
      </c>
      <c r="AV1154" s="22">
        <v>0</v>
      </c>
      <c r="AW1154" s="22">
        <v>0</v>
      </c>
      <c r="AX1154" s="22">
        <v>0</v>
      </c>
      <c r="AY1154" s="22">
        <v>1</v>
      </c>
    </row>
    <row r="1155" spans="1:51">
      <c r="A1155" s="21" t="s">
        <v>3335</v>
      </c>
      <c r="B1155" s="22" t="s">
        <v>663</v>
      </c>
      <c r="C1155" s="23" t="s">
        <v>2223</v>
      </c>
      <c r="D1155" s="22" t="s">
        <v>3188</v>
      </c>
      <c r="E1155" s="23" t="s">
        <v>3189</v>
      </c>
      <c r="F1155" s="23" t="s">
        <v>3190</v>
      </c>
      <c r="G1155" s="23" t="s">
        <v>3191</v>
      </c>
      <c r="H1155" s="23" t="s">
        <v>3192</v>
      </c>
      <c r="I1155" s="22" t="s">
        <v>3253</v>
      </c>
      <c r="J1155" s="21" t="s">
        <v>211</v>
      </c>
      <c r="K1155" s="21"/>
      <c r="L1155" s="21"/>
      <c r="M1155" s="22" t="s">
        <v>1</v>
      </c>
      <c r="N1155" s="22" t="s">
        <v>2260</v>
      </c>
      <c r="O1155" s="22" t="s">
        <v>3196</v>
      </c>
      <c r="P1155" s="21">
        <v>90400</v>
      </c>
      <c r="Q1155" s="21">
        <v>40</v>
      </c>
      <c r="R1155" s="21">
        <v>40</v>
      </c>
      <c r="S1155" s="21">
        <v>12</v>
      </c>
      <c r="T1155" s="21" t="s">
        <v>281</v>
      </c>
      <c r="U1155" s="21">
        <v>0.7</v>
      </c>
      <c r="V1155" s="21">
        <v>0.7</v>
      </c>
      <c r="W1155" s="24">
        <f t="shared" si="194"/>
        <v>15756.720681234388</v>
      </c>
      <c r="X1155" s="24">
        <f t="shared" si="195"/>
        <v>7033.5999999999995</v>
      </c>
      <c r="Y1155" s="21">
        <v>1</v>
      </c>
      <c r="Z1155" s="24">
        <f t="shared" si="196"/>
        <v>15756.720681234388</v>
      </c>
      <c r="AA1155" s="24">
        <f t="shared" si="197"/>
        <v>7033.5999999999995</v>
      </c>
      <c r="AB1155" s="21"/>
      <c r="AC1155" s="21"/>
      <c r="AD1155" s="21"/>
      <c r="AE1155" s="21"/>
      <c r="AF1155" s="21"/>
      <c r="AG1155" s="21"/>
      <c r="AH1155" s="24"/>
      <c r="AI1155" s="24"/>
      <c r="AJ1155" s="21">
        <v>7037.2</v>
      </c>
      <c r="AK1155" s="21">
        <v>40</v>
      </c>
      <c r="AL1155" s="22" t="s">
        <v>161</v>
      </c>
      <c r="AM1155" s="22">
        <v>0.11</v>
      </c>
      <c r="AN1155" s="22" t="s">
        <v>2206</v>
      </c>
      <c r="AO1155" s="22" t="s">
        <v>2206</v>
      </c>
      <c r="AP1155" s="22" t="s">
        <v>162</v>
      </c>
      <c r="AQ1155" s="22" t="str">
        <f t="shared" si="198"/>
        <v>Microphytoplankton</v>
      </c>
      <c r="AR1155" s="22">
        <v>0</v>
      </c>
      <c r="AS1155" s="22">
        <v>0</v>
      </c>
      <c r="AT1155" s="22">
        <v>0</v>
      </c>
      <c r="AU1155" s="22">
        <v>0</v>
      </c>
      <c r="AV1155" s="22">
        <v>0</v>
      </c>
      <c r="AW1155" s="22">
        <v>0</v>
      </c>
      <c r="AX1155" s="22">
        <v>0</v>
      </c>
      <c r="AY1155" s="22">
        <v>1</v>
      </c>
    </row>
    <row r="1156" spans="1:51">
      <c r="A1156" s="21" t="s">
        <v>3336</v>
      </c>
      <c r="B1156" s="22" t="s">
        <v>663</v>
      </c>
      <c r="C1156" s="23" t="s">
        <v>2223</v>
      </c>
      <c r="D1156" s="22" t="s">
        <v>3188</v>
      </c>
      <c r="E1156" s="23" t="s">
        <v>3189</v>
      </c>
      <c r="F1156" s="23" t="s">
        <v>3190</v>
      </c>
      <c r="G1156" s="23" t="s">
        <v>3191</v>
      </c>
      <c r="H1156" s="23" t="s">
        <v>3192</v>
      </c>
      <c r="I1156" s="22" t="s">
        <v>3253</v>
      </c>
      <c r="J1156" s="21" t="s">
        <v>1175</v>
      </c>
      <c r="K1156" s="21"/>
      <c r="L1156" s="21"/>
      <c r="M1156" s="22" t="s">
        <v>1</v>
      </c>
      <c r="N1156" s="22" t="s">
        <v>3337</v>
      </c>
      <c r="O1156" s="22" t="s">
        <v>3196</v>
      </c>
      <c r="P1156" s="21">
        <v>90421</v>
      </c>
      <c r="Q1156" s="21">
        <v>47</v>
      </c>
      <c r="R1156" s="21">
        <v>34</v>
      </c>
      <c r="S1156" s="21">
        <v>17</v>
      </c>
      <c r="T1156" s="21" t="s">
        <v>281</v>
      </c>
      <c r="U1156" s="21">
        <v>1</v>
      </c>
      <c r="V1156" s="21">
        <v>1</v>
      </c>
      <c r="W1156" s="24">
        <f t="shared" si="194"/>
        <v>12087.052131335844</v>
      </c>
      <c r="X1156" s="24">
        <f t="shared" si="195"/>
        <v>14216.873333333335</v>
      </c>
      <c r="Y1156" s="21">
        <v>1</v>
      </c>
      <c r="Z1156" s="24">
        <f t="shared" si="196"/>
        <v>12087.052131335844</v>
      </c>
      <c r="AA1156" s="24">
        <f t="shared" si="197"/>
        <v>14216.873333333335</v>
      </c>
      <c r="AB1156" s="21"/>
      <c r="AC1156" s="21"/>
      <c r="AD1156" s="21"/>
      <c r="AE1156" s="21"/>
      <c r="AF1156" s="21"/>
      <c r="AG1156" s="21"/>
      <c r="AH1156" s="24"/>
      <c r="AI1156" s="24"/>
      <c r="AJ1156" s="21">
        <v>14224.1</v>
      </c>
      <c r="AK1156" s="21">
        <v>47</v>
      </c>
      <c r="AL1156" s="22" t="s">
        <v>161</v>
      </c>
      <c r="AM1156" s="22">
        <v>0.11</v>
      </c>
      <c r="AN1156" s="22" t="s">
        <v>2206</v>
      </c>
      <c r="AO1156" s="22" t="s">
        <v>2206</v>
      </c>
      <c r="AP1156" s="22" t="s">
        <v>162</v>
      </c>
      <c r="AQ1156" s="22" t="str">
        <f t="shared" si="198"/>
        <v>Microphytoplankton</v>
      </c>
      <c r="AR1156" s="22">
        <v>0</v>
      </c>
      <c r="AS1156" s="22">
        <v>0</v>
      </c>
      <c r="AT1156" s="22">
        <v>0</v>
      </c>
      <c r="AU1156" s="22">
        <v>0</v>
      </c>
      <c r="AV1156" s="22">
        <v>0</v>
      </c>
      <c r="AW1156" s="22">
        <v>0</v>
      </c>
      <c r="AX1156" s="22">
        <v>0</v>
      </c>
      <c r="AY1156" s="22">
        <v>1</v>
      </c>
    </row>
    <row r="1157" spans="1:51">
      <c r="A1157" s="22" t="s">
        <v>3338</v>
      </c>
      <c r="B1157" s="22" t="s">
        <v>663</v>
      </c>
      <c r="C1157" s="23" t="s">
        <v>2223</v>
      </c>
      <c r="D1157" s="22" t="s">
        <v>3188</v>
      </c>
      <c r="E1157" s="23" t="s">
        <v>3189</v>
      </c>
      <c r="F1157" s="23" t="s">
        <v>3190</v>
      </c>
      <c r="G1157" s="23" t="s">
        <v>3191</v>
      </c>
      <c r="H1157" s="23" t="s">
        <v>3192</v>
      </c>
      <c r="I1157" s="22" t="s">
        <v>3253</v>
      </c>
      <c r="J1157" s="22" t="s">
        <v>1556</v>
      </c>
      <c r="M1157" s="22" t="s">
        <v>1</v>
      </c>
      <c r="N1157" s="22" t="s">
        <v>3337</v>
      </c>
      <c r="O1157" s="22" t="s">
        <v>3196</v>
      </c>
      <c r="P1157" s="21">
        <v>90427</v>
      </c>
      <c r="Q1157" s="22">
        <v>20</v>
      </c>
      <c r="R1157" s="22">
        <v>20</v>
      </c>
      <c r="S1157" s="22">
        <v>10</v>
      </c>
      <c r="T1157" s="22" t="s">
        <v>159</v>
      </c>
      <c r="U1157" s="22">
        <v>1</v>
      </c>
      <c r="V1157" s="22">
        <v>1</v>
      </c>
      <c r="W1157" s="24">
        <f t="shared" si="194"/>
        <v>3037.182479401109</v>
      </c>
      <c r="X1157" s="24">
        <f t="shared" si="195"/>
        <v>2093.3333333333335</v>
      </c>
      <c r="Y1157" s="21">
        <v>1</v>
      </c>
      <c r="Z1157" s="24">
        <f t="shared" si="196"/>
        <v>3037.182479401109</v>
      </c>
      <c r="AA1157" s="24">
        <f t="shared" si="197"/>
        <v>2093.3333333333335</v>
      </c>
      <c r="AJ1157" s="21">
        <v>2093.3333333333335</v>
      </c>
      <c r="AK1157" s="21">
        <v>20</v>
      </c>
      <c r="AL1157" s="22" t="s">
        <v>161</v>
      </c>
      <c r="AM1157" s="22">
        <v>0.11</v>
      </c>
      <c r="AN1157" s="22" t="s">
        <v>2206</v>
      </c>
      <c r="AO1157" s="22" t="s">
        <v>2206</v>
      </c>
      <c r="AP1157" s="22" t="s">
        <v>162</v>
      </c>
      <c r="AQ1157" s="22" t="str">
        <f t="shared" si="198"/>
        <v>Microphytoplankton</v>
      </c>
      <c r="AR1157" s="22">
        <v>0</v>
      </c>
      <c r="AS1157" s="22">
        <v>0</v>
      </c>
      <c r="AT1157" s="22">
        <v>0</v>
      </c>
      <c r="AU1157" s="22">
        <v>0</v>
      </c>
      <c r="AV1157" s="22">
        <v>0</v>
      </c>
      <c r="AW1157" s="22">
        <v>0</v>
      </c>
      <c r="AX1157" s="22">
        <v>0</v>
      </c>
      <c r="AY1157" s="22">
        <v>1</v>
      </c>
    </row>
    <row r="1158" spans="1:51">
      <c r="A1158" s="22" t="s">
        <v>3339</v>
      </c>
      <c r="B1158" s="22" t="s">
        <v>663</v>
      </c>
      <c r="C1158" s="23" t="s">
        <v>2223</v>
      </c>
      <c r="D1158" s="22" t="s">
        <v>3188</v>
      </c>
      <c r="E1158" s="23" t="s">
        <v>3189</v>
      </c>
      <c r="F1158" s="23" t="s">
        <v>3190</v>
      </c>
      <c r="G1158" s="23" t="s">
        <v>3191</v>
      </c>
      <c r="H1158" s="23" t="s">
        <v>3192</v>
      </c>
      <c r="I1158" s="22" t="s">
        <v>3253</v>
      </c>
      <c r="J1158" s="22" t="s">
        <v>3340</v>
      </c>
      <c r="K1158" s="22" t="s">
        <v>175</v>
      </c>
      <c r="L1158" s="22" t="s">
        <v>1419</v>
      </c>
      <c r="N1158" s="22" t="s">
        <v>3341</v>
      </c>
      <c r="O1158" s="22" t="s">
        <v>3196</v>
      </c>
      <c r="P1158" s="21">
        <v>90428</v>
      </c>
      <c r="Q1158" s="22">
        <v>21.5</v>
      </c>
      <c r="R1158" s="22">
        <v>19.5</v>
      </c>
      <c r="S1158" s="22">
        <v>10</v>
      </c>
      <c r="T1158" s="22" t="s">
        <v>159</v>
      </c>
      <c r="U1158" s="22">
        <v>1</v>
      </c>
      <c r="V1158" s="22">
        <v>1</v>
      </c>
      <c r="W1158" s="24">
        <f t="shared" si="194"/>
        <v>3201.9116808863059</v>
      </c>
      <c r="X1158" s="24">
        <f t="shared" si="195"/>
        <v>2194.0749999999998</v>
      </c>
      <c r="Y1158" s="21">
        <v>1</v>
      </c>
      <c r="Z1158" s="24">
        <f t="shared" si="196"/>
        <v>3201.9116808863059</v>
      </c>
      <c r="AA1158" s="24">
        <f t="shared" si="197"/>
        <v>2194.0749999999998</v>
      </c>
      <c r="AJ1158" s="21">
        <v>2194.0749999999998</v>
      </c>
      <c r="AK1158" s="21">
        <v>21.5</v>
      </c>
      <c r="AL1158" s="22" t="s">
        <v>161</v>
      </c>
      <c r="AM1158" s="22">
        <v>0.11</v>
      </c>
      <c r="AN1158" s="22" t="s">
        <v>2206</v>
      </c>
      <c r="AO1158" s="22" t="s">
        <v>2206</v>
      </c>
      <c r="AP1158" s="22" t="s">
        <v>162</v>
      </c>
      <c r="AQ1158" s="22" t="str">
        <f t="shared" si="198"/>
        <v>Microphytoplankton</v>
      </c>
      <c r="AR1158" s="22">
        <v>0</v>
      </c>
      <c r="AS1158" s="22">
        <v>0</v>
      </c>
      <c r="AT1158" s="22">
        <v>0</v>
      </c>
      <c r="AU1158" s="22">
        <v>0</v>
      </c>
      <c r="AV1158" s="22">
        <v>0</v>
      </c>
      <c r="AW1158" s="22">
        <v>0</v>
      </c>
      <c r="AX1158" s="22">
        <v>0</v>
      </c>
      <c r="AY1158" s="22">
        <v>1</v>
      </c>
    </row>
    <row r="1159" spans="1:51">
      <c r="A1159" s="22" t="s">
        <v>3342</v>
      </c>
      <c r="B1159" s="22" t="s">
        <v>663</v>
      </c>
      <c r="C1159" s="23" t="s">
        <v>2223</v>
      </c>
      <c r="D1159" s="22" t="s">
        <v>3188</v>
      </c>
      <c r="E1159" s="23" t="s">
        <v>3189</v>
      </c>
      <c r="F1159" s="23" t="s">
        <v>3190</v>
      </c>
      <c r="G1159" s="23" t="s">
        <v>3191</v>
      </c>
      <c r="H1159" s="23" t="s">
        <v>3192</v>
      </c>
      <c r="I1159" s="22" t="s">
        <v>3253</v>
      </c>
      <c r="J1159" s="22" t="s">
        <v>3340</v>
      </c>
      <c r="K1159" s="22" t="s">
        <v>175</v>
      </c>
      <c r="L1159" s="22" t="s">
        <v>3340</v>
      </c>
      <c r="N1159" s="22" t="s">
        <v>3343</v>
      </c>
      <c r="O1159" s="22" t="s">
        <v>3196</v>
      </c>
      <c r="P1159" s="21">
        <v>90429</v>
      </c>
      <c r="Q1159" s="22">
        <v>30</v>
      </c>
      <c r="R1159" s="22">
        <v>28</v>
      </c>
      <c r="S1159" s="22">
        <v>10</v>
      </c>
      <c r="T1159" s="22" t="s">
        <v>159</v>
      </c>
      <c r="U1159" s="22">
        <v>1</v>
      </c>
      <c r="V1159" s="22">
        <v>1</v>
      </c>
      <c r="W1159" s="24">
        <f t="shared" si="194"/>
        <v>5943.4617311619431</v>
      </c>
      <c r="X1159" s="24">
        <f t="shared" si="195"/>
        <v>4396</v>
      </c>
      <c r="Y1159" s="21">
        <v>1</v>
      </c>
      <c r="Z1159" s="24">
        <f t="shared" si="196"/>
        <v>5943.4617311619431</v>
      </c>
      <c r="AA1159" s="24">
        <f t="shared" si="197"/>
        <v>4396</v>
      </c>
      <c r="AJ1159" s="21">
        <v>4396</v>
      </c>
      <c r="AK1159" s="21">
        <v>30</v>
      </c>
      <c r="AL1159" s="22" t="s">
        <v>161</v>
      </c>
      <c r="AM1159" s="22">
        <v>0.11</v>
      </c>
      <c r="AN1159" s="22" t="s">
        <v>2206</v>
      </c>
      <c r="AO1159" s="22" t="s">
        <v>2206</v>
      </c>
      <c r="AP1159" s="22" t="s">
        <v>162</v>
      </c>
      <c r="AQ1159" s="22" t="str">
        <f t="shared" si="198"/>
        <v>Microphytoplankton</v>
      </c>
      <c r="AR1159" s="22">
        <v>0</v>
      </c>
      <c r="AS1159" s="22">
        <v>0</v>
      </c>
      <c r="AT1159" s="22">
        <v>0</v>
      </c>
      <c r="AU1159" s="22">
        <v>0</v>
      </c>
      <c r="AV1159" s="22">
        <v>0</v>
      </c>
      <c r="AW1159" s="22">
        <v>0</v>
      </c>
      <c r="AX1159" s="22">
        <v>0</v>
      </c>
      <c r="AY1159" s="22">
        <v>1</v>
      </c>
    </row>
    <row r="1160" spans="1:51">
      <c r="A1160" s="21" t="s">
        <v>3344</v>
      </c>
      <c r="B1160" s="22" t="s">
        <v>663</v>
      </c>
      <c r="C1160" s="23" t="s">
        <v>2223</v>
      </c>
      <c r="D1160" s="22" t="s">
        <v>3188</v>
      </c>
      <c r="E1160" s="23" t="s">
        <v>3189</v>
      </c>
      <c r="F1160" s="23" t="s">
        <v>3190</v>
      </c>
      <c r="G1160" s="23" t="s">
        <v>3191</v>
      </c>
      <c r="H1160" s="23" t="s">
        <v>3192</v>
      </c>
      <c r="I1160" s="22" t="s">
        <v>3253</v>
      </c>
      <c r="J1160" s="21" t="s">
        <v>3345</v>
      </c>
      <c r="K1160" s="21"/>
      <c r="L1160" s="21"/>
      <c r="N1160" s="22" t="s">
        <v>2029</v>
      </c>
      <c r="O1160" s="22" t="s">
        <v>3196</v>
      </c>
      <c r="P1160" s="21">
        <v>90425</v>
      </c>
      <c r="Q1160" s="21">
        <v>27</v>
      </c>
      <c r="R1160" s="21">
        <v>25</v>
      </c>
      <c r="S1160" s="21">
        <v>13</v>
      </c>
      <c r="T1160" s="21" t="s">
        <v>281</v>
      </c>
      <c r="U1160" s="21">
        <v>0.9</v>
      </c>
      <c r="V1160" s="21">
        <v>0.9</v>
      </c>
      <c r="W1160" s="24">
        <f t="shared" si="194"/>
        <v>5740.4520495922998</v>
      </c>
      <c r="X1160" s="24">
        <f t="shared" si="195"/>
        <v>4133.0250000000005</v>
      </c>
      <c r="Y1160" s="21">
        <v>1</v>
      </c>
      <c r="Z1160" s="24">
        <f t="shared" si="196"/>
        <v>5740.4520495922998</v>
      </c>
      <c r="AA1160" s="24">
        <f t="shared" si="197"/>
        <v>4133.0250000000005</v>
      </c>
      <c r="AB1160" s="21"/>
      <c r="AC1160" s="21"/>
      <c r="AD1160" s="21"/>
      <c r="AE1160" s="21"/>
      <c r="AF1160" s="21"/>
      <c r="AG1160" s="21"/>
      <c r="AH1160" s="24"/>
      <c r="AI1160" s="24"/>
      <c r="AJ1160" s="21">
        <v>4135.1000000000004</v>
      </c>
      <c r="AK1160" s="21">
        <v>27</v>
      </c>
      <c r="AL1160" s="22" t="s">
        <v>161</v>
      </c>
      <c r="AM1160" s="22">
        <v>0.11</v>
      </c>
      <c r="AN1160" s="22" t="s">
        <v>2206</v>
      </c>
      <c r="AO1160" s="22" t="s">
        <v>2206</v>
      </c>
      <c r="AP1160" s="22" t="s">
        <v>162</v>
      </c>
      <c r="AQ1160" s="22" t="str">
        <f t="shared" si="198"/>
        <v>Microphytoplankton</v>
      </c>
      <c r="AR1160" s="22">
        <v>0</v>
      </c>
      <c r="AS1160" s="22">
        <v>0</v>
      </c>
      <c r="AT1160" s="22">
        <v>0</v>
      </c>
      <c r="AU1160" s="22">
        <v>0</v>
      </c>
      <c r="AV1160" s="22">
        <v>0</v>
      </c>
      <c r="AW1160" s="22">
        <v>0</v>
      </c>
      <c r="AX1160" s="22">
        <v>0</v>
      </c>
      <c r="AY1160" s="22">
        <v>1</v>
      </c>
    </row>
    <row r="1161" spans="1:51">
      <c r="A1161" s="21" t="s">
        <v>3346</v>
      </c>
      <c r="B1161" s="22" t="s">
        <v>663</v>
      </c>
      <c r="C1161" s="23" t="s">
        <v>2223</v>
      </c>
      <c r="D1161" s="22" t="s">
        <v>3188</v>
      </c>
      <c r="E1161" s="23" t="s">
        <v>3189</v>
      </c>
      <c r="F1161" s="23" t="s">
        <v>3190</v>
      </c>
      <c r="G1161" s="23" t="s">
        <v>3191</v>
      </c>
      <c r="H1161" s="23" t="s">
        <v>3192</v>
      </c>
      <c r="I1161" s="22" t="s">
        <v>3253</v>
      </c>
      <c r="J1161" s="21" t="s">
        <v>3347</v>
      </c>
      <c r="K1161" s="21"/>
      <c r="L1161" s="21"/>
      <c r="N1161" s="22" t="s">
        <v>3348</v>
      </c>
      <c r="O1161" s="22" t="s">
        <v>3196</v>
      </c>
      <c r="P1161" s="21">
        <v>90422</v>
      </c>
      <c r="Q1161" s="21">
        <v>29</v>
      </c>
      <c r="R1161" s="21">
        <v>26</v>
      </c>
      <c r="S1161" s="21">
        <v>26</v>
      </c>
      <c r="T1161" s="21" t="s">
        <v>281</v>
      </c>
      <c r="U1161" s="21">
        <v>0.9</v>
      </c>
      <c r="V1161" s="21">
        <v>0.9</v>
      </c>
      <c r="W1161" s="24">
        <f t="shared" si="194"/>
        <v>8190.2992363294925</v>
      </c>
      <c r="X1161" s="24">
        <f t="shared" si="195"/>
        <v>9233.4840000000004</v>
      </c>
      <c r="Y1161" s="21">
        <v>1</v>
      </c>
      <c r="Z1161" s="24">
        <f t="shared" si="196"/>
        <v>8190.2992363294925</v>
      </c>
      <c r="AA1161" s="24">
        <f t="shared" si="197"/>
        <v>9233.4840000000004</v>
      </c>
      <c r="AB1161" s="21"/>
      <c r="AC1161" s="21"/>
      <c r="AD1161" s="21"/>
      <c r="AE1161" s="21"/>
      <c r="AF1161" s="21"/>
      <c r="AG1161" s="21"/>
      <c r="AH1161" s="24"/>
      <c r="AI1161" s="24"/>
      <c r="AJ1161" s="21">
        <v>9233.5</v>
      </c>
      <c r="AK1161" s="21">
        <v>29</v>
      </c>
      <c r="AL1161" s="22" t="s">
        <v>161</v>
      </c>
      <c r="AM1161" s="22">
        <v>0.11</v>
      </c>
      <c r="AN1161" s="22" t="s">
        <v>2206</v>
      </c>
      <c r="AO1161" s="22" t="s">
        <v>2206</v>
      </c>
      <c r="AP1161" s="22" t="s">
        <v>162</v>
      </c>
      <c r="AQ1161" s="22" t="str">
        <f t="shared" si="198"/>
        <v>Microphytoplankton</v>
      </c>
      <c r="AR1161" s="22">
        <v>0</v>
      </c>
      <c r="AS1161" s="22">
        <v>0</v>
      </c>
      <c r="AT1161" s="22">
        <v>0</v>
      </c>
      <c r="AU1161" s="22">
        <v>0</v>
      </c>
      <c r="AV1161" s="22">
        <v>0</v>
      </c>
      <c r="AW1161" s="22">
        <v>0</v>
      </c>
      <c r="AX1161" s="22">
        <v>0</v>
      </c>
      <c r="AY1161" s="22">
        <v>1</v>
      </c>
    </row>
    <row r="1162" spans="1:51">
      <c r="A1162" s="21" t="s">
        <v>3349</v>
      </c>
      <c r="B1162" s="22" t="s">
        <v>663</v>
      </c>
      <c r="C1162" s="23" t="s">
        <v>2223</v>
      </c>
      <c r="D1162" s="22" t="s">
        <v>3188</v>
      </c>
      <c r="E1162" s="23" t="s">
        <v>3189</v>
      </c>
      <c r="F1162" s="23" t="s">
        <v>3190</v>
      </c>
      <c r="G1162" s="23" t="s">
        <v>3191</v>
      </c>
      <c r="H1162" s="23" t="s">
        <v>3192</v>
      </c>
      <c r="I1162" s="22" t="s">
        <v>3253</v>
      </c>
      <c r="J1162" s="21" t="s">
        <v>3350</v>
      </c>
      <c r="K1162" s="21"/>
      <c r="L1162" s="21"/>
      <c r="N1162" s="22" t="s">
        <v>3351</v>
      </c>
      <c r="O1162" s="22" t="s">
        <v>3196</v>
      </c>
      <c r="P1162" s="21">
        <v>90496</v>
      </c>
      <c r="Q1162" s="21">
        <v>31</v>
      </c>
      <c r="R1162" s="21">
        <v>22</v>
      </c>
      <c r="S1162" s="21">
        <v>11</v>
      </c>
      <c r="T1162" s="21" t="s">
        <v>281</v>
      </c>
      <c r="U1162" s="21">
        <v>0.8</v>
      </c>
      <c r="V1162" s="21">
        <v>0.8</v>
      </c>
      <c r="W1162" s="24">
        <f t="shared" si="194"/>
        <v>6456.2251215087281</v>
      </c>
      <c r="X1162" s="24">
        <f t="shared" si="195"/>
        <v>3140.8373333333329</v>
      </c>
      <c r="Y1162" s="21">
        <v>1</v>
      </c>
      <c r="Z1162" s="24">
        <f t="shared" si="196"/>
        <v>6456.2251215087281</v>
      </c>
      <c r="AA1162" s="24">
        <f t="shared" si="197"/>
        <v>3140.8373333333329</v>
      </c>
      <c r="AB1162" s="21"/>
      <c r="AC1162" s="21"/>
      <c r="AD1162" s="21"/>
      <c r="AE1162" s="21"/>
      <c r="AF1162" s="21"/>
      <c r="AG1162" s="21"/>
      <c r="AH1162" s="24"/>
      <c r="AI1162" s="24"/>
      <c r="AJ1162" s="21">
        <v>4866</v>
      </c>
      <c r="AK1162" s="21">
        <v>31</v>
      </c>
      <c r="AL1162" s="22" t="s">
        <v>161</v>
      </c>
      <c r="AM1162" s="22">
        <v>0.11</v>
      </c>
      <c r="AN1162" s="22" t="s">
        <v>2206</v>
      </c>
      <c r="AO1162" s="22" t="s">
        <v>2206</v>
      </c>
      <c r="AP1162" s="22" t="s">
        <v>162</v>
      </c>
      <c r="AQ1162" s="22" t="str">
        <f t="shared" si="198"/>
        <v>Microphytoplankton</v>
      </c>
      <c r="AR1162" s="22">
        <v>0</v>
      </c>
      <c r="AS1162" s="22">
        <v>0</v>
      </c>
      <c r="AT1162" s="22">
        <v>0</v>
      </c>
      <c r="AU1162" s="22">
        <v>0</v>
      </c>
      <c r="AV1162" s="22">
        <v>0</v>
      </c>
      <c r="AW1162" s="22">
        <v>0</v>
      </c>
      <c r="AX1162" s="22">
        <v>0</v>
      </c>
      <c r="AY1162" s="22">
        <v>1</v>
      </c>
    </row>
    <row r="1163" spans="1:51">
      <c r="A1163" s="21" t="s">
        <v>3352</v>
      </c>
      <c r="B1163" s="22" t="s">
        <v>663</v>
      </c>
      <c r="C1163" s="23" t="s">
        <v>2223</v>
      </c>
      <c r="D1163" s="22" t="s">
        <v>3188</v>
      </c>
      <c r="E1163" s="23" t="s">
        <v>3189</v>
      </c>
      <c r="F1163" s="23" t="s">
        <v>3190</v>
      </c>
      <c r="G1163" s="23" t="s">
        <v>3191</v>
      </c>
      <c r="H1163" s="23" t="s">
        <v>3192</v>
      </c>
      <c r="I1163" s="22" t="s">
        <v>3253</v>
      </c>
      <c r="J1163" s="21" t="s">
        <v>3353</v>
      </c>
      <c r="K1163" s="21"/>
      <c r="L1163" s="21"/>
      <c r="N1163" s="22" t="s">
        <v>3354</v>
      </c>
      <c r="O1163" s="22" t="s">
        <v>3196</v>
      </c>
      <c r="P1163" s="21">
        <v>90450</v>
      </c>
      <c r="Q1163" s="21">
        <v>25</v>
      </c>
      <c r="R1163" s="21">
        <v>23</v>
      </c>
      <c r="S1163" s="21">
        <v>15</v>
      </c>
      <c r="T1163" s="21" t="s">
        <v>281</v>
      </c>
      <c r="U1163" s="21">
        <v>1</v>
      </c>
      <c r="V1163" s="21">
        <v>1</v>
      </c>
      <c r="W1163" s="24">
        <f t="shared" si="194"/>
        <v>4708.9201908153691</v>
      </c>
      <c r="X1163" s="24">
        <f t="shared" si="195"/>
        <v>4513.7499999999991</v>
      </c>
      <c r="Y1163" s="21">
        <v>1</v>
      </c>
      <c r="Z1163" s="24">
        <f t="shared" si="196"/>
        <v>4708.9201908153691</v>
      </c>
      <c r="AA1163" s="24">
        <f t="shared" si="197"/>
        <v>4513.7499999999991</v>
      </c>
      <c r="AB1163" s="21"/>
      <c r="AC1163" s="21"/>
      <c r="AD1163" s="21"/>
      <c r="AE1163" s="21"/>
      <c r="AF1163" s="21"/>
      <c r="AG1163" s="21"/>
      <c r="AH1163" s="24"/>
      <c r="AI1163" s="24"/>
      <c r="AJ1163" s="21">
        <v>4516</v>
      </c>
      <c r="AK1163" s="21">
        <v>25</v>
      </c>
      <c r="AL1163" s="22" t="s">
        <v>161</v>
      </c>
      <c r="AM1163" s="22">
        <v>0.11</v>
      </c>
      <c r="AN1163" s="22" t="s">
        <v>2206</v>
      </c>
      <c r="AO1163" s="22" t="s">
        <v>2206</v>
      </c>
      <c r="AP1163" s="22" t="s">
        <v>162</v>
      </c>
      <c r="AQ1163" s="22" t="str">
        <f t="shared" si="198"/>
        <v>Microphytoplankton</v>
      </c>
      <c r="AR1163" s="22">
        <v>0</v>
      </c>
      <c r="AS1163" s="22">
        <v>0</v>
      </c>
      <c r="AT1163" s="22">
        <v>0</v>
      </c>
      <c r="AU1163" s="22">
        <v>0</v>
      </c>
      <c r="AV1163" s="22">
        <v>0</v>
      </c>
      <c r="AW1163" s="22">
        <v>0</v>
      </c>
      <c r="AX1163" s="22">
        <v>0</v>
      </c>
      <c r="AY1163" s="22">
        <v>1</v>
      </c>
    </row>
    <row r="1164" spans="1:51">
      <c r="A1164" s="22" t="s">
        <v>3355</v>
      </c>
      <c r="B1164" s="22" t="s">
        <v>663</v>
      </c>
      <c r="C1164" s="23" t="s">
        <v>2223</v>
      </c>
      <c r="D1164" s="22" t="s">
        <v>3188</v>
      </c>
      <c r="E1164" s="23" t="s">
        <v>3189</v>
      </c>
      <c r="F1164" s="23" t="s">
        <v>3190</v>
      </c>
      <c r="G1164" s="23" t="s">
        <v>3191</v>
      </c>
      <c r="H1164" s="23" t="s">
        <v>3192</v>
      </c>
      <c r="I1164" s="22" t="s">
        <v>3253</v>
      </c>
      <c r="J1164" s="22" t="s">
        <v>3353</v>
      </c>
      <c r="K1164" s="22" t="s">
        <v>175</v>
      </c>
      <c r="L1164" s="22" t="s">
        <v>3356</v>
      </c>
      <c r="N1164" s="22" t="s">
        <v>3357</v>
      </c>
      <c r="O1164" s="22" t="s">
        <v>3196</v>
      </c>
      <c r="P1164" s="21">
        <v>90431</v>
      </c>
      <c r="Q1164" s="22">
        <v>25.5</v>
      </c>
      <c r="R1164" s="22">
        <v>23.5</v>
      </c>
      <c r="S1164" s="22">
        <v>10</v>
      </c>
      <c r="T1164" s="22" t="s">
        <v>159</v>
      </c>
      <c r="U1164" s="22">
        <v>1</v>
      </c>
      <c r="V1164" s="22">
        <v>1</v>
      </c>
      <c r="W1164" s="24">
        <f t="shared" si="194"/>
        <v>4380.6457200006371</v>
      </c>
      <c r="X1164" s="24">
        <f t="shared" si="195"/>
        <v>3136.0749999999998</v>
      </c>
      <c r="Y1164" s="21">
        <v>1</v>
      </c>
      <c r="Z1164" s="24">
        <f t="shared" si="196"/>
        <v>4380.6457200006371</v>
      </c>
      <c r="AA1164" s="24">
        <f t="shared" si="197"/>
        <v>3136.0749999999998</v>
      </c>
      <c r="AJ1164" s="21">
        <v>3136.0749999999998</v>
      </c>
      <c r="AK1164" s="21">
        <v>25.5</v>
      </c>
      <c r="AL1164" s="22" t="s">
        <v>161</v>
      </c>
      <c r="AM1164" s="22">
        <v>0.11</v>
      </c>
      <c r="AN1164" s="22" t="s">
        <v>2206</v>
      </c>
      <c r="AO1164" s="22" t="s">
        <v>2206</v>
      </c>
      <c r="AP1164" s="22" t="s">
        <v>162</v>
      </c>
      <c r="AQ1164" s="22" t="str">
        <f t="shared" si="198"/>
        <v>Microphytoplankton</v>
      </c>
      <c r="AR1164" s="22">
        <v>0</v>
      </c>
      <c r="AS1164" s="22">
        <v>0</v>
      </c>
      <c r="AT1164" s="22">
        <v>0</v>
      </c>
      <c r="AU1164" s="22">
        <v>0</v>
      </c>
      <c r="AV1164" s="22">
        <v>0</v>
      </c>
      <c r="AW1164" s="22">
        <v>0</v>
      </c>
      <c r="AX1164" s="22">
        <v>0</v>
      </c>
      <c r="AY1164" s="22">
        <v>1</v>
      </c>
    </row>
    <row r="1165" spans="1:51">
      <c r="A1165" s="22" t="s">
        <v>3358</v>
      </c>
      <c r="B1165" s="22" t="s">
        <v>663</v>
      </c>
      <c r="C1165" s="23" t="s">
        <v>2223</v>
      </c>
      <c r="D1165" s="22" t="s">
        <v>3188</v>
      </c>
      <c r="E1165" s="23" t="s">
        <v>3189</v>
      </c>
      <c r="F1165" s="23" t="s">
        <v>3190</v>
      </c>
      <c r="G1165" s="23" t="s">
        <v>3191</v>
      </c>
      <c r="H1165" s="23" t="s">
        <v>3192</v>
      </c>
      <c r="I1165" s="22" t="s">
        <v>3253</v>
      </c>
      <c r="J1165" s="22" t="s">
        <v>2140</v>
      </c>
      <c r="N1165" s="22" t="s">
        <v>3337</v>
      </c>
      <c r="O1165" s="22" t="s">
        <v>3196</v>
      </c>
      <c r="P1165" s="21">
        <v>90432</v>
      </c>
      <c r="Q1165" s="22">
        <v>17</v>
      </c>
      <c r="R1165" s="22">
        <v>17</v>
      </c>
      <c r="S1165" s="22">
        <v>12</v>
      </c>
      <c r="T1165" s="22" t="s">
        <v>159</v>
      </c>
      <c r="U1165" s="22">
        <v>0.85</v>
      </c>
      <c r="V1165" s="22">
        <v>0.85</v>
      </c>
      <c r="W1165" s="24">
        <f t="shared" si="194"/>
        <v>2871.3298737836271</v>
      </c>
      <c r="X1165" s="24">
        <f t="shared" si="195"/>
        <v>1542.682</v>
      </c>
      <c r="Y1165" s="21">
        <v>1</v>
      </c>
      <c r="Z1165" s="24">
        <f t="shared" si="196"/>
        <v>2871.3298737836271</v>
      </c>
      <c r="AA1165" s="24">
        <f t="shared" si="197"/>
        <v>1542.682</v>
      </c>
      <c r="AJ1165" s="21">
        <v>1542.682</v>
      </c>
      <c r="AK1165" s="21">
        <v>15</v>
      </c>
      <c r="AL1165" s="22" t="s">
        <v>161</v>
      </c>
      <c r="AM1165" s="22">
        <v>0.11</v>
      </c>
      <c r="AN1165" s="22" t="s">
        <v>2206</v>
      </c>
      <c r="AO1165" s="22" t="s">
        <v>2206</v>
      </c>
      <c r="AP1165" s="22" t="s">
        <v>162</v>
      </c>
      <c r="AQ1165" s="22" t="str">
        <f t="shared" si="198"/>
        <v>Nanophytoplankton</v>
      </c>
      <c r="AR1165" s="22">
        <v>0</v>
      </c>
      <c r="AS1165" s="22">
        <v>0</v>
      </c>
      <c r="AT1165" s="22">
        <v>0</v>
      </c>
      <c r="AU1165" s="22">
        <v>0</v>
      </c>
      <c r="AV1165" s="22">
        <v>0</v>
      </c>
      <c r="AW1165" s="22">
        <v>0</v>
      </c>
      <c r="AX1165" s="22">
        <v>0</v>
      </c>
      <c r="AY1165" s="22">
        <v>1</v>
      </c>
    </row>
    <row r="1166" spans="1:51">
      <c r="A1166" s="21" t="s">
        <v>3359</v>
      </c>
      <c r="B1166" s="22" t="s">
        <v>663</v>
      </c>
      <c r="C1166" s="23" t="s">
        <v>2223</v>
      </c>
      <c r="D1166" s="22" t="s">
        <v>3188</v>
      </c>
      <c r="E1166" s="23" t="s">
        <v>3189</v>
      </c>
      <c r="F1166" s="23" t="s">
        <v>3190</v>
      </c>
      <c r="G1166" s="23" t="s">
        <v>3191</v>
      </c>
      <c r="H1166" s="23" t="s">
        <v>3192</v>
      </c>
      <c r="I1166" s="22" t="s">
        <v>3253</v>
      </c>
      <c r="J1166" s="21" t="s">
        <v>3360</v>
      </c>
      <c r="K1166" s="21"/>
      <c r="L1166" s="21"/>
      <c r="N1166" s="22" t="s">
        <v>2416</v>
      </c>
      <c r="O1166" s="22" t="s">
        <v>3196</v>
      </c>
      <c r="P1166" s="21">
        <v>90481</v>
      </c>
      <c r="Q1166" s="21">
        <v>10</v>
      </c>
      <c r="R1166" s="21">
        <v>9</v>
      </c>
      <c r="S1166" s="21">
        <v>9</v>
      </c>
      <c r="T1166" s="21" t="s">
        <v>281</v>
      </c>
      <c r="U1166" s="21">
        <v>0.9</v>
      </c>
      <c r="V1166" s="21">
        <v>0.9</v>
      </c>
      <c r="W1166" s="24">
        <f t="shared" si="194"/>
        <v>990.07135012826075</v>
      </c>
      <c r="X1166" s="24">
        <f t="shared" si="195"/>
        <v>381.51000000000005</v>
      </c>
      <c r="Y1166" s="21">
        <v>1</v>
      </c>
      <c r="Z1166" s="24">
        <f t="shared" si="196"/>
        <v>990.07135012826075</v>
      </c>
      <c r="AA1166" s="24">
        <f t="shared" si="197"/>
        <v>381.51000000000005</v>
      </c>
      <c r="AB1166" s="21"/>
      <c r="AC1166" s="21"/>
      <c r="AD1166" s="21"/>
      <c r="AE1166" s="21"/>
      <c r="AF1166" s="21"/>
      <c r="AG1166" s="21"/>
      <c r="AH1166" s="24"/>
      <c r="AI1166" s="24"/>
      <c r="AJ1166" s="21">
        <v>424</v>
      </c>
      <c r="AK1166" s="21">
        <v>10</v>
      </c>
      <c r="AL1166" s="22" t="s">
        <v>161</v>
      </c>
      <c r="AM1166" s="22">
        <v>0.11</v>
      </c>
      <c r="AN1166" s="22" t="s">
        <v>2206</v>
      </c>
      <c r="AO1166" s="22" t="s">
        <v>2206</v>
      </c>
      <c r="AP1166" s="22" t="s">
        <v>162</v>
      </c>
      <c r="AQ1166" s="22" t="str">
        <f t="shared" si="198"/>
        <v>Nanophytoplankton</v>
      </c>
      <c r="AR1166" s="22">
        <v>0</v>
      </c>
      <c r="AS1166" s="22">
        <v>0</v>
      </c>
      <c r="AT1166" s="22">
        <v>0</v>
      </c>
      <c r="AU1166" s="22">
        <v>0</v>
      </c>
      <c r="AV1166" s="22">
        <v>0</v>
      </c>
      <c r="AW1166" s="22">
        <v>0</v>
      </c>
      <c r="AX1166" s="22">
        <v>0</v>
      </c>
      <c r="AY1166" s="22">
        <v>1</v>
      </c>
    </row>
    <row r="1167" spans="1:51">
      <c r="A1167" s="21" t="s">
        <v>3361</v>
      </c>
      <c r="B1167" s="22" t="s">
        <v>663</v>
      </c>
      <c r="C1167" s="23" t="s">
        <v>2223</v>
      </c>
      <c r="D1167" s="22" t="s">
        <v>3188</v>
      </c>
      <c r="E1167" s="23" t="s">
        <v>3189</v>
      </c>
      <c r="F1167" s="23" t="s">
        <v>3190</v>
      </c>
      <c r="G1167" s="23" t="s">
        <v>3191</v>
      </c>
      <c r="H1167" s="23" t="s">
        <v>3192</v>
      </c>
      <c r="I1167" s="22" t="s">
        <v>3253</v>
      </c>
      <c r="J1167" s="22" t="s">
        <v>3362</v>
      </c>
      <c r="K1167" s="21"/>
      <c r="L1167" s="21"/>
      <c r="N1167" s="22" t="s">
        <v>3363</v>
      </c>
      <c r="O1167" s="22" t="s">
        <v>3196</v>
      </c>
      <c r="P1167" s="21">
        <v>90494</v>
      </c>
      <c r="Q1167" s="21">
        <v>30</v>
      </c>
      <c r="R1167" s="21">
        <v>27</v>
      </c>
      <c r="S1167" s="21">
        <v>15</v>
      </c>
      <c r="T1167" s="21" t="s">
        <v>281</v>
      </c>
      <c r="U1167" s="21">
        <v>0.9</v>
      </c>
      <c r="V1167" s="21">
        <v>0.9</v>
      </c>
      <c r="W1167" s="24">
        <f t="shared" si="194"/>
        <v>7009.3268752099511</v>
      </c>
      <c r="X1167" s="24">
        <f t="shared" si="195"/>
        <v>5722.6500000000005</v>
      </c>
      <c r="Y1167" s="21">
        <v>1</v>
      </c>
      <c r="Z1167" s="24">
        <f t="shared" si="196"/>
        <v>7009.3268752099511</v>
      </c>
      <c r="AA1167" s="24">
        <f t="shared" si="197"/>
        <v>5722.6500000000005</v>
      </c>
      <c r="AB1167" s="21"/>
      <c r="AC1167" s="21"/>
      <c r="AD1167" s="21"/>
      <c r="AE1167" s="21"/>
      <c r="AF1167" s="21"/>
      <c r="AG1167" s="21"/>
      <c r="AH1167" s="24"/>
      <c r="AI1167" s="24"/>
      <c r="AJ1167" s="21">
        <v>6358.5</v>
      </c>
      <c r="AK1167" s="21">
        <v>30</v>
      </c>
      <c r="AL1167" s="22" t="s">
        <v>161</v>
      </c>
      <c r="AM1167" s="22">
        <v>0.11</v>
      </c>
      <c r="AN1167" s="22" t="s">
        <v>2206</v>
      </c>
      <c r="AO1167" s="22" t="s">
        <v>2206</v>
      </c>
      <c r="AP1167" s="22" t="s">
        <v>162</v>
      </c>
      <c r="AQ1167" s="22" t="str">
        <f t="shared" si="198"/>
        <v>Microphytoplankton</v>
      </c>
      <c r="AR1167" s="22">
        <v>0</v>
      </c>
      <c r="AS1167" s="22">
        <v>0</v>
      </c>
      <c r="AT1167" s="22">
        <v>0</v>
      </c>
      <c r="AU1167" s="22">
        <v>0</v>
      </c>
      <c r="AV1167" s="22">
        <v>0</v>
      </c>
      <c r="AW1167" s="22">
        <v>0</v>
      </c>
      <c r="AX1167" s="22">
        <v>0</v>
      </c>
      <c r="AY1167" s="22">
        <v>1</v>
      </c>
    </row>
    <row r="1168" spans="1:51">
      <c r="A1168" s="22" t="s">
        <v>3361</v>
      </c>
      <c r="B1168" s="22" t="s">
        <v>663</v>
      </c>
      <c r="C1168" s="23" t="s">
        <v>2223</v>
      </c>
      <c r="D1168" s="22" t="s">
        <v>3188</v>
      </c>
      <c r="E1168" s="23" t="s">
        <v>3189</v>
      </c>
      <c r="F1168" s="23" t="s">
        <v>3190</v>
      </c>
      <c r="G1168" s="23" t="s">
        <v>3191</v>
      </c>
      <c r="H1168" s="23" t="s">
        <v>3192</v>
      </c>
      <c r="I1168" s="22" t="s">
        <v>3253</v>
      </c>
      <c r="J1168" s="22" t="s">
        <v>3362</v>
      </c>
      <c r="N1168" s="22" t="s">
        <v>3363</v>
      </c>
      <c r="O1168" s="22" t="s">
        <v>3196</v>
      </c>
      <c r="P1168" s="21">
        <v>90433</v>
      </c>
      <c r="Q1168" s="22">
        <v>35</v>
      </c>
      <c r="R1168" s="22">
        <v>27.5</v>
      </c>
      <c r="S1168" s="22">
        <v>10</v>
      </c>
      <c r="T1168" s="22" t="s">
        <v>159</v>
      </c>
      <c r="U1168" s="22">
        <v>1</v>
      </c>
      <c r="V1168" s="22">
        <v>1</v>
      </c>
      <c r="W1168" s="24">
        <f t="shared" si="194"/>
        <v>6826.2754405690212</v>
      </c>
      <c r="X1168" s="24">
        <f t="shared" si="195"/>
        <v>5037.083333333333</v>
      </c>
      <c r="Y1168" s="21">
        <v>1</v>
      </c>
      <c r="Z1168" s="24">
        <f t="shared" si="196"/>
        <v>6826.2754405690212</v>
      </c>
      <c r="AA1168" s="24">
        <f t="shared" si="197"/>
        <v>5037.083333333333</v>
      </c>
      <c r="AJ1168" s="21">
        <v>5037.083333333333</v>
      </c>
      <c r="AK1168" s="21">
        <v>35</v>
      </c>
      <c r="AL1168" s="22" t="s">
        <v>161</v>
      </c>
      <c r="AM1168" s="22">
        <v>0.11</v>
      </c>
      <c r="AN1168" s="22" t="s">
        <v>2206</v>
      </c>
      <c r="AO1168" s="22" t="s">
        <v>2206</v>
      </c>
      <c r="AP1168" s="22" t="s">
        <v>162</v>
      </c>
      <c r="AQ1168" s="22" t="str">
        <f t="shared" si="198"/>
        <v>Microphytoplankton</v>
      </c>
      <c r="AR1168" s="22">
        <v>0</v>
      </c>
      <c r="AS1168" s="22">
        <v>0</v>
      </c>
      <c r="AT1168" s="22">
        <v>0</v>
      </c>
      <c r="AU1168" s="22">
        <v>0</v>
      </c>
      <c r="AV1168" s="22">
        <v>0</v>
      </c>
      <c r="AW1168" s="22">
        <v>0</v>
      </c>
      <c r="AX1168" s="22">
        <v>0</v>
      </c>
      <c r="AY1168" s="22">
        <v>1</v>
      </c>
    </row>
    <row r="1169" spans="1:57">
      <c r="A1169" s="21" t="s">
        <v>3364</v>
      </c>
      <c r="B1169" s="22" t="s">
        <v>663</v>
      </c>
      <c r="C1169" s="23" t="s">
        <v>2223</v>
      </c>
      <c r="D1169" s="22" t="s">
        <v>3188</v>
      </c>
      <c r="E1169" s="23" t="s">
        <v>3189</v>
      </c>
      <c r="F1169" s="23" t="s">
        <v>3190</v>
      </c>
      <c r="G1169" s="23" t="s">
        <v>3191</v>
      </c>
      <c r="H1169" s="23" t="s">
        <v>3192</v>
      </c>
      <c r="I1169" s="22" t="s">
        <v>3253</v>
      </c>
      <c r="J1169" s="21" t="s">
        <v>3365</v>
      </c>
      <c r="K1169" s="21"/>
      <c r="L1169" s="21"/>
      <c r="N1169" s="22" t="s">
        <v>189</v>
      </c>
      <c r="O1169" s="22" t="s">
        <v>3196</v>
      </c>
      <c r="P1169" s="21">
        <v>90491</v>
      </c>
      <c r="Q1169" s="21">
        <v>70</v>
      </c>
      <c r="R1169" s="21">
        <v>65</v>
      </c>
      <c r="S1169" s="21">
        <v>40</v>
      </c>
      <c r="T1169" s="21" t="s">
        <v>281</v>
      </c>
      <c r="U1169" s="21">
        <v>1</v>
      </c>
      <c r="V1169" s="21">
        <v>1</v>
      </c>
      <c r="W1169" s="24">
        <f t="shared" si="194"/>
        <v>36458.550802741564</v>
      </c>
      <c r="X1169" s="24">
        <f t="shared" si="195"/>
        <v>95246.666666666657</v>
      </c>
      <c r="Y1169" s="21">
        <v>1</v>
      </c>
      <c r="Z1169" s="24">
        <f t="shared" si="196"/>
        <v>36458.550802741564</v>
      </c>
      <c r="AA1169" s="24">
        <f t="shared" si="197"/>
        <v>95246.666666666657</v>
      </c>
      <c r="AB1169" s="21"/>
      <c r="AC1169" s="21"/>
      <c r="AD1169" s="21"/>
      <c r="AE1169" s="21"/>
      <c r="AF1169" s="21"/>
      <c r="AG1169" s="21"/>
      <c r="AH1169" s="24"/>
      <c r="AI1169" s="24"/>
      <c r="AJ1169" s="21">
        <v>95295</v>
      </c>
      <c r="AK1169" s="21">
        <v>70</v>
      </c>
      <c r="AL1169" s="22" t="s">
        <v>161</v>
      </c>
      <c r="AM1169" s="22">
        <v>0.11</v>
      </c>
      <c r="AN1169" s="22" t="s">
        <v>2206</v>
      </c>
      <c r="AO1169" s="22" t="s">
        <v>2206</v>
      </c>
      <c r="AP1169" s="22" t="s">
        <v>162</v>
      </c>
      <c r="AQ1169" s="22" t="str">
        <f t="shared" si="198"/>
        <v>Microphytoplankton</v>
      </c>
      <c r="AR1169" s="22">
        <v>0</v>
      </c>
      <c r="AS1169" s="22">
        <v>0</v>
      </c>
      <c r="AT1169" s="22">
        <v>0</v>
      </c>
      <c r="AU1169" s="22">
        <v>0</v>
      </c>
      <c r="AV1169" s="22">
        <v>0</v>
      </c>
      <c r="AW1169" s="22">
        <v>0</v>
      </c>
      <c r="AX1169" s="22">
        <v>0</v>
      </c>
      <c r="AY1169" s="22">
        <v>1</v>
      </c>
    </row>
    <row r="1170" spans="1:57">
      <c r="A1170" s="21" t="s">
        <v>3366</v>
      </c>
      <c r="B1170" s="22" t="s">
        <v>663</v>
      </c>
      <c r="C1170" s="23" t="s">
        <v>2223</v>
      </c>
      <c r="D1170" s="22" t="s">
        <v>3188</v>
      </c>
      <c r="E1170" s="23" t="s">
        <v>3189</v>
      </c>
      <c r="F1170" s="23" t="s">
        <v>3190</v>
      </c>
      <c r="G1170" s="23" t="s">
        <v>3191</v>
      </c>
      <c r="H1170" s="23" t="s">
        <v>3192</v>
      </c>
      <c r="I1170" s="22" t="s">
        <v>3253</v>
      </c>
      <c r="J1170" s="21" t="s">
        <v>3367</v>
      </c>
      <c r="K1170" s="21"/>
      <c r="L1170" s="21"/>
      <c r="N1170" s="22" t="s">
        <v>3337</v>
      </c>
      <c r="O1170" s="22" t="s">
        <v>3196</v>
      </c>
      <c r="P1170" s="21">
        <v>90423</v>
      </c>
      <c r="Q1170" s="21">
        <v>54</v>
      </c>
      <c r="R1170" s="21">
        <v>41</v>
      </c>
      <c r="S1170" s="21">
        <v>41</v>
      </c>
      <c r="T1170" s="21" t="s">
        <v>281</v>
      </c>
      <c r="U1170" s="21">
        <v>0.9</v>
      </c>
      <c r="V1170" s="21">
        <v>0.9</v>
      </c>
      <c r="W1170" s="24">
        <f t="shared" si="194"/>
        <v>24006.361672661933</v>
      </c>
      <c r="X1170" s="24">
        <f t="shared" si="195"/>
        <v>42754.553999999996</v>
      </c>
      <c r="Y1170" s="21">
        <v>1</v>
      </c>
      <c r="Z1170" s="24">
        <f t="shared" si="196"/>
        <v>24006.361672661933</v>
      </c>
      <c r="AA1170" s="24">
        <f t="shared" si="197"/>
        <v>42754.553999999996</v>
      </c>
      <c r="AB1170" s="21"/>
      <c r="AC1170" s="21"/>
      <c r="AD1170" s="21"/>
      <c r="AE1170" s="21"/>
      <c r="AF1170" s="21"/>
      <c r="AG1170" s="21"/>
      <c r="AH1170" s="24"/>
      <c r="AI1170" s="24"/>
      <c r="AJ1170" s="21">
        <v>42754.5</v>
      </c>
      <c r="AK1170" s="21">
        <v>54</v>
      </c>
      <c r="AL1170" s="22" t="s">
        <v>161</v>
      </c>
      <c r="AM1170" s="22">
        <v>0.11</v>
      </c>
      <c r="AN1170" s="22" t="s">
        <v>2206</v>
      </c>
      <c r="AO1170" s="22" t="s">
        <v>2206</v>
      </c>
      <c r="AP1170" s="22" t="s">
        <v>162</v>
      </c>
      <c r="AQ1170" s="22" t="str">
        <f t="shared" si="198"/>
        <v>Microphytoplankton</v>
      </c>
      <c r="AR1170" s="22">
        <v>0</v>
      </c>
      <c r="AS1170" s="22">
        <v>0</v>
      </c>
      <c r="AT1170" s="22">
        <v>0</v>
      </c>
      <c r="AU1170" s="22">
        <v>0</v>
      </c>
      <c r="AV1170" s="22">
        <v>0</v>
      </c>
      <c r="AW1170" s="22">
        <v>0</v>
      </c>
      <c r="AX1170" s="22">
        <v>0</v>
      </c>
      <c r="AY1170" s="22">
        <v>1</v>
      </c>
    </row>
    <row r="1171" spans="1:57">
      <c r="A1171" s="22" t="s">
        <v>3368</v>
      </c>
      <c r="B1171" s="22" t="s">
        <v>663</v>
      </c>
      <c r="C1171" s="23" t="s">
        <v>2223</v>
      </c>
      <c r="D1171" s="22" t="s">
        <v>3188</v>
      </c>
      <c r="E1171" s="23" t="s">
        <v>3189</v>
      </c>
      <c r="F1171" s="23" t="s">
        <v>3190</v>
      </c>
      <c r="G1171" s="23" t="s">
        <v>3191</v>
      </c>
      <c r="H1171" s="23" t="s">
        <v>3192</v>
      </c>
      <c r="I1171" s="22" t="s">
        <v>3253</v>
      </c>
      <c r="J1171" s="22" t="s">
        <v>3367</v>
      </c>
      <c r="K1171" s="22" t="s">
        <v>175</v>
      </c>
      <c r="L1171" s="22" t="s">
        <v>428</v>
      </c>
      <c r="N1171" s="22" t="s">
        <v>3369</v>
      </c>
      <c r="O1171" s="22" t="s">
        <v>3196</v>
      </c>
      <c r="P1171" s="21">
        <v>90403</v>
      </c>
      <c r="Q1171" s="22">
        <v>29</v>
      </c>
      <c r="R1171" s="22">
        <v>23</v>
      </c>
      <c r="S1171" s="22">
        <v>10</v>
      </c>
      <c r="T1171" s="22" t="s">
        <v>159</v>
      </c>
      <c r="U1171" s="22">
        <v>1</v>
      </c>
      <c r="V1171" s="22">
        <v>1</v>
      </c>
      <c r="W1171" s="24">
        <f t="shared" si="194"/>
        <v>4894.3706817772954</v>
      </c>
      <c r="X1171" s="24">
        <f t="shared" si="195"/>
        <v>3490.6333333333332</v>
      </c>
      <c r="Y1171" s="21">
        <v>1</v>
      </c>
      <c r="Z1171" s="24">
        <f t="shared" si="196"/>
        <v>4894.3706817772954</v>
      </c>
      <c r="AA1171" s="24">
        <f t="shared" si="197"/>
        <v>3490.6333333333332</v>
      </c>
      <c r="AJ1171" s="21">
        <v>3490.6333333333332</v>
      </c>
      <c r="AK1171" s="21">
        <v>29</v>
      </c>
      <c r="AL1171" s="22" t="s">
        <v>161</v>
      </c>
      <c r="AM1171" s="22">
        <v>0.11</v>
      </c>
      <c r="AN1171" s="22" t="s">
        <v>2206</v>
      </c>
      <c r="AO1171" s="22" t="s">
        <v>2206</v>
      </c>
      <c r="AP1171" s="22" t="s">
        <v>162</v>
      </c>
      <c r="AQ1171" s="22" t="str">
        <f t="shared" si="198"/>
        <v>Microphytoplankton</v>
      </c>
      <c r="AR1171" s="22">
        <v>0</v>
      </c>
      <c r="AS1171" s="22">
        <v>0</v>
      </c>
      <c r="AT1171" s="22">
        <v>0</v>
      </c>
      <c r="AU1171" s="22">
        <v>0</v>
      </c>
      <c r="AV1171" s="22">
        <v>0</v>
      </c>
      <c r="AW1171" s="22">
        <v>0</v>
      </c>
      <c r="AX1171" s="22">
        <v>0</v>
      </c>
      <c r="AY1171" s="22">
        <v>1</v>
      </c>
    </row>
    <row r="1172" spans="1:57">
      <c r="A1172" s="22" t="s">
        <v>3370</v>
      </c>
      <c r="B1172" s="22" t="s">
        <v>663</v>
      </c>
      <c r="C1172" s="23" t="s">
        <v>2223</v>
      </c>
      <c r="D1172" s="22" t="s">
        <v>3188</v>
      </c>
      <c r="E1172" s="23" t="s">
        <v>3189</v>
      </c>
      <c r="F1172" s="23" t="s">
        <v>3190</v>
      </c>
      <c r="G1172" s="23" t="s">
        <v>3191</v>
      </c>
      <c r="H1172" s="23" t="s">
        <v>3192</v>
      </c>
      <c r="I1172" s="22" t="s">
        <v>3253</v>
      </c>
      <c r="J1172" s="22" t="s">
        <v>3371</v>
      </c>
      <c r="N1172" s="22" t="s">
        <v>3372</v>
      </c>
      <c r="O1172" s="22" t="s">
        <v>3196</v>
      </c>
      <c r="P1172" s="21">
        <v>90404</v>
      </c>
      <c r="Q1172" s="22">
        <v>37.5</v>
      </c>
      <c r="R1172" s="22">
        <v>27.5</v>
      </c>
      <c r="S1172" s="22">
        <v>15</v>
      </c>
      <c r="T1172" s="22" t="s">
        <v>159</v>
      </c>
      <c r="U1172" s="22">
        <v>1</v>
      </c>
      <c r="V1172" s="22">
        <v>1</v>
      </c>
      <c r="W1172" s="24">
        <f t="shared" si="194"/>
        <v>7984.2084204930316</v>
      </c>
      <c r="X1172" s="24">
        <f t="shared" si="195"/>
        <v>8095.3125</v>
      </c>
      <c r="Y1172" s="21">
        <v>1</v>
      </c>
      <c r="Z1172" s="24">
        <f t="shared" si="196"/>
        <v>7984.2084204930316</v>
      </c>
      <c r="AA1172" s="24">
        <f t="shared" si="197"/>
        <v>8095.3125</v>
      </c>
      <c r="AJ1172" s="21">
        <v>8095.3125</v>
      </c>
      <c r="AK1172" s="21">
        <v>37.5</v>
      </c>
      <c r="AL1172" s="22" t="s">
        <v>161</v>
      </c>
      <c r="AM1172" s="22">
        <v>0.11</v>
      </c>
      <c r="AN1172" s="22" t="s">
        <v>2206</v>
      </c>
      <c r="AO1172" s="22" t="s">
        <v>2206</v>
      </c>
      <c r="AP1172" s="22" t="s">
        <v>162</v>
      </c>
      <c r="AQ1172" s="22" t="str">
        <f t="shared" si="198"/>
        <v>Microphytoplankton</v>
      </c>
      <c r="AR1172" s="22">
        <v>0</v>
      </c>
      <c r="AS1172" s="22">
        <v>0</v>
      </c>
      <c r="AT1172" s="22">
        <v>0</v>
      </c>
      <c r="AU1172" s="22">
        <v>0</v>
      </c>
      <c r="AV1172" s="22">
        <v>0</v>
      </c>
      <c r="AW1172" s="22">
        <v>0</v>
      </c>
      <c r="AX1172" s="22">
        <v>0</v>
      </c>
      <c r="AY1172" s="22">
        <v>1</v>
      </c>
    </row>
    <row r="1173" spans="1:57">
      <c r="A1173" s="21" t="s">
        <v>3373</v>
      </c>
      <c r="B1173" s="22" t="s">
        <v>663</v>
      </c>
      <c r="C1173" s="23" t="s">
        <v>2223</v>
      </c>
      <c r="D1173" s="22" t="s">
        <v>3188</v>
      </c>
      <c r="E1173" s="23" t="s">
        <v>3189</v>
      </c>
      <c r="F1173" s="23" t="s">
        <v>3190</v>
      </c>
      <c r="G1173" s="23" t="s">
        <v>3191</v>
      </c>
      <c r="H1173" s="23" t="s">
        <v>3192</v>
      </c>
      <c r="I1173" s="22" t="s">
        <v>3253</v>
      </c>
      <c r="J1173" s="22" t="s">
        <v>3371</v>
      </c>
      <c r="K1173" s="21" t="s">
        <v>175</v>
      </c>
      <c r="L1173" s="21" t="s">
        <v>1419</v>
      </c>
      <c r="N1173" s="22" t="s">
        <v>3374</v>
      </c>
      <c r="O1173" s="22" t="s">
        <v>3196</v>
      </c>
      <c r="P1173" s="21">
        <v>90492</v>
      </c>
      <c r="Q1173" s="21">
        <v>22</v>
      </c>
      <c r="R1173" s="21">
        <v>20</v>
      </c>
      <c r="S1173" s="21">
        <v>7.5</v>
      </c>
      <c r="T1173" s="21" t="s">
        <v>281</v>
      </c>
      <c r="U1173" s="21">
        <v>1</v>
      </c>
      <c r="V1173" s="21">
        <v>1</v>
      </c>
      <c r="W1173" s="24">
        <f t="shared" si="194"/>
        <v>3144.1205166260293</v>
      </c>
      <c r="X1173" s="24">
        <f t="shared" si="195"/>
        <v>1727</v>
      </c>
      <c r="Y1173" s="21">
        <v>1</v>
      </c>
      <c r="Z1173" s="24">
        <f t="shared" si="196"/>
        <v>3144.1205166260293</v>
      </c>
      <c r="AA1173" s="24">
        <f t="shared" si="197"/>
        <v>1727</v>
      </c>
      <c r="AB1173" s="21"/>
      <c r="AC1173" s="21"/>
      <c r="AD1173" s="21"/>
      <c r="AE1173" s="21"/>
      <c r="AF1173" s="21"/>
      <c r="AG1173" s="21"/>
      <c r="AH1173" s="24"/>
      <c r="AI1173" s="24"/>
      <c r="AJ1173" s="21">
        <v>1727.88</v>
      </c>
      <c r="AK1173" s="21">
        <v>22</v>
      </c>
      <c r="AL1173" s="22" t="s">
        <v>161</v>
      </c>
      <c r="AM1173" s="22">
        <v>0.11</v>
      </c>
      <c r="AN1173" s="22" t="s">
        <v>2206</v>
      </c>
      <c r="AO1173" s="22" t="s">
        <v>2206</v>
      </c>
      <c r="AP1173" s="22" t="s">
        <v>162</v>
      </c>
      <c r="AQ1173" s="22" t="str">
        <f t="shared" si="198"/>
        <v>Microphytoplankton</v>
      </c>
      <c r="AR1173" s="22">
        <v>0</v>
      </c>
      <c r="AS1173" s="22">
        <v>0</v>
      </c>
      <c r="AT1173" s="22">
        <v>0</v>
      </c>
      <c r="AU1173" s="22">
        <v>0</v>
      </c>
      <c r="AV1173" s="22">
        <v>0</v>
      </c>
      <c r="AW1173" s="22">
        <v>0</v>
      </c>
      <c r="AX1173" s="22">
        <v>0</v>
      </c>
      <c r="AY1173" s="22">
        <v>1</v>
      </c>
    </row>
    <row r="1174" spans="1:57">
      <c r="A1174" s="21" t="s">
        <v>3375</v>
      </c>
      <c r="B1174" s="22" t="s">
        <v>663</v>
      </c>
      <c r="C1174" s="23" t="s">
        <v>2223</v>
      </c>
      <c r="D1174" s="22" t="s">
        <v>3188</v>
      </c>
      <c r="E1174" s="23" t="s">
        <v>3189</v>
      </c>
      <c r="F1174" s="23" t="s">
        <v>3190</v>
      </c>
      <c r="G1174" s="23" t="s">
        <v>3191</v>
      </c>
      <c r="H1174" s="23" t="s">
        <v>3192</v>
      </c>
      <c r="I1174" s="22" t="s">
        <v>3376</v>
      </c>
      <c r="J1174" s="22" t="s">
        <v>211</v>
      </c>
      <c r="K1174" s="21"/>
      <c r="L1174" s="21"/>
      <c r="N1174" s="22" t="s">
        <v>694</v>
      </c>
      <c r="O1174" s="22" t="s">
        <v>3196</v>
      </c>
      <c r="P1174" s="21">
        <v>90497</v>
      </c>
      <c r="Q1174" s="21">
        <v>50</v>
      </c>
      <c r="R1174" s="21">
        <v>30</v>
      </c>
      <c r="S1174" s="21">
        <v>20</v>
      </c>
      <c r="T1174" s="21" t="s">
        <v>1543</v>
      </c>
      <c r="U1174" s="21">
        <v>1</v>
      </c>
      <c r="V1174" s="21">
        <v>1</v>
      </c>
      <c r="W1174" s="25">
        <f>2*(Q1174/2+R1174/2)+S1174*R1174*2+S1174*Q1174*2</f>
        <v>3280</v>
      </c>
      <c r="X1174" s="25">
        <f>Q1174*R1174*S1174/2</f>
        <v>15000</v>
      </c>
      <c r="Y1174" s="21">
        <v>1</v>
      </c>
      <c r="Z1174" s="24">
        <f t="shared" si="196"/>
        <v>3280</v>
      </c>
      <c r="AA1174" s="24">
        <f t="shared" si="197"/>
        <v>15000</v>
      </c>
      <c r="AB1174" s="21"/>
      <c r="AC1174" s="21"/>
      <c r="AD1174" s="21"/>
      <c r="AE1174" s="21"/>
      <c r="AF1174" s="21"/>
      <c r="AG1174" s="21"/>
      <c r="AH1174" s="24"/>
      <c r="AI1174" s="24"/>
      <c r="AJ1174" s="21">
        <v>15000</v>
      </c>
      <c r="AK1174" s="21">
        <v>50</v>
      </c>
      <c r="AL1174" s="22" t="s">
        <v>161</v>
      </c>
      <c r="AM1174" s="22">
        <v>0.11</v>
      </c>
      <c r="AP1174" s="22" t="s">
        <v>162</v>
      </c>
      <c r="AQ1174" s="22" t="str">
        <f t="shared" si="198"/>
        <v>Microphytoplankton</v>
      </c>
      <c r="AR1174" s="22">
        <v>0</v>
      </c>
      <c r="AS1174" s="22">
        <v>0</v>
      </c>
      <c r="AT1174" s="22">
        <v>0</v>
      </c>
      <c r="AU1174" s="22">
        <v>0</v>
      </c>
      <c r="AV1174" s="22">
        <v>0</v>
      </c>
      <c r="AW1174" s="22">
        <v>0</v>
      </c>
      <c r="AX1174" s="22">
        <v>0</v>
      </c>
      <c r="AY1174" s="22">
        <v>1</v>
      </c>
    </row>
    <row r="1175" spans="1:57">
      <c r="A1175" s="21" t="s">
        <v>3377</v>
      </c>
      <c r="B1175" s="22" t="s">
        <v>663</v>
      </c>
      <c r="C1175" s="23" t="s">
        <v>2223</v>
      </c>
      <c r="D1175" s="22" t="s">
        <v>3188</v>
      </c>
      <c r="E1175" s="23" t="s">
        <v>3189</v>
      </c>
      <c r="F1175" s="23" t="s">
        <v>3190</v>
      </c>
      <c r="G1175" s="23" t="s">
        <v>3191</v>
      </c>
      <c r="H1175" s="23" t="s">
        <v>3192</v>
      </c>
      <c r="I1175" s="22" t="s">
        <v>3376</v>
      </c>
      <c r="J1175" s="22" t="s">
        <v>3378</v>
      </c>
      <c r="K1175" s="21"/>
      <c r="L1175" s="21"/>
      <c r="N1175" s="22" t="s">
        <v>3379</v>
      </c>
      <c r="O1175" s="22" t="s">
        <v>3196</v>
      </c>
      <c r="P1175" s="21">
        <v>90436</v>
      </c>
      <c r="Q1175" s="21">
        <v>50</v>
      </c>
      <c r="R1175" s="21">
        <v>30</v>
      </c>
      <c r="S1175" s="21">
        <v>20</v>
      </c>
      <c r="T1175" s="21" t="s">
        <v>1543</v>
      </c>
      <c r="U1175" s="21">
        <v>1</v>
      </c>
      <c r="V1175" s="21">
        <v>1</v>
      </c>
      <c r="W1175" s="25">
        <f>2*(Q1175/2+R1175/2)+S1175*R1175*2+S1175*Q1175*2</f>
        <v>3280</v>
      </c>
      <c r="X1175" s="25">
        <f>Q1175*R1175*S1175/2</f>
        <v>15000</v>
      </c>
      <c r="Y1175" s="21">
        <v>1</v>
      </c>
      <c r="Z1175" s="24">
        <f t="shared" si="196"/>
        <v>3280</v>
      </c>
      <c r="AA1175" s="24">
        <f t="shared" si="197"/>
        <v>15000</v>
      </c>
      <c r="AB1175" s="21"/>
      <c r="AC1175" s="21"/>
      <c r="AD1175" s="21"/>
      <c r="AE1175" s="21"/>
      <c r="AF1175" s="21"/>
      <c r="AG1175" s="21"/>
      <c r="AH1175" s="24"/>
      <c r="AI1175" s="24"/>
      <c r="AJ1175" s="21">
        <v>15000</v>
      </c>
      <c r="AK1175" s="21">
        <v>50</v>
      </c>
      <c r="AL1175" s="22" t="s">
        <v>161</v>
      </c>
      <c r="AM1175" s="22">
        <v>0.11</v>
      </c>
      <c r="AP1175" s="22" t="s">
        <v>162</v>
      </c>
      <c r="AQ1175" s="22" t="str">
        <f t="shared" si="198"/>
        <v>Microphytoplankton</v>
      </c>
      <c r="AR1175" s="22">
        <v>0</v>
      </c>
      <c r="AS1175" s="22">
        <v>0</v>
      </c>
      <c r="AT1175" s="22">
        <v>0</v>
      </c>
      <c r="AU1175" s="22">
        <v>0</v>
      </c>
      <c r="AV1175" s="22">
        <v>0</v>
      </c>
      <c r="AW1175" s="22">
        <v>0</v>
      </c>
      <c r="AX1175" s="22">
        <v>0</v>
      </c>
      <c r="AY1175" s="22">
        <v>1</v>
      </c>
    </row>
    <row r="1176" spans="1:57">
      <c r="A1176" s="21" t="s">
        <v>3380</v>
      </c>
      <c r="B1176" s="22" t="s">
        <v>663</v>
      </c>
      <c r="C1176" s="23" t="s">
        <v>2223</v>
      </c>
      <c r="D1176" s="22" t="s">
        <v>3188</v>
      </c>
      <c r="E1176" s="23" t="s">
        <v>3189</v>
      </c>
      <c r="F1176" s="23" t="s">
        <v>3190</v>
      </c>
      <c r="G1176" s="23" t="s">
        <v>3191</v>
      </c>
      <c r="H1176" s="23" t="s">
        <v>3381</v>
      </c>
      <c r="I1176" s="22" t="s">
        <v>3382</v>
      </c>
      <c r="J1176" s="22" t="s">
        <v>3383</v>
      </c>
      <c r="N1176" s="22" t="s">
        <v>3384</v>
      </c>
      <c r="O1176" s="22" t="s">
        <v>3196</v>
      </c>
      <c r="P1176" s="21">
        <v>90910</v>
      </c>
      <c r="Q1176" s="21">
        <v>150</v>
      </c>
      <c r="R1176" s="21">
        <v>8.5</v>
      </c>
      <c r="S1176" s="21">
        <v>8.5</v>
      </c>
      <c r="T1176" s="21" t="s">
        <v>160</v>
      </c>
      <c r="U1176" s="21">
        <v>1</v>
      </c>
      <c r="V1176" s="21">
        <v>1</v>
      </c>
      <c r="W1176" s="24">
        <f t="shared" ref="W1176:W1183" si="199">3.14*R1176*Q1176+2*3.14*(S1176/2)^2/V1176</f>
        <v>4116.9324999999999</v>
      </c>
      <c r="X1176" s="25">
        <f t="shared" ref="X1176:X1183" si="200">(3.14/4*R1176^2*Q1176)*U1176</f>
        <v>8507.4375</v>
      </c>
      <c r="Y1176" s="21">
        <v>1</v>
      </c>
      <c r="Z1176" s="24">
        <f t="shared" si="196"/>
        <v>4116.9324999999999</v>
      </c>
      <c r="AA1176" s="24">
        <f t="shared" si="197"/>
        <v>8507.4375</v>
      </c>
      <c r="AB1176" s="21"/>
      <c r="AC1176" s="21"/>
      <c r="AD1176" s="21"/>
      <c r="AE1176" s="21"/>
      <c r="AF1176" s="21"/>
      <c r="AG1176" s="21"/>
      <c r="AH1176" s="24"/>
      <c r="AI1176" s="24"/>
      <c r="AJ1176" s="21">
        <v>9750</v>
      </c>
      <c r="AK1176" s="21">
        <v>150</v>
      </c>
      <c r="AL1176" s="22" t="s">
        <v>161</v>
      </c>
      <c r="AM1176" s="22">
        <v>0.11</v>
      </c>
      <c r="AP1176" s="22" t="s">
        <v>162</v>
      </c>
      <c r="AQ1176" s="22" t="str">
        <f t="shared" si="198"/>
        <v>Microphytoplankton</v>
      </c>
      <c r="AR1176" s="22">
        <v>0</v>
      </c>
      <c r="AS1176" s="22">
        <v>0</v>
      </c>
      <c r="AT1176" s="22">
        <v>0</v>
      </c>
      <c r="AU1176" s="22">
        <v>0</v>
      </c>
      <c r="AV1176" s="22">
        <v>0</v>
      </c>
      <c r="AW1176" s="22">
        <v>0</v>
      </c>
      <c r="AX1176" s="22">
        <v>0</v>
      </c>
      <c r="AY1176" s="22">
        <v>1</v>
      </c>
    </row>
    <row r="1177" spans="1:57">
      <c r="A1177" s="21" t="s">
        <v>3385</v>
      </c>
      <c r="B1177" s="22" t="s">
        <v>663</v>
      </c>
      <c r="C1177" s="23" t="s">
        <v>2223</v>
      </c>
      <c r="D1177" s="22" t="s">
        <v>3188</v>
      </c>
      <c r="E1177" s="23" t="s">
        <v>3189</v>
      </c>
      <c r="F1177" s="23" t="s">
        <v>3190</v>
      </c>
      <c r="G1177" s="23" t="s">
        <v>3191</v>
      </c>
      <c r="H1177" s="23" t="s">
        <v>3381</v>
      </c>
      <c r="I1177" s="22" t="s">
        <v>3382</v>
      </c>
      <c r="J1177" s="22" t="s">
        <v>3386</v>
      </c>
      <c r="N1177" s="22" t="s">
        <v>3384</v>
      </c>
      <c r="O1177" s="22" t="s">
        <v>3196</v>
      </c>
      <c r="P1177" s="21">
        <v>90900</v>
      </c>
      <c r="Q1177" s="21">
        <v>90</v>
      </c>
      <c r="R1177" s="21">
        <v>5</v>
      </c>
      <c r="S1177" s="21">
        <v>5</v>
      </c>
      <c r="T1177" s="21" t="s">
        <v>160</v>
      </c>
      <c r="U1177" s="21">
        <v>1</v>
      </c>
      <c r="V1177" s="21">
        <v>1</v>
      </c>
      <c r="W1177" s="24">
        <f t="shared" si="199"/>
        <v>1452.25</v>
      </c>
      <c r="X1177" s="25">
        <f t="shared" si="200"/>
        <v>1766.25</v>
      </c>
      <c r="Y1177" s="21">
        <v>1</v>
      </c>
      <c r="Z1177" s="24">
        <f t="shared" si="196"/>
        <v>1452.25</v>
      </c>
      <c r="AA1177" s="24">
        <f t="shared" si="197"/>
        <v>1766.25</v>
      </c>
      <c r="AB1177" s="21"/>
      <c r="AC1177" s="21"/>
      <c r="AD1177" s="21"/>
      <c r="AE1177" s="21"/>
      <c r="AF1177" s="21"/>
      <c r="AG1177" s="21"/>
      <c r="AH1177" s="24"/>
      <c r="AI1177" s="24"/>
      <c r="AJ1177" s="21">
        <v>1590.4</v>
      </c>
      <c r="AK1177" s="21">
        <v>90</v>
      </c>
      <c r="AL1177" s="22" t="s">
        <v>161</v>
      </c>
      <c r="AM1177" s="22">
        <v>0.11</v>
      </c>
      <c r="AP1177" s="22" t="s">
        <v>162</v>
      </c>
      <c r="AQ1177" s="22" t="str">
        <f t="shared" si="198"/>
        <v>Microphytoplankton</v>
      </c>
      <c r="AR1177" s="22">
        <v>0</v>
      </c>
      <c r="AS1177" s="22">
        <v>0</v>
      </c>
      <c r="AT1177" s="22">
        <v>0</v>
      </c>
      <c r="AU1177" s="22">
        <v>0</v>
      </c>
      <c r="AV1177" s="22">
        <v>0</v>
      </c>
      <c r="AW1177" s="22">
        <v>0</v>
      </c>
      <c r="AX1177" s="22">
        <v>0</v>
      </c>
      <c r="AY1177" s="22">
        <v>1</v>
      </c>
    </row>
    <row r="1178" spans="1:57">
      <c r="A1178" s="21" t="s">
        <v>3387</v>
      </c>
      <c r="B1178" s="22" t="s">
        <v>663</v>
      </c>
      <c r="C1178" s="23" t="s">
        <v>2223</v>
      </c>
      <c r="D1178" s="22" t="s">
        <v>3188</v>
      </c>
      <c r="E1178" s="23" t="s">
        <v>3189</v>
      </c>
      <c r="F1178" s="23" t="s">
        <v>3190</v>
      </c>
      <c r="G1178" s="23" t="s">
        <v>3191</v>
      </c>
      <c r="H1178" s="23" t="s">
        <v>3192</v>
      </c>
      <c r="I1178" s="22" t="s">
        <v>3388</v>
      </c>
      <c r="J1178" s="22" t="s">
        <v>3389</v>
      </c>
      <c r="N1178" s="22" t="s">
        <v>3390</v>
      </c>
      <c r="O1178" s="22" t="s">
        <v>3196</v>
      </c>
      <c r="P1178" s="21">
        <v>91000</v>
      </c>
      <c r="Q1178" s="21">
        <v>24</v>
      </c>
      <c r="R1178" s="21">
        <v>22</v>
      </c>
      <c r="S1178" s="21">
        <v>6</v>
      </c>
      <c r="T1178" s="21" t="s">
        <v>160</v>
      </c>
      <c r="U1178" s="21">
        <v>0.9</v>
      </c>
      <c r="V1178" s="21">
        <v>0.9</v>
      </c>
      <c r="W1178" s="24">
        <f t="shared" si="199"/>
        <v>1720.72</v>
      </c>
      <c r="X1178" s="25">
        <f t="shared" si="200"/>
        <v>8206.7039999999997</v>
      </c>
      <c r="Y1178" s="21">
        <v>1</v>
      </c>
      <c r="Z1178" s="24">
        <f t="shared" si="196"/>
        <v>1720.72</v>
      </c>
      <c r="AA1178" s="24">
        <f t="shared" si="197"/>
        <v>8206.7039999999997</v>
      </c>
      <c r="AB1178" s="21"/>
      <c r="AC1178" s="21"/>
      <c r="AD1178" s="21"/>
      <c r="AE1178" s="21"/>
      <c r="AF1178" s="21"/>
      <c r="AG1178" s="21"/>
      <c r="AH1178" s="24"/>
      <c r="AI1178" s="24"/>
      <c r="AJ1178" s="21">
        <v>2239.3000000000002</v>
      </c>
      <c r="AK1178" s="21">
        <v>24</v>
      </c>
      <c r="AL1178" s="22" t="s">
        <v>161</v>
      </c>
      <c r="AM1178" s="22">
        <v>0.11</v>
      </c>
      <c r="AP1178" s="22" t="s">
        <v>162</v>
      </c>
      <c r="AQ1178" s="22" t="str">
        <f t="shared" si="198"/>
        <v>Microphytoplankton</v>
      </c>
      <c r="AR1178" s="22">
        <v>0</v>
      </c>
      <c r="AS1178" s="22">
        <v>0</v>
      </c>
      <c r="AT1178" s="22">
        <v>0</v>
      </c>
      <c r="AU1178" s="22">
        <v>1</v>
      </c>
      <c r="AV1178" s="22">
        <v>1</v>
      </c>
      <c r="AW1178" s="22">
        <v>0</v>
      </c>
      <c r="AX1178" s="22">
        <v>0</v>
      </c>
      <c r="AY1178" s="22">
        <v>1</v>
      </c>
    </row>
    <row r="1179" spans="1:57">
      <c r="A1179" s="21" t="s">
        <v>3391</v>
      </c>
      <c r="B1179" s="22" t="s">
        <v>663</v>
      </c>
      <c r="C1179" s="23" t="s">
        <v>2223</v>
      </c>
      <c r="D1179" s="22" t="s">
        <v>3188</v>
      </c>
      <c r="E1179" s="23" t="s">
        <v>3189</v>
      </c>
      <c r="F1179" s="23" t="s">
        <v>3190</v>
      </c>
      <c r="G1179" s="23" t="s">
        <v>3191</v>
      </c>
      <c r="H1179" s="23" t="s">
        <v>3392</v>
      </c>
      <c r="I1179" s="22" t="s">
        <v>50</v>
      </c>
      <c r="J1179" s="22" t="s">
        <v>3393</v>
      </c>
      <c r="N1179" s="22" t="s">
        <v>3394</v>
      </c>
      <c r="O1179" s="22" t="s">
        <v>3196</v>
      </c>
      <c r="P1179" s="21">
        <v>90200</v>
      </c>
      <c r="Q1179" s="21">
        <v>40</v>
      </c>
      <c r="R1179" s="21">
        <v>7</v>
      </c>
      <c r="S1179" s="21">
        <v>7</v>
      </c>
      <c r="T1179" s="21" t="s">
        <v>160</v>
      </c>
      <c r="U1179" s="21">
        <v>1</v>
      </c>
      <c r="V1179" s="21">
        <v>1</v>
      </c>
      <c r="W1179" s="24">
        <f t="shared" si="199"/>
        <v>956.13000000000011</v>
      </c>
      <c r="X1179" s="25">
        <f t="shared" si="200"/>
        <v>1538.6000000000001</v>
      </c>
      <c r="Y1179" s="21">
        <v>1</v>
      </c>
      <c r="Z1179" s="24">
        <f t="shared" si="196"/>
        <v>956.13000000000011</v>
      </c>
      <c r="AA1179" s="24">
        <f t="shared" si="197"/>
        <v>1538.6000000000001</v>
      </c>
      <c r="AB1179" s="21"/>
      <c r="AC1179" s="21"/>
      <c r="AD1179" s="21"/>
      <c r="AE1179" s="21"/>
      <c r="AF1179" s="21"/>
      <c r="AG1179" s="21"/>
      <c r="AH1179" s="24"/>
      <c r="AI1179" s="24"/>
      <c r="AJ1179" s="21">
        <v>1539.4</v>
      </c>
      <c r="AK1179" s="21">
        <v>100</v>
      </c>
      <c r="AL1179" s="22" t="s">
        <v>161</v>
      </c>
      <c r="AM1179" s="22">
        <v>0.11</v>
      </c>
      <c r="AN1179" s="22" t="s">
        <v>1357</v>
      </c>
      <c r="AO1179" s="22" t="s">
        <v>1357</v>
      </c>
      <c r="AP1179" s="22" t="s">
        <v>162</v>
      </c>
      <c r="AQ1179" s="22" t="str">
        <f t="shared" si="198"/>
        <v>Microphytoplankton</v>
      </c>
      <c r="AR1179" s="22">
        <v>0</v>
      </c>
      <c r="AS1179" s="22">
        <v>0</v>
      </c>
      <c r="AT1179" s="22">
        <v>0</v>
      </c>
      <c r="AU1179" s="22">
        <v>1</v>
      </c>
      <c r="AV1179" s="22">
        <v>1</v>
      </c>
      <c r="AW1179" s="22">
        <v>0</v>
      </c>
      <c r="AX1179" s="22">
        <v>0</v>
      </c>
      <c r="AY1179" s="22">
        <v>1</v>
      </c>
      <c r="AZ1179" s="22">
        <v>0</v>
      </c>
      <c r="BA1179" s="22">
        <v>0</v>
      </c>
      <c r="BB1179" s="22">
        <v>0</v>
      </c>
      <c r="BC1179" s="22">
        <v>3</v>
      </c>
      <c r="BD1179" s="22">
        <v>5</v>
      </c>
      <c r="BE1179" s="22">
        <v>2</v>
      </c>
    </row>
    <row r="1180" spans="1:57">
      <c r="A1180" s="21" t="s">
        <v>3395</v>
      </c>
      <c r="B1180" s="22" t="s">
        <v>663</v>
      </c>
      <c r="C1180" s="23" t="s">
        <v>2223</v>
      </c>
      <c r="D1180" s="22" t="s">
        <v>3188</v>
      </c>
      <c r="E1180" s="23" t="s">
        <v>3189</v>
      </c>
      <c r="F1180" s="23" t="s">
        <v>3190</v>
      </c>
      <c r="G1180" s="23" t="s">
        <v>3191</v>
      </c>
      <c r="H1180" s="23" t="s">
        <v>3392</v>
      </c>
      <c r="I1180" s="22" t="s">
        <v>50</v>
      </c>
      <c r="J1180" s="22" t="s">
        <v>211</v>
      </c>
      <c r="M1180" s="22" t="s">
        <v>1</v>
      </c>
      <c r="N1180" s="22" t="s">
        <v>475</v>
      </c>
      <c r="O1180" s="22" t="s">
        <v>3196</v>
      </c>
      <c r="P1180" s="21">
        <v>90210</v>
      </c>
      <c r="Q1180" s="21">
        <v>40</v>
      </c>
      <c r="R1180" s="21">
        <v>9</v>
      </c>
      <c r="S1180" s="21">
        <v>9</v>
      </c>
      <c r="T1180" s="21" t="s">
        <v>160</v>
      </c>
      <c r="U1180" s="21">
        <v>1</v>
      </c>
      <c r="V1180" s="21">
        <v>1</v>
      </c>
      <c r="W1180" s="24">
        <f t="shared" si="199"/>
        <v>1257.5700000000002</v>
      </c>
      <c r="X1180" s="25">
        <f t="shared" si="200"/>
        <v>2543.4</v>
      </c>
      <c r="Y1180" s="21">
        <v>1</v>
      </c>
      <c r="Z1180" s="24">
        <f t="shared" si="196"/>
        <v>1257.5700000000002</v>
      </c>
      <c r="AA1180" s="24">
        <f t="shared" si="197"/>
        <v>2543.4</v>
      </c>
      <c r="AB1180" s="21"/>
      <c r="AC1180" s="21"/>
      <c r="AD1180" s="21"/>
      <c r="AE1180" s="21"/>
      <c r="AF1180" s="21"/>
      <c r="AG1180" s="21"/>
      <c r="AH1180" s="24"/>
      <c r="AI1180" s="24"/>
      <c r="AJ1180" s="21">
        <v>2544.6999999999998</v>
      </c>
      <c r="AK1180" s="21">
        <v>100</v>
      </c>
      <c r="AL1180" s="22" t="s">
        <v>161</v>
      </c>
      <c r="AM1180" s="22">
        <v>0.11</v>
      </c>
      <c r="AN1180" s="22" t="s">
        <v>1357</v>
      </c>
      <c r="AO1180" s="22" t="s">
        <v>1357</v>
      </c>
      <c r="AP1180" s="22" t="s">
        <v>162</v>
      </c>
      <c r="AQ1180" s="22" t="str">
        <f t="shared" si="198"/>
        <v>Microphytoplankton</v>
      </c>
      <c r="AR1180" s="22">
        <v>0</v>
      </c>
      <c r="AS1180" s="22">
        <v>0</v>
      </c>
      <c r="AT1180" s="22">
        <v>0</v>
      </c>
      <c r="AU1180" s="22">
        <v>1</v>
      </c>
      <c r="AV1180" s="22">
        <v>1</v>
      </c>
      <c r="AW1180" s="22">
        <v>0</v>
      </c>
      <c r="AX1180" s="22">
        <v>0</v>
      </c>
      <c r="AY1180" s="22">
        <v>1</v>
      </c>
    </row>
    <row r="1181" spans="1:57">
      <c r="A1181" s="21" t="s">
        <v>3396</v>
      </c>
      <c r="B1181" s="22" t="s">
        <v>663</v>
      </c>
      <c r="C1181" s="23" t="s">
        <v>2223</v>
      </c>
      <c r="D1181" s="22" t="s">
        <v>3188</v>
      </c>
      <c r="E1181" s="23" t="s">
        <v>3189</v>
      </c>
      <c r="F1181" s="23" t="s">
        <v>3190</v>
      </c>
      <c r="G1181" s="23" t="s">
        <v>3191</v>
      </c>
      <c r="H1181" s="23" t="s">
        <v>3392</v>
      </c>
      <c r="I1181" s="22" t="s">
        <v>50</v>
      </c>
      <c r="J1181" s="22" t="s">
        <v>3397</v>
      </c>
      <c r="M1181" s="22" t="s">
        <v>1</v>
      </c>
      <c r="N1181" s="22" t="s">
        <v>475</v>
      </c>
      <c r="O1181" s="22" t="s">
        <v>3196</v>
      </c>
      <c r="P1181" s="21">
        <v>90211</v>
      </c>
      <c r="Q1181" s="21">
        <v>21</v>
      </c>
      <c r="R1181" s="21">
        <v>12</v>
      </c>
      <c r="S1181" s="21">
        <v>12</v>
      </c>
      <c r="T1181" s="21" t="s">
        <v>160</v>
      </c>
      <c r="U1181" s="21">
        <v>1</v>
      </c>
      <c r="V1181" s="21">
        <v>1</v>
      </c>
      <c r="W1181" s="24">
        <f t="shared" si="199"/>
        <v>1017.36</v>
      </c>
      <c r="X1181" s="25">
        <f t="shared" si="200"/>
        <v>2373.84</v>
      </c>
      <c r="Y1181" s="21">
        <v>10</v>
      </c>
      <c r="Z1181" s="24">
        <f t="shared" si="196"/>
        <v>10173.6</v>
      </c>
      <c r="AA1181" s="24">
        <f t="shared" si="197"/>
        <v>23738.400000000001</v>
      </c>
      <c r="AB1181" s="21">
        <v>207</v>
      </c>
      <c r="AC1181" s="21">
        <v>12</v>
      </c>
      <c r="AD1181" s="21">
        <v>12</v>
      </c>
      <c r="AE1181" s="21" t="s">
        <v>160</v>
      </c>
      <c r="AF1181" s="21">
        <v>1</v>
      </c>
      <c r="AG1181" s="21">
        <v>1</v>
      </c>
      <c r="AH1181" s="24">
        <f>3.14*AC1181*AB1181+2*3.14*(AD1181/2)^2/AG1181</f>
        <v>8025.84</v>
      </c>
      <c r="AI1181" s="25">
        <f>(3.14/4*AC1181^2*AB1181)*AF1181</f>
        <v>23399.280000000002</v>
      </c>
      <c r="AJ1181" s="21">
        <v>23399.200000000001</v>
      </c>
      <c r="AK1181" s="21">
        <v>207</v>
      </c>
      <c r="AL1181" s="22" t="s">
        <v>161</v>
      </c>
      <c r="AM1181" s="22">
        <v>0.11</v>
      </c>
      <c r="AN1181" s="22" t="s">
        <v>1357</v>
      </c>
      <c r="AO1181" s="22" t="s">
        <v>1357</v>
      </c>
      <c r="AP1181" s="22" t="s">
        <v>162</v>
      </c>
      <c r="AQ1181" s="22" t="str">
        <f t="shared" si="198"/>
        <v>Microphytoplankton</v>
      </c>
      <c r="AR1181" s="22">
        <v>0</v>
      </c>
      <c r="AS1181" s="22">
        <v>0</v>
      </c>
      <c r="AT1181" s="22">
        <v>0</v>
      </c>
      <c r="AU1181" s="22">
        <v>1</v>
      </c>
      <c r="AV1181" s="22">
        <v>1</v>
      </c>
      <c r="AW1181" s="22">
        <v>0</v>
      </c>
      <c r="AX1181" s="22">
        <v>0</v>
      </c>
      <c r="AY1181" s="22">
        <v>1</v>
      </c>
    </row>
    <row r="1182" spans="1:57">
      <c r="A1182" s="21" t="s">
        <v>3398</v>
      </c>
      <c r="B1182" s="22" t="s">
        <v>663</v>
      </c>
      <c r="C1182" s="23" t="s">
        <v>2223</v>
      </c>
      <c r="D1182" s="22" t="s">
        <v>3188</v>
      </c>
      <c r="E1182" s="23" t="s">
        <v>3189</v>
      </c>
      <c r="F1182" s="23" t="s">
        <v>3190</v>
      </c>
      <c r="G1182" s="23" t="s">
        <v>3191</v>
      </c>
      <c r="H1182" s="23" t="s">
        <v>3392</v>
      </c>
      <c r="I1182" s="22" t="s">
        <v>50</v>
      </c>
      <c r="J1182" s="22" t="s">
        <v>3399</v>
      </c>
      <c r="M1182" s="22" t="s">
        <v>1</v>
      </c>
      <c r="N1182" s="22" t="s">
        <v>475</v>
      </c>
      <c r="O1182" s="22" t="s">
        <v>3196</v>
      </c>
      <c r="P1182" s="22">
        <v>90220</v>
      </c>
      <c r="Q1182" s="21">
        <v>14</v>
      </c>
      <c r="R1182" s="21">
        <v>7</v>
      </c>
      <c r="S1182" s="21">
        <v>7</v>
      </c>
      <c r="T1182" s="21" t="s">
        <v>160</v>
      </c>
      <c r="U1182" s="21">
        <v>1</v>
      </c>
      <c r="V1182" s="21">
        <v>1</v>
      </c>
      <c r="W1182" s="24">
        <f t="shared" si="199"/>
        <v>384.65000000000003</v>
      </c>
      <c r="X1182" s="25">
        <f t="shared" si="200"/>
        <v>538.51</v>
      </c>
      <c r="Y1182" s="21">
        <v>10</v>
      </c>
      <c r="Z1182" s="24">
        <f t="shared" si="196"/>
        <v>3846.5000000000005</v>
      </c>
      <c r="AA1182" s="24">
        <f t="shared" si="197"/>
        <v>5385.1</v>
      </c>
      <c r="AB1182" s="21">
        <v>142</v>
      </c>
      <c r="AC1182" s="21">
        <v>7</v>
      </c>
      <c r="AD1182" s="21">
        <v>7</v>
      </c>
      <c r="AE1182" s="21" t="s">
        <v>160</v>
      </c>
      <c r="AF1182" s="21">
        <v>1</v>
      </c>
      <c r="AG1182" s="21">
        <v>1</v>
      </c>
      <c r="AH1182" s="24">
        <f>3.14*AC1182*AB1182+2*3.14*(AD1182/2)^2/AG1182</f>
        <v>3198.0899999999997</v>
      </c>
      <c r="AI1182" s="25">
        <f>(3.14/4*AC1182^2*AB1182)*AF1182</f>
        <v>5462.0300000000007</v>
      </c>
      <c r="AJ1182" s="21">
        <v>5464.8</v>
      </c>
      <c r="AK1182" s="21">
        <v>142</v>
      </c>
      <c r="AL1182" s="22" t="s">
        <v>161</v>
      </c>
      <c r="AM1182" s="22">
        <v>0.11</v>
      </c>
      <c r="AN1182" s="22" t="s">
        <v>1357</v>
      </c>
      <c r="AO1182" s="22" t="s">
        <v>1357</v>
      </c>
      <c r="AP1182" s="22" t="s">
        <v>162</v>
      </c>
      <c r="AQ1182" s="22" t="str">
        <f t="shared" si="198"/>
        <v>Microphytoplankton</v>
      </c>
      <c r="AR1182" s="22">
        <v>0</v>
      </c>
      <c r="AS1182" s="22">
        <v>0</v>
      </c>
      <c r="AT1182" s="22">
        <v>0</v>
      </c>
      <c r="AU1182" s="22">
        <v>1</v>
      </c>
      <c r="AV1182" s="22">
        <v>1</v>
      </c>
      <c r="AW1182" s="22">
        <v>0</v>
      </c>
      <c r="AX1182" s="22">
        <v>0</v>
      </c>
      <c r="AY1182" s="22">
        <v>1</v>
      </c>
      <c r="AZ1182" s="22">
        <v>0</v>
      </c>
      <c r="BA1182" s="22">
        <v>0</v>
      </c>
      <c r="BB1182" s="22">
        <v>0</v>
      </c>
      <c r="BC1182" s="22">
        <v>3</v>
      </c>
      <c r="BD1182" s="22">
        <v>5</v>
      </c>
      <c r="BE1182" s="22">
        <v>2</v>
      </c>
    </row>
    <row r="1183" spans="1:57">
      <c r="A1183" s="21" t="s">
        <v>3400</v>
      </c>
      <c r="B1183" s="22" t="s">
        <v>663</v>
      </c>
      <c r="C1183" s="23" t="s">
        <v>2223</v>
      </c>
      <c r="D1183" s="22" t="s">
        <v>3188</v>
      </c>
      <c r="E1183" s="23" t="s">
        <v>3189</v>
      </c>
      <c r="F1183" s="23" t="s">
        <v>3190</v>
      </c>
      <c r="G1183" s="23" t="s">
        <v>3191</v>
      </c>
      <c r="H1183" s="23" t="s">
        <v>3392</v>
      </c>
      <c r="I1183" s="22" t="s">
        <v>50</v>
      </c>
      <c r="J1183" s="22" t="s">
        <v>3401</v>
      </c>
      <c r="M1183" s="22" t="s">
        <v>1</v>
      </c>
      <c r="N1183" s="22" t="s">
        <v>475</v>
      </c>
      <c r="O1183" s="22" t="s">
        <v>3196</v>
      </c>
      <c r="P1183" s="22">
        <v>90230</v>
      </c>
      <c r="Q1183" s="21">
        <v>50</v>
      </c>
      <c r="R1183" s="21">
        <v>27</v>
      </c>
      <c r="S1183" s="21">
        <v>27</v>
      </c>
      <c r="T1183" s="21" t="s">
        <v>160</v>
      </c>
      <c r="U1183" s="21">
        <v>1</v>
      </c>
      <c r="V1183" s="21">
        <v>1</v>
      </c>
      <c r="W1183" s="24">
        <f t="shared" si="199"/>
        <v>5383.53</v>
      </c>
      <c r="X1183" s="25">
        <f t="shared" si="200"/>
        <v>28613.25</v>
      </c>
      <c r="Y1183" s="21">
        <v>7</v>
      </c>
      <c r="Z1183" s="24">
        <f t="shared" si="196"/>
        <v>37684.71</v>
      </c>
      <c r="AA1183" s="24">
        <f t="shared" si="197"/>
        <v>200292.75</v>
      </c>
      <c r="AB1183" s="21">
        <v>350</v>
      </c>
      <c r="AC1183" s="21">
        <v>27</v>
      </c>
      <c r="AD1183" s="21">
        <v>27</v>
      </c>
      <c r="AE1183" s="21" t="s">
        <v>160</v>
      </c>
      <c r="AF1183" s="21">
        <v>1</v>
      </c>
      <c r="AG1183" s="21">
        <v>1</v>
      </c>
      <c r="AH1183" s="24">
        <f>3.14*AC1183*AB1183+2*3.14*(AD1183/2)^2/AG1183</f>
        <v>30817.53</v>
      </c>
      <c r="AI1183" s="25">
        <f>(3.14/4*AC1183^2*AB1183)*AF1183</f>
        <v>200292.75</v>
      </c>
      <c r="AJ1183" s="21">
        <v>200395</v>
      </c>
      <c r="AK1183" s="21">
        <v>350</v>
      </c>
      <c r="AL1183" s="22" t="s">
        <v>161</v>
      </c>
      <c r="AM1183" s="22">
        <v>0.11</v>
      </c>
      <c r="AN1183" s="22" t="s">
        <v>1357</v>
      </c>
      <c r="AO1183" s="22" t="s">
        <v>1357</v>
      </c>
      <c r="AP1183" s="22" t="s">
        <v>162</v>
      </c>
      <c r="AQ1183" s="22" t="str">
        <f t="shared" si="198"/>
        <v>Microphytoplankton</v>
      </c>
      <c r="AR1183" s="22">
        <v>0</v>
      </c>
      <c r="AS1183" s="22">
        <v>0</v>
      </c>
      <c r="AT1183" s="22">
        <v>0</v>
      </c>
      <c r="AU1183" s="22">
        <v>1</v>
      </c>
      <c r="AV1183" s="22">
        <v>1</v>
      </c>
      <c r="AW1183" s="22">
        <v>0</v>
      </c>
      <c r="AX1183" s="22">
        <v>0</v>
      </c>
      <c r="AY1183" s="22">
        <v>1</v>
      </c>
      <c r="AZ1183" s="22">
        <v>0</v>
      </c>
      <c r="BA1183" s="22">
        <v>0</v>
      </c>
      <c r="BB1183" s="22">
        <v>0</v>
      </c>
      <c r="BC1183" s="22">
        <v>3</v>
      </c>
      <c r="BD1183" s="22">
        <v>5</v>
      </c>
      <c r="BE1183" s="22">
        <v>2</v>
      </c>
    </row>
    <row r="1184" spans="1:57">
      <c r="A1184" s="22" t="s">
        <v>3402</v>
      </c>
      <c r="B1184" s="22" t="s">
        <v>663</v>
      </c>
      <c r="C1184" s="23" t="s">
        <v>2223</v>
      </c>
      <c r="D1184" s="22" t="s">
        <v>3188</v>
      </c>
      <c r="E1184" s="23" t="s">
        <v>3189</v>
      </c>
      <c r="F1184" s="23" t="s">
        <v>3190</v>
      </c>
      <c r="G1184" s="23" t="s">
        <v>3191</v>
      </c>
      <c r="H1184" s="23" t="s">
        <v>3381</v>
      </c>
      <c r="I1184" s="22" t="s">
        <v>3403</v>
      </c>
      <c r="J1184" s="22" t="s">
        <v>211</v>
      </c>
      <c r="M1184" s="22" t="s">
        <v>1</v>
      </c>
      <c r="N1184" s="22" t="s">
        <v>3404</v>
      </c>
      <c r="O1184" s="22" t="s">
        <v>3196</v>
      </c>
      <c r="P1184" s="21">
        <v>94200</v>
      </c>
      <c r="Q1184" s="22">
        <v>40</v>
      </c>
      <c r="R1184" s="22">
        <v>15</v>
      </c>
      <c r="S1184" s="22">
        <v>8</v>
      </c>
      <c r="T1184" s="22" t="s">
        <v>874</v>
      </c>
      <c r="U1184" s="21">
        <v>1</v>
      </c>
      <c r="V1184" s="21">
        <v>1</v>
      </c>
      <c r="W1184" s="24">
        <f>(4*3.14*(((Q1184^1.6*R1184^1.6+Q1184^1.6*S1184^1.6+R1184^1.6+S1184^1.6)/3)^(1/1.6)))*(1/V1184)</f>
        <v>4616.2606196318657</v>
      </c>
      <c r="X1184" s="24">
        <f>3.14/12*R1184*S1184*Q1184*U1184</f>
        <v>1256</v>
      </c>
      <c r="Y1184" s="22">
        <v>1</v>
      </c>
      <c r="Z1184" s="24">
        <f t="shared" si="196"/>
        <v>4616.2606196318657</v>
      </c>
      <c r="AA1184" s="24">
        <f t="shared" si="197"/>
        <v>1256</v>
      </c>
      <c r="AJ1184" s="21">
        <v>2355</v>
      </c>
      <c r="AK1184" s="21">
        <v>40</v>
      </c>
      <c r="AL1184" s="22" t="s">
        <v>748</v>
      </c>
      <c r="AM1184" s="22">
        <v>0.11</v>
      </c>
      <c r="AO1184" s="22" t="s">
        <v>2206</v>
      </c>
      <c r="AP1184" s="22" t="s">
        <v>162</v>
      </c>
      <c r="AQ1184" s="22" t="str">
        <f t="shared" si="198"/>
        <v>Microphytoplankton</v>
      </c>
      <c r="AR1184" s="22">
        <v>0</v>
      </c>
      <c r="AS1184" s="22">
        <v>0</v>
      </c>
      <c r="AT1184" s="22">
        <v>0</v>
      </c>
      <c r="AU1184" s="22">
        <v>0</v>
      </c>
      <c r="AV1184" s="22">
        <v>0</v>
      </c>
      <c r="AW1184" s="22">
        <v>0</v>
      </c>
      <c r="AX1184" s="22">
        <v>0</v>
      </c>
      <c r="AY1184" s="22">
        <v>1</v>
      </c>
    </row>
    <row r="1185" spans="1:57">
      <c r="A1185" s="22" t="s">
        <v>3405</v>
      </c>
      <c r="B1185" s="22" t="s">
        <v>663</v>
      </c>
      <c r="C1185" s="23" t="s">
        <v>2223</v>
      </c>
      <c r="D1185" s="22" t="s">
        <v>3188</v>
      </c>
      <c r="E1185" s="23" t="s">
        <v>3189</v>
      </c>
      <c r="F1185" s="23" t="s">
        <v>3190</v>
      </c>
      <c r="G1185" s="23" t="s">
        <v>3191</v>
      </c>
      <c r="H1185" s="23" t="s">
        <v>3381</v>
      </c>
      <c r="I1185" s="22" t="s">
        <v>3403</v>
      </c>
      <c r="J1185" s="22" t="s">
        <v>3406</v>
      </c>
      <c r="N1185" s="22" t="s">
        <v>3407</v>
      </c>
      <c r="O1185" s="22" t="s">
        <v>3196</v>
      </c>
      <c r="P1185" s="22">
        <v>94201</v>
      </c>
      <c r="Q1185" s="22">
        <v>19</v>
      </c>
      <c r="R1185" s="22">
        <v>10</v>
      </c>
      <c r="S1185" s="22">
        <v>10</v>
      </c>
      <c r="T1185" s="22" t="s">
        <v>281</v>
      </c>
      <c r="U1185" s="22">
        <v>1</v>
      </c>
      <c r="V1185" s="22">
        <v>1</v>
      </c>
      <c r="W1185" s="24">
        <f>(4*3.14*(((Q1185^1.6*R1185^1.6+Q1185^1.6*S1185^1.6+R1185^1.6+S1185^1.6)/3)^(1/1.6)))*(1/V1185)</f>
        <v>1862.5879916178064</v>
      </c>
      <c r="X1185" s="24">
        <f>3.14/6*Q1185*R1185*S1185*U1185</f>
        <v>994.33333333333337</v>
      </c>
      <c r="Y1185" s="22">
        <v>1</v>
      </c>
      <c r="Z1185" s="24">
        <f t="shared" si="196"/>
        <v>1862.5879916178064</v>
      </c>
      <c r="AA1185" s="24">
        <f t="shared" si="197"/>
        <v>994.33333333333337</v>
      </c>
      <c r="AJ1185" s="21">
        <v>1492</v>
      </c>
      <c r="AK1185" s="21">
        <v>19</v>
      </c>
      <c r="AL1185" s="22" t="s">
        <v>161</v>
      </c>
      <c r="AM1185" s="22">
        <v>0.11</v>
      </c>
      <c r="AO1185" s="22" t="s">
        <v>2206</v>
      </c>
      <c r="AP1185" s="22" t="s">
        <v>162</v>
      </c>
      <c r="AQ1185" s="22" t="str">
        <f t="shared" si="198"/>
        <v>Nanophytoplankton</v>
      </c>
      <c r="AR1185" s="22">
        <v>0</v>
      </c>
      <c r="AS1185" s="22">
        <v>0</v>
      </c>
      <c r="AT1185" s="22">
        <v>0</v>
      </c>
      <c r="AU1185" s="22">
        <v>0</v>
      </c>
      <c r="AV1185" s="22">
        <v>0</v>
      </c>
      <c r="AW1185" s="22">
        <v>0</v>
      </c>
      <c r="AX1185" s="22">
        <v>0</v>
      </c>
      <c r="AY1185" s="22">
        <v>1</v>
      </c>
    </row>
    <row r="1186" spans="1:57">
      <c r="A1186" s="21" t="s">
        <v>3408</v>
      </c>
      <c r="B1186" s="22" t="s">
        <v>663</v>
      </c>
      <c r="C1186" s="23" t="s">
        <v>2223</v>
      </c>
      <c r="D1186" s="22" t="s">
        <v>3188</v>
      </c>
      <c r="E1186" s="23" t="s">
        <v>3189</v>
      </c>
      <c r="F1186" s="23" t="s">
        <v>3190</v>
      </c>
      <c r="G1186" s="23" t="s">
        <v>3191</v>
      </c>
      <c r="H1186" s="23" t="s">
        <v>3192</v>
      </c>
      <c r="I1186" s="22" t="s">
        <v>3409</v>
      </c>
      <c r="J1186" s="22" t="s">
        <v>3410</v>
      </c>
      <c r="N1186" s="22" t="s">
        <v>3411</v>
      </c>
      <c r="O1186" s="22" t="s">
        <v>3196</v>
      </c>
      <c r="P1186" s="21">
        <v>90801</v>
      </c>
      <c r="Q1186" s="21">
        <v>370</v>
      </c>
      <c r="R1186" s="21">
        <v>33</v>
      </c>
      <c r="S1186" s="21">
        <v>33</v>
      </c>
      <c r="T1186" s="21" t="s">
        <v>160</v>
      </c>
      <c r="U1186" s="22">
        <v>1</v>
      </c>
      <c r="V1186" s="22">
        <v>1</v>
      </c>
      <c r="W1186" s="24">
        <f>3.14*R1186*Q1186+2*3.14*(S1186/2)^2/V1186</f>
        <v>40049.130000000005</v>
      </c>
      <c r="X1186" s="25">
        <f>(3.14/4*R1186^2*Q1186)*U1186</f>
        <v>316300.05</v>
      </c>
      <c r="Y1186" s="21">
        <v>1</v>
      </c>
      <c r="Z1186" s="24">
        <f t="shared" si="196"/>
        <v>40049.130000000005</v>
      </c>
      <c r="AA1186" s="24">
        <f t="shared" si="197"/>
        <v>316300.05</v>
      </c>
      <c r="AB1186" s="21"/>
      <c r="AC1186" s="21"/>
      <c r="AD1186" s="21"/>
      <c r="AE1186" s="21"/>
      <c r="AF1186" s="21"/>
      <c r="AG1186" s="21"/>
      <c r="AH1186" s="24"/>
      <c r="AI1186" s="24"/>
      <c r="AJ1186" s="21">
        <v>284814.40000000002</v>
      </c>
      <c r="AK1186" s="21">
        <v>370</v>
      </c>
      <c r="AL1186" s="22" t="s">
        <v>161</v>
      </c>
      <c r="AM1186" s="22">
        <v>0.11</v>
      </c>
      <c r="AO1186" s="22" t="s">
        <v>2206</v>
      </c>
      <c r="AP1186" s="22" t="s">
        <v>162</v>
      </c>
      <c r="AQ1186" s="22" t="str">
        <f t="shared" si="198"/>
        <v>Microphytoplankton</v>
      </c>
      <c r="AR1186" s="22">
        <v>0</v>
      </c>
      <c r="AS1186" s="22">
        <v>0</v>
      </c>
      <c r="AT1186" s="22">
        <v>0</v>
      </c>
      <c r="AU1186" s="22">
        <v>0</v>
      </c>
      <c r="AV1186" s="22">
        <v>0</v>
      </c>
      <c r="AW1186" s="22">
        <v>0</v>
      </c>
      <c r="AX1186" s="22">
        <v>0</v>
      </c>
      <c r="AY1186" s="22">
        <v>1</v>
      </c>
    </row>
    <row r="1187" spans="1:57">
      <c r="A1187" s="21" t="s">
        <v>3412</v>
      </c>
      <c r="B1187" s="22" t="s">
        <v>663</v>
      </c>
      <c r="C1187" s="23" t="s">
        <v>2223</v>
      </c>
      <c r="D1187" s="22" t="s">
        <v>3188</v>
      </c>
      <c r="E1187" s="23" t="s">
        <v>3189</v>
      </c>
      <c r="F1187" s="23" t="s">
        <v>3190</v>
      </c>
      <c r="G1187" s="23" t="s">
        <v>3191</v>
      </c>
      <c r="H1187" s="23" t="s">
        <v>3392</v>
      </c>
      <c r="I1187" s="22" t="s">
        <v>3413</v>
      </c>
      <c r="J1187" s="22" t="s">
        <v>211</v>
      </c>
      <c r="M1187" s="22" t="s">
        <v>1</v>
      </c>
      <c r="N1187" s="22" t="s">
        <v>2757</v>
      </c>
      <c r="O1187" s="22" t="s">
        <v>3196</v>
      </c>
      <c r="P1187" s="21">
        <v>90700</v>
      </c>
      <c r="Q1187" s="21">
        <v>60</v>
      </c>
      <c r="R1187" s="21">
        <v>30</v>
      </c>
      <c r="S1187" s="21">
        <v>30</v>
      </c>
      <c r="T1187" s="21" t="s">
        <v>160</v>
      </c>
      <c r="U1187" s="22">
        <v>1</v>
      </c>
      <c r="V1187" s="22">
        <v>1</v>
      </c>
      <c r="W1187" s="24">
        <f>3.14*R1187*Q1187+2*3.14*(S1187/2)^2/V1187</f>
        <v>7065</v>
      </c>
      <c r="X1187" s="25">
        <f>(3.14/4*R1187^2*Q1187)*U1187</f>
        <v>42390</v>
      </c>
      <c r="Y1187" s="21">
        <v>1</v>
      </c>
      <c r="Z1187" s="24">
        <f t="shared" si="196"/>
        <v>7065</v>
      </c>
      <c r="AA1187" s="24">
        <f t="shared" si="197"/>
        <v>42390</v>
      </c>
      <c r="AB1187" s="21"/>
      <c r="AC1187" s="21"/>
      <c r="AD1187" s="21"/>
      <c r="AE1187" s="21"/>
      <c r="AF1187" s="21"/>
      <c r="AG1187" s="21"/>
      <c r="AH1187" s="24"/>
      <c r="AI1187" s="24"/>
      <c r="AJ1187" s="21">
        <v>42411.5</v>
      </c>
      <c r="AK1187" s="21">
        <v>100</v>
      </c>
      <c r="AL1187" s="22" t="s">
        <v>161</v>
      </c>
      <c r="AM1187" s="22">
        <v>0.11</v>
      </c>
      <c r="AO1187" s="22" t="s">
        <v>383</v>
      </c>
      <c r="AP1187" s="22" t="s">
        <v>162</v>
      </c>
      <c r="AQ1187" s="22" t="str">
        <f t="shared" si="198"/>
        <v>Microphytoplankton</v>
      </c>
      <c r="AR1187" s="22">
        <v>0</v>
      </c>
      <c r="AS1187" s="22">
        <v>0</v>
      </c>
      <c r="AT1187" s="22">
        <v>0</v>
      </c>
      <c r="AU1187" s="22">
        <v>1</v>
      </c>
      <c r="AV1187" s="22">
        <v>1</v>
      </c>
      <c r="AW1187" s="22">
        <v>0</v>
      </c>
      <c r="AX1187" s="22">
        <v>0</v>
      </c>
      <c r="AY1187" s="22">
        <v>1</v>
      </c>
    </row>
    <row r="1188" spans="1:57">
      <c r="A1188" s="21" t="s">
        <v>3414</v>
      </c>
      <c r="B1188" s="22" t="s">
        <v>663</v>
      </c>
      <c r="C1188" s="23" t="s">
        <v>2223</v>
      </c>
      <c r="D1188" s="22" t="s">
        <v>3188</v>
      </c>
      <c r="E1188" s="23" t="s">
        <v>3189</v>
      </c>
      <c r="F1188" s="23" t="s">
        <v>3190</v>
      </c>
      <c r="G1188" s="23" t="s">
        <v>3191</v>
      </c>
      <c r="H1188" s="23" t="s">
        <v>3392</v>
      </c>
      <c r="I1188" s="22" t="s">
        <v>3413</v>
      </c>
      <c r="J1188" s="22" t="s">
        <v>1175</v>
      </c>
      <c r="M1188" s="22" t="s">
        <v>1</v>
      </c>
      <c r="N1188" s="22" t="s">
        <v>2757</v>
      </c>
      <c r="O1188" s="22" t="s">
        <v>3196</v>
      </c>
      <c r="P1188" s="21">
        <v>90701</v>
      </c>
      <c r="Q1188" s="21">
        <v>200</v>
      </c>
      <c r="R1188" s="21">
        <v>15</v>
      </c>
      <c r="S1188" s="21">
        <v>15</v>
      </c>
      <c r="T1188" s="21" t="s">
        <v>160</v>
      </c>
      <c r="U1188" s="22">
        <v>1</v>
      </c>
      <c r="V1188" s="22">
        <v>1</v>
      </c>
      <c r="W1188" s="24">
        <f>3.14*R1188*Q1188+2*3.14*(S1188/2)^2/V1188</f>
        <v>9773.25</v>
      </c>
      <c r="X1188" s="25">
        <f>(3.14/4*R1188^2*Q1188)*U1188</f>
        <v>35325</v>
      </c>
      <c r="Y1188" s="21">
        <v>13</v>
      </c>
      <c r="Z1188" s="24">
        <f t="shared" si="196"/>
        <v>127052.25</v>
      </c>
      <c r="AA1188" s="24">
        <f t="shared" si="197"/>
        <v>459225</v>
      </c>
      <c r="AB1188" s="21">
        <v>200</v>
      </c>
      <c r="AC1188" s="21">
        <v>15</v>
      </c>
      <c r="AD1188" s="21">
        <v>15</v>
      </c>
      <c r="AE1188" s="21" t="s">
        <v>160</v>
      </c>
      <c r="AF1188" s="21">
        <v>1</v>
      </c>
      <c r="AG1188" s="21">
        <v>1</v>
      </c>
      <c r="AH1188" s="24">
        <f>3.14*AC1188*AB1188+2*3.14*(AD1188/2)^2/AG1188</f>
        <v>9773.25</v>
      </c>
      <c r="AI1188" s="25">
        <f>(3.14/4*AC1188^2*AB1188)*AF1188</f>
        <v>35325</v>
      </c>
      <c r="AJ1188" s="21">
        <v>35325</v>
      </c>
      <c r="AK1188" s="21">
        <v>200</v>
      </c>
      <c r="AL1188" s="22" t="s">
        <v>161</v>
      </c>
      <c r="AM1188" s="22">
        <v>0.11</v>
      </c>
      <c r="AO1188" s="22" t="s">
        <v>383</v>
      </c>
      <c r="AP1188" s="22" t="s">
        <v>162</v>
      </c>
      <c r="AQ1188" s="22" t="str">
        <f t="shared" si="198"/>
        <v>Microphytoplankton</v>
      </c>
      <c r="AR1188" s="22">
        <v>0</v>
      </c>
      <c r="AS1188" s="22">
        <v>0</v>
      </c>
      <c r="AT1188" s="22">
        <v>0</v>
      </c>
      <c r="AU1188" s="22">
        <v>1</v>
      </c>
      <c r="AV1188" s="22">
        <v>1</v>
      </c>
      <c r="AW1188" s="22">
        <v>0</v>
      </c>
      <c r="AX1188" s="22">
        <v>0</v>
      </c>
      <c r="AY1188" s="22">
        <v>1</v>
      </c>
    </row>
    <row r="1189" spans="1:57">
      <c r="A1189" s="21" t="s">
        <v>3415</v>
      </c>
      <c r="B1189" s="22" t="s">
        <v>663</v>
      </c>
      <c r="C1189" s="23" t="s">
        <v>2223</v>
      </c>
      <c r="D1189" s="22" t="s">
        <v>3188</v>
      </c>
      <c r="E1189" s="23" t="s">
        <v>3189</v>
      </c>
      <c r="F1189" s="23" t="s">
        <v>3190</v>
      </c>
      <c r="G1189" s="23" t="s">
        <v>3191</v>
      </c>
      <c r="H1189" s="23" t="s">
        <v>3392</v>
      </c>
      <c r="I1189" s="22" t="s">
        <v>3413</v>
      </c>
      <c r="J1189" s="22" t="s">
        <v>3416</v>
      </c>
      <c r="M1189" s="22" t="s">
        <v>1</v>
      </c>
      <c r="N1189" s="22" t="s">
        <v>2757</v>
      </c>
      <c r="O1189" s="22" t="s">
        <v>3196</v>
      </c>
      <c r="P1189" s="21">
        <v>90702</v>
      </c>
      <c r="Q1189" s="21">
        <v>52</v>
      </c>
      <c r="R1189" s="21">
        <v>13</v>
      </c>
      <c r="S1189" s="21">
        <v>13</v>
      </c>
      <c r="T1189" s="21" t="s">
        <v>160</v>
      </c>
      <c r="U1189" s="22">
        <v>1</v>
      </c>
      <c r="V1189" s="22">
        <v>1</v>
      </c>
      <c r="W1189" s="24">
        <f>3.14*R1189*Q1189+2*3.14*(S1189/2)^2/V1189</f>
        <v>2387.9699999999998</v>
      </c>
      <c r="X1189" s="25">
        <f>(3.14/4*R1189^2*Q1189)*U1189</f>
        <v>6898.58</v>
      </c>
      <c r="Y1189" s="21">
        <v>1</v>
      </c>
      <c r="Z1189" s="24">
        <f t="shared" si="196"/>
        <v>2387.9699999999998</v>
      </c>
      <c r="AA1189" s="24">
        <f t="shared" si="197"/>
        <v>6898.58</v>
      </c>
      <c r="AB1189" s="21"/>
      <c r="AC1189" s="21"/>
      <c r="AD1189" s="21"/>
      <c r="AE1189" s="21"/>
      <c r="AF1189" s="21"/>
      <c r="AG1189" s="21"/>
      <c r="AH1189" s="24"/>
      <c r="AI1189" s="24"/>
      <c r="AJ1189" s="21">
        <v>6898.6</v>
      </c>
      <c r="AK1189" s="21">
        <v>52</v>
      </c>
      <c r="AL1189" s="22" t="s">
        <v>161</v>
      </c>
      <c r="AM1189" s="22">
        <v>0.11</v>
      </c>
      <c r="AO1189" s="22" t="s">
        <v>383</v>
      </c>
      <c r="AP1189" s="22" t="s">
        <v>162</v>
      </c>
      <c r="AQ1189" s="22" t="str">
        <f t="shared" si="198"/>
        <v>Microphytoplankton</v>
      </c>
      <c r="AR1189" s="22">
        <v>0</v>
      </c>
      <c r="AS1189" s="22">
        <v>0</v>
      </c>
      <c r="AT1189" s="22">
        <v>0</v>
      </c>
      <c r="AU1189" s="22">
        <v>1</v>
      </c>
      <c r="AV1189" s="22">
        <v>1</v>
      </c>
      <c r="AW1189" s="22">
        <v>0</v>
      </c>
      <c r="AX1189" s="22">
        <v>0</v>
      </c>
      <c r="AY1189" s="22">
        <v>1</v>
      </c>
    </row>
    <row r="1190" spans="1:57">
      <c r="A1190" s="21" t="s">
        <v>3417</v>
      </c>
      <c r="B1190" s="22" t="s">
        <v>663</v>
      </c>
      <c r="C1190" s="23" t="s">
        <v>2223</v>
      </c>
      <c r="D1190" s="22" t="s">
        <v>3188</v>
      </c>
      <c r="E1190" s="23" t="s">
        <v>3189</v>
      </c>
      <c r="F1190" s="23" t="s">
        <v>3190</v>
      </c>
      <c r="G1190" s="23" t="s">
        <v>3191</v>
      </c>
      <c r="H1190" s="23" t="s">
        <v>3192</v>
      </c>
      <c r="I1190" s="22" t="s">
        <v>3418</v>
      </c>
      <c r="J1190" s="21" t="s">
        <v>3419</v>
      </c>
      <c r="K1190" s="21"/>
      <c r="L1190" s="21"/>
      <c r="N1190" s="22" t="s">
        <v>3207</v>
      </c>
      <c r="O1190" s="22" t="s">
        <v>3196</v>
      </c>
      <c r="P1190" s="21">
        <v>90670</v>
      </c>
      <c r="Q1190" s="21">
        <v>23</v>
      </c>
      <c r="R1190" s="21">
        <v>23</v>
      </c>
      <c r="S1190" s="21">
        <v>23</v>
      </c>
      <c r="T1190" s="21" t="s">
        <v>281</v>
      </c>
      <c r="U1190" s="21">
        <v>1</v>
      </c>
      <c r="V1190" s="21">
        <v>1</v>
      </c>
      <c r="W1190" s="24">
        <f>(4*3.14*(((Q1190^1.6*R1190^1.6+Q1190^1.6*S1190^1.6+R1190^1.6+S1190^1.6)/3)^(1/1.6)))*(1/V1190)</f>
        <v>5178.2235861748914</v>
      </c>
      <c r="X1190" s="24">
        <f>3.14/6*Q1190*R1190*S1190*U1190</f>
        <v>6367.3966666666674</v>
      </c>
      <c r="Y1190" s="21">
        <v>1</v>
      </c>
      <c r="Z1190" s="24">
        <f t="shared" si="196"/>
        <v>5178.2235861748914</v>
      </c>
      <c r="AA1190" s="24">
        <f t="shared" si="197"/>
        <v>6367.3966666666674</v>
      </c>
      <c r="AB1190" s="21"/>
      <c r="AC1190" s="21"/>
      <c r="AD1190" s="21"/>
      <c r="AE1190" s="21"/>
      <c r="AF1190" s="21"/>
      <c r="AG1190" s="21"/>
      <c r="AH1190" s="24"/>
      <c r="AI1190" s="24"/>
      <c r="AJ1190" s="21">
        <v>5000</v>
      </c>
      <c r="AK1190" s="21">
        <v>30</v>
      </c>
      <c r="AL1190" s="22" t="s">
        <v>161</v>
      </c>
      <c r="AM1190" s="22">
        <v>0.11</v>
      </c>
      <c r="AO1190" s="22" t="s">
        <v>2206</v>
      </c>
      <c r="AP1190" s="22" t="s">
        <v>162</v>
      </c>
      <c r="AQ1190" s="22" t="str">
        <f t="shared" si="198"/>
        <v>Microphytoplankton</v>
      </c>
      <c r="AR1190" s="22">
        <v>0</v>
      </c>
      <c r="AS1190" s="22">
        <v>0</v>
      </c>
      <c r="AT1190" s="22">
        <v>0</v>
      </c>
      <c r="AU1190" s="22">
        <v>0</v>
      </c>
      <c r="AV1190" s="22">
        <v>0</v>
      </c>
      <c r="AW1190" s="22">
        <v>0</v>
      </c>
      <c r="AX1190" s="22">
        <v>0</v>
      </c>
      <c r="AY1190" s="22">
        <v>1</v>
      </c>
    </row>
    <row r="1191" spans="1:57">
      <c r="A1191" s="21" t="s">
        <v>3420</v>
      </c>
      <c r="B1191" s="22" t="s">
        <v>663</v>
      </c>
      <c r="C1191" s="23" t="s">
        <v>2223</v>
      </c>
      <c r="D1191" s="22" t="s">
        <v>3188</v>
      </c>
      <c r="E1191" s="23" t="s">
        <v>3189</v>
      </c>
      <c r="F1191" s="23" t="s">
        <v>3190</v>
      </c>
      <c r="G1191" s="23" t="s">
        <v>3191</v>
      </c>
      <c r="H1191" s="23" t="s">
        <v>3192</v>
      </c>
      <c r="I1191" s="22" t="s">
        <v>3418</v>
      </c>
      <c r="J1191" s="21" t="s">
        <v>3421</v>
      </c>
      <c r="K1191" s="21"/>
      <c r="L1191" s="21"/>
      <c r="N1191" s="22" t="s">
        <v>3422</v>
      </c>
      <c r="O1191" s="22" t="s">
        <v>3196</v>
      </c>
      <c r="P1191" s="21">
        <v>90673</v>
      </c>
      <c r="Q1191" s="21">
        <v>30</v>
      </c>
      <c r="R1191" s="21">
        <v>27</v>
      </c>
      <c r="S1191" s="21">
        <v>27</v>
      </c>
      <c r="T1191" s="21" t="s">
        <v>330</v>
      </c>
      <c r="U1191" s="21">
        <v>0.5</v>
      </c>
      <c r="V1191" s="21">
        <v>0.5</v>
      </c>
      <c r="W1191" s="25">
        <f>(Q1191*R1191*2+Q1191*S1191*2+R1191*S1191*2)/V1191</f>
        <v>9396</v>
      </c>
      <c r="X1191" s="25">
        <f>Q1191*R1191*S1191*U1191</f>
        <v>10935</v>
      </c>
      <c r="Y1191" s="21">
        <v>1</v>
      </c>
      <c r="Z1191" s="24">
        <f t="shared" si="196"/>
        <v>9396</v>
      </c>
      <c r="AA1191" s="24">
        <f t="shared" si="197"/>
        <v>10935</v>
      </c>
      <c r="AB1191" s="21"/>
      <c r="AC1191" s="21"/>
      <c r="AD1191" s="21"/>
      <c r="AE1191" s="21"/>
      <c r="AF1191" s="21"/>
      <c r="AG1191" s="21"/>
      <c r="AH1191" s="24"/>
      <c r="AI1191" s="24"/>
      <c r="AJ1191" s="21">
        <v>10935</v>
      </c>
      <c r="AK1191" s="21">
        <v>30</v>
      </c>
      <c r="AL1191" s="22" t="s">
        <v>161</v>
      </c>
      <c r="AM1191" s="22">
        <v>0.11</v>
      </c>
      <c r="AO1191" s="22" t="s">
        <v>2206</v>
      </c>
      <c r="AP1191" s="22" t="s">
        <v>162</v>
      </c>
      <c r="AQ1191" s="22" t="str">
        <f t="shared" si="198"/>
        <v>Microphytoplankton</v>
      </c>
      <c r="AR1191" s="22">
        <v>0</v>
      </c>
      <c r="AS1191" s="22">
        <v>0</v>
      </c>
      <c r="AT1191" s="22">
        <v>0</v>
      </c>
      <c r="AU1191" s="22">
        <v>0</v>
      </c>
      <c r="AV1191" s="22">
        <v>0</v>
      </c>
      <c r="AW1191" s="22">
        <v>0</v>
      </c>
      <c r="AX1191" s="22">
        <v>0</v>
      </c>
      <c r="AY1191" s="22">
        <v>1</v>
      </c>
    </row>
    <row r="1192" spans="1:57">
      <c r="A1192" s="22" t="s">
        <v>3423</v>
      </c>
      <c r="B1192" s="22" t="s">
        <v>663</v>
      </c>
      <c r="C1192" s="23" t="s">
        <v>2223</v>
      </c>
      <c r="D1192" s="22" t="s">
        <v>3188</v>
      </c>
      <c r="E1192" s="23" t="s">
        <v>3189</v>
      </c>
      <c r="F1192" s="23" t="s">
        <v>3190</v>
      </c>
      <c r="G1192" s="23" t="s">
        <v>3191</v>
      </c>
      <c r="H1192" s="23" t="s">
        <v>3192</v>
      </c>
      <c r="I1192" s="22" t="s">
        <v>3418</v>
      </c>
      <c r="J1192" s="22" t="s">
        <v>371</v>
      </c>
      <c r="K1192" s="22" t="s">
        <v>175</v>
      </c>
      <c r="L1192" s="22" t="s">
        <v>3424</v>
      </c>
      <c r="N1192" s="22" t="s">
        <v>3425</v>
      </c>
      <c r="O1192" s="22" t="s">
        <v>3196</v>
      </c>
      <c r="P1192" s="21">
        <v>90671</v>
      </c>
      <c r="Q1192" s="22">
        <v>45</v>
      </c>
      <c r="R1192" s="22">
        <v>45</v>
      </c>
      <c r="S1192" s="22">
        <v>25</v>
      </c>
      <c r="T1192" s="22" t="s">
        <v>281</v>
      </c>
      <c r="U1192" s="22">
        <v>1.5</v>
      </c>
      <c r="V1192" s="22">
        <v>1.5</v>
      </c>
      <c r="W1192" s="24">
        <f t="shared" ref="W1192:W1213" si="201">(4*3.14*(((Q1192^1.6*R1192^1.6+Q1192^1.6*S1192^1.6+R1192^1.6+S1192^1.6)/3)^(1/1.6)))*(1/V1192)</f>
        <v>10500.459179189889</v>
      </c>
      <c r="X1192" s="24">
        <f t="shared" ref="X1192:X1213" si="202">3.14/6*Q1192*R1192*S1192*U1192</f>
        <v>39740.625</v>
      </c>
      <c r="Y1192" s="21">
        <v>1</v>
      </c>
      <c r="Z1192" s="24">
        <f t="shared" si="196"/>
        <v>10500.459179189889</v>
      </c>
      <c r="AA1192" s="24">
        <f t="shared" si="197"/>
        <v>39740.625</v>
      </c>
      <c r="AE1192" s="21"/>
      <c r="AF1192" s="21"/>
      <c r="AG1192" s="21"/>
      <c r="AH1192" s="24"/>
      <c r="AI1192" s="24"/>
      <c r="AJ1192" s="21">
        <v>71533.125</v>
      </c>
      <c r="AK1192" s="21">
        <v>45</v>
      </c>
      <c r="AL1192" s="22" t="s">
        <v>161</v>
      </c>
      <c r="AM1192" s="22">
        <v>0.11</v>
      </c>
      <c r="AO1192" s="22" t="s">
        <v>2206</v>
      </c>
      <c r="AP1192" s="22" t="s">
        <v>162</v>
      </c>
      <c r="AQ1192" s="22" t="str">
        <f t="shared" si="198"/>
        <v>Microphytoplankton</v>
      </c>
      <c r="AR1192" s="22">
        <v>0</v>
      </c>
      <c r="AS1192" s="22">
        <v>0</v>
      </c>
      <c r="AT1192" s="22">
        <v>0</v>
      </c>
      <c r="AU1192" s="22">
        <v>0</v>
      </c>
      <c r="AV1192" s="22">
        <v>0</v>
      </c>
      <c r="AW1192" s="22">
        <v>0</v>
      </c>
      <c r="AX1192" s="22">
        <v>0</v>
      </c>
      <c r="AY1192" s="22">
        <v>1</v>
      </c>
    </row>
    <row r="1193" spans="1:57">
      <c r="A1193" s="22" t="s">
        <v>3426</v>
      </c>
      <c r="B1193" s="22" t="s">
        <v>663</v>
      </c>
      <c r="C1193" s="23" t="s">
        <v>2223</v>
      </c>
      <c r="D1193" s="22" t="s">
        <v>3188</v>
      </c>
      <c r="E1193" s="23" t="s">
        <v>3189</v>
      </c>
      <c r="F1193" s="23" t="s">
        <v>3190</v>
      </c>
      <c r="G1193" s="23" t="s">
        <v>3191</v>
      </c>
      <c r="H1193" s="23" t="s">
        <v>3192</v>
      </c>
      <c r="I1193" s="22" t="s">
        <v>3418</v>
      </c>
      <c r="J1193" s="22" t="s">
        <v>3427</v>
      </c>
      <c r="N1193" s="22" t="s">
        <v>2809</v>
      </c>
      <c r="O1193" s="22" t="s">
        <v>3196</v>
      </c>
      <c r="P1193" s="21">
        <v>90672</v>
      </c>
      <c r="Q1193" s="22">
        <v>75</v>
      </c>
      <c r="R1193" s="22">
        <v>82.5</v>
      </c>
      <c r="S1193" s="22">
        <v>35</v>
      </c>
      <c r="T1193" s="22" t="s">
        <v>281</v>
      </c>
      <c r="U1193" s="22">
        <v>0.2</v>
      </c>
      <c r="V1193" s="22">
        <v>0.2</v>
      </c>
      <c r="W1193" s="24">
        <f t="shared" si="201"/>
        <v>225371.44245094809</v>
      </c>
      <c r="X1193" s="24">
        <f t="shared" si="202"/>
        <v>22666.875</v>
      </c>
      <c r="Y1193" s="21">
        <v>1</v>
      </c>
      <c r="Z1193" s="24">
        <f t="shared" si="196"/>
        <v>225371.44245094809</v>
      </c>
      <c r="AA1193" s="24">
        <f t="shared" si="197"/>
        <v>22666.875</v>
      </c>
      <c r="AE1193" s="21"/>
      <c r="AF1193" s="21"/>
      <c r="AG1193" s="21"/>
      <c r="AH1193" s="24"/>
      <c r="AI1193" s="24"/>
      <c r="AJ1193" s="21">
        <v>22666.875</v>
      </c>
      <c r="AK1193" s="21">
        <v>82.5</v>
      </c>
      <c r="AL1193" s="22" t="s">
        <v>161</v>
      </c>
      <c r="AM1193" s="22">
        <v>0.11</v>
      </c>
      <c r="AO1193" s="22" t="s">
        <v>2206</v>
      </c>
      <c r="AP1193" s="22" t="s">
        <v>162</v>
      </c>
      <c r="AQ1193" s="22" t="str">
        <f t="shared" si="198"/>
        <v>Microphytoplankton</v>
      </c>
      <c r="AR1193" s="22">
        <v>0</v>
      </c>
      <c r="AS1193" s="22">
        <v>0</v>
      </c>
      <c r="AT1193" s="22">
        <v>0</v>
      </c>
      <c r="AU1193" s="22">
        <v>0</v>
      </c>
      <c r="AV1193" s="22">
        <v>0</v>
      </c>
      <c r="AW1193" s="22">
        <v>0</v>
      </c>
      <c r="AX1193" s="22">
        <v>0</v>
      </c>
      <c r="AY1193" s="22">
        <v>1</v>
      </c>
    </row>
    <row r="1194" spans="1:57">
      <c r="A1194" s="21" t="s">
        <v>3428</v>
      </c>
      <c r="B1194" s="22" t="s">
        <v>663</v>
      </c>
      <c r="C1194" s="23" t="s">
        <v>2223</v>
      </c>
      <c r="D1194" s="22" t="s">
        <v>3188</v>
      </c>
      <c r="E1194" s="23" t="s">
        <v>3189</v>
      </c>
      <c r="F1194" s="23" t="s">
        <v>3190</v>
      </c>
      <c r="G1194" s="23" t="s">
        <v>3191</v>
      </c>
      <c r="H1194" s="23" t="s">
        <v>3192</v>
      </c>
      <c r="I1194" s="22" t="s">
        <v>3418</v>
      </c>
      <c r="J1194" s="21" t="s">
        <v>3429</v>
      </c>
      <c r="K1194" s="21"/>
      <c r="L1194" s="21"/>
      <c r="N1194" s="22" t="s">
        <v>3430</v>
      </c>
      <c r="O1194" s="22" t="s">
        <v>3196</v>
      </c>
      <c r="P1194" s="21">
        <v>90600</v>
      </c>
      <c r="Q1194" s="21">
        <v>24</v>
      </c>
      <c r="R1194" s="21">
        <v>24</v>
      </c>
      <c r="S1194" s="21">
        <v>24</v>
      </c>
      <c r="T1194" s="21" t="s">
        <v>281</v>
      </c>
      <c r="U1194" s="21">
        <v>2</v>
      </c>
      <c r="V1194" s="21">
        <v>2</v>
      </c>
      <c r="W1194" s="24">
        <f t="shared" si="201"/>
        <v>2818.3827894092865</v>
      </c>
      <c r="X1194" s="24">
        <f t="shared" si="202"/>
        <v>14469.119999999997</v>
      </c>
      <c r="Y1194" s="21">
        <v>1</v>
      </c>
      <c r="Z1194" s="24">
        <f t="shared" si="196"/>
        <v>2818.3827894092865</v>
      </c>
      <c r="AA1194" s="24">
        <f t="shared" si="197"/>
        <v>14469.119999999997</v>
      </c>
      <c r="AB1194" s="21"/>
      <c r="AC1194" s="21"/>
      <c r="AD1194" s="21"/>
      <c r="AE1194" s="21"/>
      <c r="AF1194" s="21"/>
      <c r="AG1194" s="21"/>
      <c r="AH1194" s="24"/>
      <c r="AI1194" s="24"/>
      <c r="AJ1194" s="21">
        <v>14476.5</v>
      </c>
      <c r="AK1194" s="21">
        <v>65</v>
      </c>
      <c r="AL1194" s="22" t="s">
        <v>161</v>
      </c>
      <c r="AM1194" s="22">
        <v>0.11</v>
      </c>
      <c r="AO1194" s="22" t="s">
        <v>2206</v>
      </c>
      <c r="AP1194" s="22" t="s">
        <v>162</v>
      </c>
      <c r="AQ1194" s="22" t="str">
        <f t="shared" si="198"/>
        <v>Microphytoplankton</v>
      </c>
      <c r="AR1194" s="22">
        <v>0</v>
      </c>
      <c r="AS1194" s="22">
        <v>0</v>
      </c>
      <c r="AT1194" s="22">
        <v>0</v>
      </c>
      <c r="AU1194" s="22">
        <v>0</v>
      </c>
      <c r="AV1194" s="22">
        <v>0</v>
      </c>
      <c r="AW1194" s="22">
        <v>0</v>
      </c>
      <c r="AX1194" s="22">
        <v>0</v>
      </c>
      <c r="AY1194" s="22">
        <v>1</v>
      </c>
      <c r="AZ1194" s="22">
        <v>0</v>
      </c>
      <c r="BA1194" s="22">
        <v>0</v>
      </c>
      <c r="BB1194" s="22">
        <v>0</v>
      </c>
      <c r="BC1194" s="22">
        <v>3</v>
      </c>
      <c r="BD1194" s="22">
        <v>6</v>
      </c>
      <c r="BE1194" s="22">
        <v>1</v>
      </c>
    </row>
    <row r="1195" spans="1:57">
      <c r="A1195" s="21" t="s">
        <v>3431</v>
      </c>
      <c r="B1195" s="22" t="s">
        <v>663</v>
      </c>
      <c r="C1195" s="23" t="s">
        <v>2223</v>
      </c>
      <c r="D1195" s="22" t="s">
        <v>3188</v>
      </c>
      <c r="E1195" s="23" t="s">
        <v>3189</v>
      </c>
      <c r="F1195" s="23" t="s">
        <v>3190</v>
      </c>
      <c r="G1195" s="23" t="s">
        <v>3191</v>
      </c>
      <c r="H1195" s="23" t="s">
        <v>3192</v>
      </c>
      <c r="I1195" s="22" t="s">
        <v>3418</v>
      </c>
      <c r="J1195" s="21" t="s">
        <v>3432</v>
      </c>
      <c r="K1195" s="21"/>
      <c r="L1195" s="21"/>
      <c r="N1195" s="22" t="s">
        <v>3433</v>
      </c>
      <c r="O1195" s="22" t="s">
        <v>3196</v>
      </c>
      <c r="P1195" s="21">
        <v>90615</v>
      </c>
      <c r="Q1195" s="21">
        <v>23</v>
      </c>
      <c r="R1195" s="21">
        <v>16</v>
      </c>
      <c r="S1195" s="21">
        <v>16</v>
      </c>
      <c r="T1195" s="21" t="s">
        <v>281</v>
      </c>
      <c r="U1195" s="21">
        <v>1.2</v>
      </c>
      <c r="V1195" s="21">
        <v>1.2</v>
      </c>
      <c r="W1195" s="24">
        <f t="shared" si="201"/>
        <v>3001.8687456086286</v>
      </c>
      <c r="X1195" s="24">
        <f t="shared" si="202"/>
        <v>3697.6639999999998</v>
      </c>
      <c r="Y1195" s="21">
        <v>1</v>
      </c>
      <c r="Z1195" s="24">
        <f t="shared" si="196"/>
        <v>3001.8687456086286</v>
      </c>
      <c r="AA1195" s="24">
        <f t="shared" si="197"/>
        <v>3697.6639999999998</v>
      </c>
      <c r="AB1195" s="21"/>
      <c r="AC1195" s="21"/>
      <c r="AD1195" s="21"/>
      <c r="AE1195" s="21"/>
      <c r="AF1195" s="21"/>
      <c r="AG1195" s="21"/>
      <c r="AH1195" s="24"/>
      <c r="AI1195" s="24"/>
      <c r="AJ1195" s="21">
        <v>3697.7</v>
      </c>
      <c r="AK1195" s="21">
        <v>23</v>
      </c>
      <c r="AL1195" s="22" t="s">
        <v>161</v>
      </c>
      <c r="AM1195" s="22">
        <v>0.11</v>
      </c>
      <c r="AO1195" s="22" t="s">
        <v>2206</v>
      </c>
      <c r="AP1195" s="22" t="s">
        <v>162</v>
      </c>
      <c r="AQ1195" s="22" t="str">
        <f t="shared" si="198"/>
        <v>Microphytoplankton</v>
      </c>
      <c r="AR1195" s="22">
        <v>0</v>
      </c>
      <c r="AS1195" s="22">
        <v>0</v>
      </c>
      <c r="AT1195" s="22">
        <v>0</v>
      </c>
      <c r="AU1195" s="22">
        <v>0</v>
      </c>
      <c r="AV1195" s="22">
        <v>0</v>
      </c>
      <c r="AW1195" s="22">
        <v>0</v>
      </c>
      <c r="AX1195" s="22">
        <v>0</v>
      </c>
      <c r="AY1195" s="22">
        <v>1</v>
      </c>
    </row>
    <row r="1196" spans="1:57">
      <c r="A1196" s="22" t="s">
        <v>3434</v>
      </c>
      <c r="B1196" s="22" t="s">
        <v>663</v>
      </c>
      <c r="C1196" s="23" t="s">
        <v>2223</v>
      </c>
      <c r="D1196" s="22" t="s">
        <v>3188</v>
      </c>
      <c r="E1196" s="23" t="s">
        <v>3189</v>
      </c>
      <c r="F1196" s="23" t="s">
        <v>3190</v>
      </c>
      <c r="G1196" s="23" t="s">
        <v>3191</v>
      </c>
      <c r="H1196" s="23" t="s">
        <v>3192</v>
      </c>
      <c r="I1196" s="22" t="s">
        <v>3418</v>
      </c>
      <c r="J1196" s="22" t="s">
        <v>3435</v>
      </c>
      <c r="N1196" s="22" t="s">
        <v>3436</v>
      </c>
      <c r="O1196" s="22" t="s">
        <v>3196</v>
      </c>
      <c r="P1196" s="22">
        <v>90650</v>
      </c>
      <c r="Q1196" s="22">
        <v>25</v>
      </c>
      <c r="R1196" s="22">
        <v>25</v>
      </c>
      <c r="S1196" s="22">
        <v>25</v>
      </c>
      <c r="T1196" s="22" t="s">
        <v>281</v>
      </c>
      <c r="U1196" s="22">
        <v>2</v>
      </c>
      <c r="V1196" s="22">
        <v>2</v>
      </c>
      <c r="W1196" s="24">
        <f t="shared" si="201"/>
        <v>3057.3975838130605</v>
      </c>
      <c r="X1196" s="24">
        <f t="shared" si="202"/>
        <v>16354.166666666666</v>
      </c>
      <c r="Y1196" s="21">
        <v>1</v>
      </c>
      <c r="Z1196" s="24">
        <f t="shared" si="196"/>
        <v>3057.3975838130605</v>
      </c>
      <c r="AA1196" s="24">
        <f t="shared" si="197"/>
        <v>16354.166666666666</v>
      </c>
      <c r="AE1196" s="21"/>
      <c r="AF1196" s="21"/>
      <c r="AG1196" s="21"/>
      <c r="AH1196" s="24"/>
      <c r="AI1196" s="24"/>
      <c r="AJ1196" s="21">
        <v>16362.5</v>
      </c>
      <c r="AK1196" s="21">
        <v>70</v>
      </c>
      <c r="AL1196" s="22" t="s">
        <v>161</v>
      </c>
      <c r="AM1196" s="22">
        <v>0.11</v>
      </c>
      <c r="AO1196" s="22" t="s">
        <v>2206</v>
      </c>
      <c r="AP1196" s="22" t="s">
        <v>162</v>
      </c>
      <c r="AQ1196" s="22" t="str">
        <f t="shared" si="198"/>
        <v>Microphytoplankton</v>
      </c>
      <c r="AR1196" s="22">
        <v>0</v>
      </c>
      <c r="AS1196" s="22">
        <v>0</v>
      </c>
      <c r="AT1196" s="22">
        <v>0</v>
      </c>
      <c r="AU1196" s="22">
        <v>0</v>
      </c>
      <c r="AV1196" s="22">
        <v>0</v>
      </c>
      <c r="AW1196" s="22">
        <v>0</v>
      </c>
      <c r="AX1196" s="22">
        <v>0</v>
      </c>
      <c r="AY1196" s="22">
        <v>1</v>
      </c>
    </row>
    <row r="1197" spans="1:57">
      <c r="A1197" s="22" t="s">
        <v>3437</v>
      </c>
      <c r="B1197" s="22" t="s">
        <v>663</v>
      </c>
      <c r="C1197" s="23" t="s">
        <v>2223</v>
      </c>
      <c r="D1197" s="22" t="s">
        <v>3188</v>
      </c>
      <c r="E1197" s="23" t="s">
        <v>3189</v>
      </c>
      <c r="F1197" s="23" t="s">
        <v>3190</v>
      </c>
      <c r="G1197" s="23" t="s">
        <v>3191</v>
      </c>
      <c r="H1197" s="23" t="s">
        <v>3192</v>
      </c>
      <c r="I1197" s="22" t="s">
        <v>3418</v>
      </c>
      <c r="J1197" s="22" t="s">
        <v>3438</v>
      </c>
      <c r="N1197" s="22" t="s">
        <v>3439</v>
      </c>
      <c r="O1197" s="22" t="s">
        <v>3196</v>
      </c>
      <c r="P1197" s="22">
        <v>90616</v>
      </c>
      <c r="Q1197" s="22">
        <v>19</v>
      </c>
      <c r="R1197" s="22">
        <v>22</v>
      </c>
      <c r="S1197" s="22">
        <v>22</v>
      </c>
      <c r="T1197" s="22" t="s">
        <v>281</v>
      </c>
      <c r="U1197" s="22">
        <v>1.5</v>
      </c>
      <c r="V1197" s="22">
        <v>1.5</v>
      </c>
      <c r="W1197" s="24">
        <f t="shared" si="201"/>
        <v>2731.7957210394493</v>
      </c>
      <c r="X1197" s="24">
        <f t="shared" si="202"/>
        <v>7218.8600000000006</v>
      </c>
      <c r="Y1197" s="21">
        <v>1</v>
      </c>
      <c r="Z1197" s="24">
        <f t="shared" si="196"/>
        <v>2731.7957210394493</v>
      </c>
      <c r="AA1197" s="24">
        <f t="shared" si="197"/>
        <v>7218.8600000000006</v>
      </c>
      <c r="AE1197" s="21"/>
      <c r="AF1197" s="21"/>
      <c r="AG1197" s="21"/>
      <c r="AH1197" s="24"/>
      <c r="AI1197" s="24"/>
      <c r="AJ1197" s="21">
        <v>7218.8</v>
      </c>
      <c r="AK1197" s="21">
        <v>19</v>
      </c>
      <c r="AL1197" s="22" t="s">
        <v>161</v>
      </c>
      <c r="AM1197" s="22">
        <v>0.11</v>
      </c>
      <c r="AO1197" s="22" t="s">
        <v>2206</v>
      </c>
      <c r="AP1197" s="22" t="s">
        <v>162</v>
      </c>
      <c r="AQ1197" s="22" t="str">
        <f t="shared" si="198"/>
        <v>Nanophytoplankton</v>
      </c>
      <c r="AR1197" s="22">
        <v>0</v>
      </c>
      <c r="AS1197" s="22">
        <v>0</v>
      </c>
      <c r="AT1197" s="22">
        <v>0</v>
      </c>
      <c r="AU1197" s="22">
        <v>0</v>
      </c>
      <c r="AV1197" s="22">
        <v>0</v>
      </c>
      <c r="AW1197" s="22">
        <v>0</v>
      </c>
      <c r="AX1197" s="22">
        <v>0</v>
      </c>
      <c r="AY1197" s="22">
        <v>1</v>
      </c>
    </row>
    <row r="1198" spans="1:57">
      <c r="A1198" s="21" t="s">
        <v>3440</v>
      </c>
      <c r="B1198" s="22" t="s">
        <v>663</v>
      </c>
      <c r="C1198" s="23" t="s">
        <v>2223</v>
      </c>
      <c r="D1198" s="22" t="s">
        <v>3188</v>
      </c>
      <c r="E1198" s="23" t="s">
        <v>3189</v>
      </c>
      <c r="F1198" s="23" t="s">
        <v>3190</v>
      </c>
      <c r="G1198" s="23" t="s">
        <v>3191</v>
      </c>
      <c r="H1198" s="23" t="s">
        <v>3192</v>
      </c>
      <c r="I1198" s="22" t="s">
        <v>3418</v>
      </c>
      <c r="J1198" s="21" t="s">
        <v>3441</v>
      </c>
      <c r="K1198" s="22" t="s">
        <v>175</v>
      </c>
      <c r="L1198" s="21" t="s">
        <v>3442</v>
      </c>
      <c r="N1198" s="22" t="s">
        <v>2834</v>
      </c>
      <c r="O1198" s="22" t="s">
        <v>3196</v>
      </c>
      <c r="P1198" s="22">
        <v>90690</v>
      </c>
      <c r="Q1198" s="21">
        <v>20</v>
      </c>
      <c r="R1198" s="21">
        <v>20</v>
      </c>
      <c r="S1198" s="21">
        <v>20</v>
      </c>
      <c r="T1198" s="21" t="s">
        <v>281</v>
      </c>
      <c r="U1198" s="21">
        <v>2</v>
      </c>
      <c r="V1198" s="21">
        <v>2</v>
      </c>
      <c r="W1198" s="24">
        <f t="shared" si="201"/>
        <v>1959.7581092422124</v>
      </c>
      <c r="X1198" s="24">
        <f t="shared" si="202"/>
        <v>8373.3333333333339</v>
      </c>
      <c r="Y1198" s="21">
        <v>1</v>
      </c>
      <c r="Z1198" s="24">
        <f t="shared" si="196"/>
        <v>1959.7581092422124</v>
      </c>
      <c r="AA1198" s="24">
        <f t="shared" si="197"/>
        <v>8373.3333333333339</v>
      </c>
      <c r="AB1198" s="21"/>
      <c r="AC1198" s="21"/>
      <c r="AD1198" s="21"/>
      <c r="AE1198" s="21"/>
      <c r="AF1198" s="21"/>
      <c r="AG1198" s="21"/>
      <c r="AH1198" s="24"/>
      <c r="AI1198" s="24"/>
      <c r="AJ1198" s="21">
        <v>8377.6</v>
      </c>
      <c r="AK1198" s="21">
        <v>60</v>
      </c>
      <c r="AL1198" s="22" t="s">
        <v>161</v>
      </c>
      <c r="AM1198" s="22">
        <v>0.11</v>
      </c>
      <c r="AO1198" s="22" t="s">
        <v>2206</v>
      </c>
      <c r="AP1198" s="22" t="s">
        <v>162</v>
      </c>
      <c r="AQ1198" s="22" t="str">
        <f t="shared" si="198"/>
        <v>Microphytoplankton</v>
      </c>
      <c r="AR1198" s="22">
        <v>0</v>
      </c>
      <c r="AS1198" s="22">
        <v>0</v>
      </c>
      <c r="AT1198" s="22">
        <v>0</v>
      </c>
      <c r="AU1198" s="22">
        <v>0</v>
      </c>
      <c r="AV1198" s="22">
        <v>0</v>
      </c>
      <c r="AW1198" s="22">
        <v>0</v>
      </c>
      <c r="AX1198" s="22">
        <v>0</v>
      </c>
      <c r="AY1198" s="22">
        <v>1</v>
      </c>
      <c r="AZ1198" s="22">
        <v>0</v>
      </c>
      <c r="BA1198" s="22">
        <v>0</v>
      </c>
      <c r="BB1198" s="22">
        <v>0</v>
      </c>
      <c r="BC1198" s="22">
        <v>3</v>
      </c>
      <c r="BD1198" s="22">
        <v>6</v>
      </c>
      <c r="BE1198" s="22">
        <v>1</v>
      </c>
    </row>
    <row r="1199" spans="1:57">
      <c r="A1199" s="21" t="s">
        <v>3443</v>
      </c>
      <c r="B1199" s="22" t="s">
        <v>663</v>
      </c>
      <c r="C1199" s="23" t="s">
        <v>2223</v>
      </c>
      <c r="D1199" s="22" t="s">
        <v>3188</v>
      </c>
      <c r="E1199" s="23" t="s">
        <v>3189</v>
      </c>
      <c r="F1199" s="23" t="s">
        <v>3190</v>
      </c>
      <c r="G1199" s="23" t="s">
        <v>3191</v>
      </c>
      <c r="H1199" s="23" t="s">
        <v>3192</v>
      </c>
      <c r="I1199" s="22" t="s">
        <v>3418</v>
      </c>
      <c r="J1199" s="21" t="s">
        <v>3444</v>
      </c>
      <c r="K1199" s="21" t="s">
        <v>184</v>
      </c>
      <c r="L1199" s="21" t="s">
        <v>371</v>
      </c>
      <c r="N1199" s="22" t="s">
        <v>3445</v>
      </c>
      <c r="O1199" s="22" t="s">
        <v>3196</v>
      </c>
      <c r="P1199" s="21">
        <v>90660</v>
      </c>
      <c r="Q1199" s="21">
        <v>20</v>
      </c>
      <c r="R1199" s="21">
        <v>20</v>
      </c>
      <c r="S1199" s="21">
        <v>20</v>
      </c>
      <c r="T1199" s="21" t="s">
        <v>281</v>
      </c>
      <c r="U1199" s="21">
        <v>2</v>
      </c>
      <c r="V1199" s="21">
        <v>2</v>
      </c>
      <c r="W1199" s="24">
        <f t="shared" si="201"/>
        <v>1959.7581092422124</v>
      </c>
      <c r="X1199" s="24">
        <f t="shared" si="202"/>
        <v>8373.3333333333339</v>
      </c>
      <c r="Y1199" s="21">
        <v>1</v>
      </c>
      <c r="Z1199" s="24">
        <f t="shared" si="196"/>
        <v>1959.7581092422124</v>
      </c>
      <c r="AA1199" s="24">
        <f t="shared" si="197"/>
        <v>8373.3333333333339</v>
      </c>
      <c r="AB1199" s="21"/>
      <c r="AC1199" s="21"/>
      <c r="AD1199" s="21"/>
      <c r="AE1199" s="21"/>
      <c r="AF1199" s="21"/>
      <c r="AG1199" s="21"/>
      <c r="AH1199" s="24"/>
      <c r="AI1199" s="24"/>
      <c r="AJ1199" s="21">
        <v>8377.6</v>
      </c>
      <c r="AK1199" s="21">
        <v>80</v>
      </c>
      <c r="AL1199" s="22" t="s">
        <v>161</v>
      </c>
      <c r="AM1199" s="22">
        <v>0.11</v>
      </c>
      <c r="AO1199" s="22" t="s">
        <v>2206</v>
      </c>
      <c r="AP1199" s="22" t="s">
        <v>162</v>
      </c>
      <c r="AQ1199" s="22" t="str">
        <f t="shared" si="198"/>
        <v>Microphytoplankton</v>
      </c>
      <c r="AR1199" s="22">
        <v>0</v>
      </c>
      <c r="AS1199" s="22">
        <v>0</v>
      </c>
      <c r="AT1199" s="22">
        <v>0</v>
      </c>
      <c r="AU1199" s="22">
        <v>0</v>
      </c>
      <c r="AV1199" s="22">
        <v>0</v>
      </c>
      <c r="AW1199" s="22">
        <v>0</v>
      </c>
      <c r="AX1199" s="22">
        <v>0</v>
      </c>
      <c r="AY1199" s="22">
        <v>1</v>
      </c>
      <c r="AZ1199" s="22">
        <v>0</v>
      </c>
      <c r="BA1199" s="22">
        <v>0</v>
      </c>
      <c r="BB1199" s="22">
        <v>0</v>
      </c>
      <c r="BC1199" s="22">
        <v>3</v>
      </c>
      <c r="BD1199" s="22">
        <v>6</v>
      </c>
      <c r="BE1199" s="22">
        <v>1</v>
      </c>
    </row>
    <row r="1200" spans="1:57">
      <c r="A1200" s="22" t="s">
        <v>3446</v>
      </c>
      <c r="B1200" s="22" t="s">
        <v>663</v>
      </c>
      <c r="C1200" s="23" t="s">
        <v>2223</v>
      </c>
      <c r="D1200" s="22" t="s">
        <v>3188</v>
      </c>
      <c r="E1200" s="23" t="s">
        <v>3189</v>
      </c>
      <c r="F1200" s="23" t="s">
        <v>3190</v>
      </c>
      <c r="G1200" s="23" t="s">
        <v>3191</v>
      </c>
      <c r="H1200" s="23" t="s">
        <v>3192</v>
      </c>
      <c r="I1200" s="22" t="s">
        <v>3418</v>
      </c>
      <c r="J1200" s="22" t="s">
        <v>3447</v>
      </c>
      <c r="N1200" s="22" t="s">
        <v>501</v>
      </c>
      <c r="O1200" s="22" t="s">
        <v>3196</v>
      </c>
      <c r="P1200" s="22">
        <v>90661</v>
      </c>
      <c r="Q1200" s="22">
        <v>12.5</v>
      </c>
      <c r="R1200" s="22">
        <v>16</v>
      </c>
      <c r="S1200" s="22">
        <v>5</v>
      </c>
      <c r="T1200" s="22" t="s">
        <v>281</v>
      </c>
      <c r="U1200" s="22">
        <v>1.5</v>
      </c>
      <c r="V1200" s="22">
        <v>1.5</v>
      </c>
      <c r="W1200" s="24">
        <f t="shared" si="201"/>
        <v>932.59019829194369</v>
      </c>
      <c r="X1200" s="24">
        <f t="shared" si="202"/>
        <v>784.99999999999989</v>
      </c>
      <c r="Y1200" s="21">
        <v>1</v>
      </c>
      <c r="Z1200" s="24">
        <f t="shared" si="196"/>
        <v>932.59019829194369</v>
      </c>
      <c r="AA1200" s="24">
        <f t="shared" si="197"/>
        <v>784.99999999999989</v>
      </c>
      <c r="AE1200" s="21"/>
      <c r="AF1200" s="21"/>
      <c r="AG1200" s="21"/>
      <c r="AH1200" s="24"/>
      <c r="AI1200" s="24"/>
      <c r="AJ1200" s="21">
        <v>2512</v>
      </c>
      <c r="AK1200" s="21">
        <v>16</v>
      </c>
      <c r="AL1200" s="22" t="s">
        <v>161</v>
      </c>
      <c r="AM1200" s="22">
        <v>0.11</v>
      </c>
      <c r="AO1200" s="22" t="s">
        <v>2206</v>
      </c>
      <c r="AP1200" s="22" t="s">
        <v>162</v>
      </c>
      <c r="AQ1200" s="22" t="str">
        <f t="shared" si="198"/>
        <v>Nanophytoplankton</v>
      </c>
      <c r="AR1200" s="22">
        <v>0</v>
      </c>
      <c r="AS1200" s="22">
        <v>0</v>
      </c>
      <c r="AT1200" s="22">
        <v>0</v>
      </c>
      <c r="AU1200" s="22">
        <v>0</v>
      </c>
      <c r="AV1200" s="22">
        <v>0</v>
      </c>
      <c r="AW1200" s="22">
        <v>0</v>
      </c>
      <c r="AX1200" s="22">
        <v>0</v>
      </c>
      <c r="AY1200" s="22">
        <v>1</v>
      </c>
    </row>
    <row r="1201" spans="1:51">
      <c r="A1201" s="22" t="s">
        <v>3448</v>
      </c>
      <c r="B1201" s="22" t="s">
        <v>663</v>
      </c>
      <c r="C1201" s="23" t="s">
        <v>2223</v>
      </c>
      <c r="D1201" s="22" t="s">
        <v>3188</v>
      </c>
      <c r="E1201" s="23" t="s">
        <v>3189</v>
      </c>
      <c r="F1201" s="23" t="s">
        <v>3190</v>
      </c>
      <c r="G1201" s="23" t="s">
        <v>3191</v>
      </c>
      <c r="H1201" s="23" t="s">
        <v>3192</v>
      </c>
      <c r="I1201" s="22" t="s">
        <v>3418</v>
      </c>
      <c r="J1201" s="22" t="s">
        <v>3449</v>
      </c>
      <c r="N1201" s="22" t="s">
        <v>3372</v>
      </c>
      <c r="O1201" s="22" t="s">
        <v>3196</v>
      </c>
      <c r="P1201" s="22">
        <v>90662</v>
      </c>
      <c r="Q1201" s="22">
        <v>40.5</v>
      </c>
      <c r="R1201" s="22">
        <v>37</v>
      </c>
      <c r="S1201" s="22">
        <v>15</v>
      </c>
      <c r="T1201" s="22" t="s">
        <v>281</v>
      </c>
      <c r="U1201" s="22">
        <v>1.5</v>
      </c>
      <c r="V1201" s="22">
        <v>1.5</v>
      </c>
      <c r="W1201" s="24">
        <f t="shared" si="201"/>
        <v>7220.3425849001042</v>
      </c>
      <c r="X1201" s="24">
        <f t="shared" si="202"/>
        <v>17644.837500000001</v>
      </c>
      <c r="Y1201" s="21">
        <v>1</v>
      </c>
      <c r="Z1201" s="24">
        <f t="shared" si="196"/>
        <v>7220.3425849001042</v>
      </c>
      <c r="AA1201" s="24">
        <f t="shared" si="197"/>
        <v>17644.837500000001</v>
      </c>
      <c r="AE1201" s="21"/>
      <c r="AF1201" s="21"/>
      <c r="AG1201" s="21"/>
      <c r="AH1201" s="24"/>
      <c r="AI1201" s="24"/>
      <c r="AJ1201" s="21">
        <v>43523.932499999995</v>
      </c>
      <c r="AK1201" s="21">
        <v>40.5</v>
      </c>
      <c r="AL1201" s="22" t="s">
        <v>161</v>
      </c>
      <c r="AM1201" s="22">
        <v>0.11</v>
      </c>
      <c r="AO1201" s="22" t="s">
        <v>2206</v>
      </c>
      <c r="AP1201" s="22" t="s">
        <v>162</v>
      </c>
      <c r="AQ1201" s="22" t="str">
        <f t="shared" si="198"/>
        <v>Microphytoplankton</v>
      </c>
      <c r="AR1201" s="22">
        <v>0</v>
      </c>
      <c r="AS1201" s="22">
        <v>0</v>
      </c>
      <c r="AT1201" s="22">
        <v>0</v>
      </c>
      <c r="AU1201" s="22">
        <v>0</v>
      </c>
      <c r="AV1201" s="22">
        <v>0</v>
      </c>
      <c r="AW1201" s="22">
        <v>0</v>
      </c>
      <c r="AX1201" s="22">
        <v>0</v>
      </c>
      <c r="AY1201" s="22">
        <v>1</v>
      </c>
    </row>
    <row r="1202" spans="1:51">
      <c r="A1202" s="22" t="s">
        <v>3450</v>
      </c>
      <c r="B1202" s="22" t="s">
        <v>663</v>
      </c>
      <c r="C1202" s="23" t="s">
        <v>2223</v>
      </c>
      <c r="D1202" s="22" t="s">
        <v>3188</v>
      </c>
      <c r="E1202" s="23" t="s">
        <v>3189</v>
      </c>
      <c r="F1202" s="23" t="s">
        <v>3190</v>
      </c>
      <c r="G1202" s="23" t="s">
        <v>3191</v>
      </c>
      <c r="H1202" s="23" t="s">
        <v>3192</v>
      </c>
      <c r="I1202" s="22" t="s">
        <v>3418</v>
      </c>
      <c r="J1202" s="22" t="s">
        <v>3451</v>
      </c>
      <c r="N1202" s="22" t="s">
        <v>3452</v>
      </c>
      <c r="O1202" s="22" t="s">
        <v>3196</v>
      </c>
      <c r="P1202" s="22">
        <v>90663</v>
      </c>
      <c r="Q1202" s="22">
        <v>20</v>
      </c>
      <c r="R1202" s="22">
        <v>20</v>
      </c>
      <c r="S1202" s="22">
        <v>10</v>
      </c>
      <c r="T1202" s="22" t="s">
        <v>281</v>
      </c>
      <c r="U1202" s="22">
        <v>1.5</v>
      </c>
      <c r="V1202" s="22">
        <v>1.5</v>
      </c>
      <c r="W1202" s="24">
        <f t="shared" si="201"/>
        <v>2024.7883196007392</v>
      </c>
      <c r="X1202" s="24">
        <f t="shared" si="202"/>
        <v>3140</v>
      </c>
      <c r="Y1202" s="21">
        <v>1</v>
      </c>
      <c r="Z1202" s="24">
        <f t="shared" si="196"/>
        <v>2024.7883196007392</v>
      </c>
      <c r="AA1202" s="24">
        <f t="shared" si="197"/>
        <v>3140</v>
      </c>
      <c r="AE1202" s="21"/>
      <c r="AF1202" s="21"/>
      <c r="AG1202" s="21"/>
      <c r="AH1202" s="24"/>
      <c r="AI1202" s="24"/>
      <c r="AJ1202" s="21">
        <v>6279.9999999999991</v>
      </c>
      <c r="AK1202" s="21">
        <v>20</v>
      </c>
      <c r="AL1202" s="22" t="s">
        <v>161</v>
      </c>
      <c r="AM1202" s="22">
        <v>0.11</v>
      </c>
      <c r="AO1202" s="22" t="s">
        <v>2206</v>
      </c>
      <c r="AP1202" s="22" t="s">
        <v>162</v>
      </c>
      <c r="AQ1202" s="22" t="str">
        <f t="shared" si="198"/>
        <v>Microphytoplankton</v>
      </c>
      <c r="AR1202" s="22">
        <v>0</v>
      </c>
      <c r="AS1202" s="22">
        <v>0</v>
      </c>
      <c r="AT1202" s="22">
        <v>0</v>
      </c>
      <c r="AU1202" s="22">
        <v>0</v>
      </c>
      <c r="AV1202" s="22">
        <v>0</v>
      </c>
      <c r="AW1202" s="22">
        <v>0</v>
      </c>
      <c r="AX1202" s="22">
        <v>0</v>
      </c>
      <c r="AY1202" s="22">
        <v>1</v>
      </c>
    </row>
    <row r="1203" spans="1:51">
      <c r="A1203" s="22" t="s">
        <v>3453</v>
      </c>
      <c r="B1203" s="22" t="s">
        <v>663</v>
      </c>
      <c r="C1203" s="23" t="s">
        <v>2223</v>
      </c>
      <c r="D1203" s="22" t="s">
        <v>3188</v>
      </c>
      <c r="E1203" s="23" t="s">
        <v>3189</v>
      </c>
      <c r="F1203" s="23" t="s">
        <v>3190</v>
      </c>
      <c r="G1203" s="23" t="s">
        <v>3191</v>
      </c>
      <c r="H1203" s="23" t="s">
        <v>3192</v>
      </c>
      <c r="I1203" s="22" t="s">
        <v>3418</v>
      </c>
      <c r="J1203" s="22" t="s">
        <v>3454</v>
      </c>
      <c r="N1203" s="22" t="s">
        <v>3019</v>
      </c>
      <c r="O1203" s="22" t="s">
        <v>3196</v>
      </c>
      <c r="P1203" s="22">
        <v>90664</v>
      </c>
      <c r="Q1203" s="22">
        <v>65</v>
      </c>
      <c r="R1203" s="22">
        <v>65</v>
      </c>
      <c r="S1203" s="22">
        <v>65</v>
      </c>
      <c r="T1203" s="22" t="s">
        <v>281</v>
      </c>
      <c r="U1203" s="22">
        <v>0.1</v>
      </c>
      <c r="V1203" s="22">
        <v>0.1</v>
      </c>
      <c r="W1203" s="24">
        <f t="shared" si="201"/>
        <v>412192.70063034986</v>
      </c>
      <c r="X1203" s="24">
        <f t="shared" si="202"/>
        <v>14372.04166666667</v>
      </c>
      <c r="Y1203" s="21">
        <v>1</v>
      </c>
      <c r="Z1203" s="24">
        <f t="shared" si="196"/>
        <v>412192.70063034986</v>
      </c>
      <c r="AA1203" s="24">
        <f t="shared" si="197"/>
        <v>14372.04166666667</v>
      </c>
      <c r="AE1203" s="21"/>
      <c r="AF1203" s="21"/>
      <c r="AG1203" s="21"/>
      <c r="AH1203" s="24"/>
      <c r="AI1203" s="24"/>
      <c r="AJ1203" s="21">
        <v>14372.04166666667</v>
      </c>
      <c r="AK1203" s="21">
        <v>65</v>
      </c>
      <c r="AL1203" s="22" t="s">
        <v>161</v>
      </c>
      <c r="AM1203" s="22">
        <v>0.11</v>
      </c>
      <c r="AN1203" s="22" t="s">
        <v>1517</v>
      </c>
      <c r="AO1203" s="22" t="s">
        <v>1517</v>
      </c>
      <c r="AP1203" s="22" t="s">
        <v>162</v>
      </c>
      <c r="AQ1203" s="22" t="str">
        <f t="shared" si="198"/>
        <v>Microphytoplankton</v>
      </c>
      <c r="AR1203" s="22">
        <v>0</v>
      </c>
      <c r="AS1203" s="22">
        <v>0</v>
      </c>
      <c r="AT1203" s="22">
        <v>0</v>
      </c>
      <c r="AU1203" s="22">
        <v>0</v>
      </c>
      <c r="AV1203" s="22">
        <v>0</v>
      </c>
      <c r="AW1203" s="22">
        <v>0</v>
      </c>
      <c r="AX1203" s="22">
        <v>0</v>
      </c>
      <c r="AY1203" s="22">
        <v>1</v>
      </c>
    </row>
    <row r="1204" spans="1:51">
      <c r="A1204" s="21" t="s">
        <v>3455</v>
      </c>
      <c r="B1204" s="22" t="s">
        <v>663</v>
      </c>
      <c r="C1204" s="23" t="s">
        <v>2223</v>
      </c>
      <c r="D1204" s="22" t="s">
        <v>3188</v>
      </c>
      <c r="E1204" s="23" t="s">
        <v>3189</v>
      </c>
      <c r="F1204" s="23" t="s">
        <v>3190</v>
      </c>
      <c r="G1204" s="23" t="s">
        <v>3191</v>
      </c>
      <c r="H1204" s="23" t="s">
        <v>3192</v>
      </c>
      <c r="I1204" s="22" t="s">
        <v>3418</v>
      </c>
      <c r="J1204" s="21" t="s">
        <v>3317</v>
      </c>
      <c r="K1204" s="21"/>
      <c r="L1204" s="21"/>
      <c r="N1204" s="22" t="s">
        <v>189</v>
      </c>
      <c r="O1204" s="22" t="s">
        <v>3196</v>
      </c>
      <c r="P1204" s="21">
        <v>90630</v>
      </c>
      <c r="Q1204" s="21">
        <v>33</v>
      </c>
      <c r="R1204" s="21">
        <v>12</v>
      </c>
      <c r="S1204" s="21">
        <v>12</v>
      </c>
      <c r="T1204" s="21" t="s">
        <v>281</v>
      </c>
      <c r="U1204" s="21">
        <v>1</v>
      </c>
      <c r="V1204" s="21">
        <v>1</v>
      </c>
      <c r="W1204" s="24">
        <f t="shared" si="201"/>
        <v>3869.3255127910816</v>
      </c>
      <c r="X1204" s="24">
        <f t="shared" si="202"/>
        <v>2486.88</v>
      </c>
      <c r="Y1204" s="21">
        <v>1</v>
      </c>
      <c r="Z1204" s="24">
        <f t="shared" si="196"/>
        <v>3869.3255127910816</v>
      </c>
      <c r="AA1204" s="24">
        <f t="shared" si="197"/>
        <v>2486.88</v>
      </c>
      <c r="AB1204" s="21"/>
      <c r="AC1204" s="21"/>
      <c r="AD1204" s="21"/>
      <c r="AE1204" s="21"/>
      <c r="AF1204" s="21"/>
      <c r="AG1204" s="21"/>
      <c r="AH1204" s="24"/>
      <c r="AI1204" s="24"/>
      <c r="AJ1204" s="21">
        <v>2488.1</v>
      </c>
      <c r="AK1204" s="21">
        <v>33</v>
      </c>
      <c r="AL1204" s="22" t="s">
        <v>161</v>
      </c>
      <c r="AM1204" s="22">
        <v>0.11</v>
      </c>
      <c r="AO1204" s="22" t="s">
        <v>2206</v>
      </c>
      <c r="AP1204" s="22" t="s">
        <v>162</v>
      </c>
      <c r="AQ1204" s="22" t="str">
        <f t="shared" si="198"/>
        <v>Microphytoplankton</v>
      </c>
      <c r="AR1204" s="22">
        <v>0</v>
      </c>
      <c r="AS1204" s="22">
        <v>0</v>
      </c>
      <c r="AT1204" s="22">
        <v>0</v>
      </c>
      <c r="AU1204" s="22">
        <v>0</v>
      </c>
      <c r="AV1204" s="22">
        <v>0</v>
      </c>
      <c r="AW1204" s="22">
        <v>0</v>
      </c>
      <c r="AX1204" s="22">
        <v>0</v>
      </c>
      <c r="AY1204" s="22">
        <v>1</v>
      </c>
    </row>
    <row r="1205" spans="1:51">
      <c r="A1205" s="21" t="s">
        <v>3456</v>
      </c>
      <c r="B1205" s="22" t="s">
        <v>663</v>
      </c>
      <c r="C1205" s="23" t="s">
        <v>2223</v>
      </c>
      <c r="D1205" s="22" t="s">
        <v>3188</v>
      </c>
      <c r="E1205" s="23" t="s">
        <v>3189</v>
      </c>
      <c r="F1205" s="23" t="s">
        <v>3190</v>
      </c>
      <c r="G1205" s="23" t="s">
        <v>3191</v>
      </c>
      <c r="H1205" s="23" t="s">
        <v>3192</v>
      </c>
      <c r="I1205" s="22" t="s">
        <v>3418</v>
      </c>
      <c r="J1205" s="21" t="s">
        <v>3427</v>
      </c>
      <c r="K1205" s="21" t="s">
        <v>175</v>
      </c>
      <c r="L1205" s="21" t="s">
        <v>3296</v>
      </c>
      <c r="N1205" s="22" t="s">
        <v>3343</v>
      </c>
      <c r="O1205" s="22" t="s">
        <v>3196</v>
      </c>
      <c r="P1205" s="21">
        <v>90610</v>
      </c>
      <c r="Q1205" s="21">
        <v>24</v>
      </c>
      <c r="R1205" s="21">
        <v>24</v>
      </c>
      <c r="S1205" s="21">
        <v>24</v>
      </c>
      <c r="T1205" s="21" t="s">
        <v>281</v>
      </c>
      <c r="U1205" s="21">
        <v>2</v>
      </c>
      <c r="V1205" s="21">
        <v>2</v>
      </c>
      <c r="W1205" s="24">
        <f t="shared" si="201"/>
        <v>2818.3827894092865</v>
      </c>
      <c r="X1205" s="24">
        <f t="shared" si="202"/>
        <v>14469.119999999997</v>
      </c>
      <c r="Y1205" s="21">
        <v>1</v>
      </c>
      <c r="Z1205" s="24">
        <f t="shared" si="196"/>
        <v>2818.3827894092865</v>
      </c>
      <c r="AA1205" s="24">
        <f t="shared" si="197"/>
        <v>14469.119999999997</v>
      </c>
      <c r="AB1205" s="21"/>
      <c r="AC1205" s="21"/>
      <c r="AD1205" s="21"/>
      <c r="AE1205" s="21"/>
      <c r="AF1205" s="21"/>
      <c r="AG1205" s="21"/>
      <c r="AH1205" s="24"/>
      <c r="AI1205" s="24"/>
      <c r="AJ1205" s="21">
        <v>14476.5</v>
      </c>
      <c r="AK1205" s="21">
        <v>70</v>
      </c>
      <c r="AL1205" s="22" t="s">
        <v>161</v>
      </c>
      <c r="AM1205" s="22">
        <v>0.11</v>
      </c>
      <c r="AO1205" s="22" t="s">
        <v>2206</v>
      </c>
      <c r="AP1205" s="22" t="s">
        <v>162</v>
      </c>
      <c r="AQ1205" s="22" t="str">
        <f t="shared" si="198"/>
        <v>Microphytoplankton</v>
      </c>
      <c r="AR1205" s="22">
        <v>0</v>
      </c>
      <c r="AS1205" s="22">
        <v>0</v>
      </c>
      <c r="AT1205" s="22">
        <v>0</v>
      </c>
      <c r="AU1205" s="22">
        <v>0</v>
      </c>
      <c r="AV1205" s="22">
        <v>0</v>
      </c>
      <c r="AW1205" s="22">
        <v>0</v>
      </c>
      <c r="AX1205" s="22">
        <v>0</v>
      </c>
      <c r="AY1205" s="22">
        <v>1</v>
      </c>
    </row>
    <row r="1206" spans="1:51">
      <c r="A1206" s="21" t="s">
        <v>3457</v>
      </c>
      <c r="B1206" s="22" t="s">
        <v>663</v>
      </c>
      <c r="C1206" s="23" t="s">
        <v>2223</v>
      </c>
      <c r="D1206" s="22" t="s">
        <v>3188</v>
      </c>
      <c r="E1206" s="23" t="s">
        <v>3189</v>
      </c>
      <c r="F1206" s="23" t="s">
        <v>3190</v>
      </c>
      <c r="G1206" s="23" t="s">
        <v>3191</v>
      </c>
      <c r="H1206" s="23" t="s">
        <v>3192</v>
      </c>
      <c r="I1206" s="22" t="s">
        <v>3418</v>
      </c>
      <c r="J1206" s="21" t="s">
        <v>3427</v>
      </c>
      <c r="K1206" s="21" t="s">
        <v>175</v>
      </c>
      <c r="L1206" s="21" t="s">
        <v>3458</v>
      </c>
      <c r="N1206" s="22" t="s">
        <v>2809</v>
      </c>
      <c r="O1206" s="22" t="s">
        <v>3196</v>
      </c>
      <c r="P1206" s="21">
        <v>90620</v>
      </c>
      <c r="Q1206" s="21">
        <v>24</v>
      </c>
      <c r="R1206" s="21">
        <v>24</v>
      </c>
      <c r="S1206" s="21">
        <v>24</v>
      </c>
      <c r="T1206" s="21" t="s">
        <v>281</v>
      </c>
      <c r="U1206" s="21">
        <v>2</v>
      </c>
      <c r="V1206" s="21">
        <v>2</v>
      </c>
      <c r="W1206" s="24">
        <f t="shared" si="201"/>
        <v>2818.3827894092865</v>
      </c>
      <c r="X1206" s="24">
        <f t="shared" si="202"/>
        <v>14469.119999999997</v>
      </c>
      <c r="Y1206" s="21">
        <v>1</v>
      </c>
      <c r="Z1206" s="24">
        <f t="shared" si="196"/>
        <v>2818.3827894092865</v>
      </c>
      <c r="AA1206" s="24">
        <f t="shared" si="197"/>
        <v>14469.119999999997</v>
      </c>
      <c r="AB1206" s="21"/>
      <c r="AC1206" s="21"/>
      <c r="AD1206" s="21"/>
      <c r="AE1206" s="21"/>
      <c r="AF1206" s="21"/>
      <c r="AG1206" s="21"/>
      <c r="AH1206" s="24"/>
      <c r="AI1206" s="24"/>
      <c r="AJ1206" s="21">
        <v>14476.5</v>
      </c>
      <c r="AK1206" s="21">
        <v>70</v>
      </c>
      <c r="AL1206" s="22" t="s">
        <v>161</v>
      </c>
      <c r="AM1206" s="22">
        <v>0.11</v>
      </c>
      <c r="AO1206" s="22" t="s">
        <v>2206</v>
      </c>
      <c r="AP1206" s="22" t="s">
        <v>162</v>
      </c>
      <c r="AQ1206" s="22" t="str">
        <f t="shared" si="198"/>
        <v>Microphytoplankton</v>
      </c>
      <c r="AR1206" s="22">
        <v>0</v>
      </c>
      <c r="AS1206" s="22">
        <v>0</v>
      </c>
      <c r="AT1206" s="22">
        <v>0</v>
      </c>
      <c r="AU1206" s="22">
        <v>0</v>
      </c>
      <c r="AV1206" s="22">
        <v>0</v>
      </c>
      <c r="AW1206" s="22">
        <v>0</v>
      </c>
      <c r="AX1206" s="22">
        <v>0</v>
      </c>
      <c r="AY1206" s="22">
        <v>1</v>
      </c>
    </row>
    <row r="1207" spans="1:51">
      <c r="A1207" s="21" t="s">
        <v>3459</v>
      </c>
      <c r="B1207" s="22" t="s">
        <v>663</v>
      </c>
      <c r="C1207" s="23" t="s">
        <v>2223</v>
      </c>
      <c r="D1207" s="22" t="s">
        <v>3188</v>
      </c>
      <c r="E1207" s="23" t="s">
        <v>3189</v>
      </c>
      <c r="F1207" s="23" t="s">
        <v>3190</v>
      </c>
      <c r="G1207" s="23" t="s">
        <v>3191</v>
      </c>
      <c r="H1207" s="23" t="s">
        <v>3192</v>
      </c>
      <c r="I1207" s="22" t="s">
        <v>3418</v>
      </c>
      <c r="J1207" s="21" t="s">
        <v>3460</v>
      </c>
      <c r="K1207" s="21"/>
      <c r="L1207" s="21"/>
      <c r="M1207" s="22" t="s">
        <v>1</v>
      </c>
      <c r="N1207" s="22" t="s">
        <v>3461</v>
      </c>
      <c r="O1207" s="22" t="s">
        <v>3196</v>
      </c>
      <c r="P1207" s="22">
        <v>90680</v>
      </c>
      <c r="Q1207" s="21">
        <v>16</v>
      </c>
      <c r="R1207" s="21">
        <v>16</v>
      </c>
      <c r="S1207" s="21">
        <v>16</v>
      </c>
      <c r="T1207" s="21" t="s">
        <v>281</v>
      </c>
      <c r="U1207" s="21">
        <v>2</v>
      </c>
      <c r="V1207" s="21">
        <v>2</v>
      </c>
      <c r="W1207" s="24">
        <f t="shared" si="201"/>
        <v>1257.00755096851</v>
      </c>
      <c r="X1207" s="24">
        <f t="shared" si="202"/>
        <v>4287.1466666666665</v>
      </c>
      <c r="Y1207" s="21">
        <v>1</v>
      </c>
      <c r="Z1207" s="24">
        <f t="shared" si="196"/>
        <v>1257.00755096851</v>
      </c>
      <c r="AA1207" s="24">
        <f t="shared" si="197"/>
        <v>4287.1466666666665</v>
      </c>
      <c r="AB1207" s="21"/>
      <c r="AC1207" s="21"/>
      <c r="AD1207" s="21"/>
      <c r="AE1207" s="21"/>
      <c r="AF1207" s="21"/>
      <c r="AG1207" s="21"/>
      <c r="AH1207" s="24"/>
      <c r="AI1207" s="24"/>
      <c r="AJ1207" s="21">
        <v>4289.3</v>
      </c>
      <c r="AK1207" s="21">
        <v>47</v>
      </c>
      <c r="AL1207" s="22" t="s">
        <v>161</v>
      </c>
      <c r="AM1207" s="22">
        <v>0.11</v>
      </c>
      <c r="AO1207" s="22" t="s">
        <v>2206</v>
      </c>
      <c r="AP1207" s="22" t="s">
        <v>162</v>
      </c>
      <c r="AQ1207" s="22" t="str">
        <f t="shared" si="198"/>
        <v>Microphytoplankton</v>
      </c>
      <c r="AR1207" s="22">
        <v>0</v>
      </c>
      <c r="AS1207" s="22">
        <v>0</v>
      </c>
      <c r="AT1207" s="22">
        <v>0</v>
      </c>
      <c r="AU1207" s="22">
        <v>0</v>
      </c>
      <c r="AV1207" s="22">
        <v>0</v>
      </c>
      <c r="AW1207" s="22">
        <v>0</v>
      </c>
      <c r="AX1207" s="22">
        <v>0</v>
      </c>
      <c r="AY1207" s="22">
        <v>1</v>
      </c>
    </row>
    <row r="1208" spans="1:51">
      <c r="A1208" s="21" t="s">
        <v>3462</v>
      </c>
      <c r="B1208" s="22" t="s">
        <v>663</v>
      </c>
      <c r="C1208" s="23" t="s">
        <v>2223</v>
      </c>
      <c r="D1208" s="22" t="s">
        <v>3188</v>
      </c>
      <c r="E1208" s="23" t="s">
        <v>3189</v>
      </c>
      <c r="F1208" s="23" t="s">
        <v>3190</v>
      </c>
      <c r="G1208" s="23" t="s">
        <v>3191</v>
      </c>
      <c r="H1208" s="23" t="s">
        <v>3192</v>
      </c>
      <c r="I1208" s="22" t="s">
        <v>3418</v>
      </c>
      <c r="J1208" s="21" t="s">
        <v>3463</v>
      </c>
      <c r="K1208" s="21"/>
      <c r="L1208" s="21"/>
      <c r="M1208" s="22" t="s">
        <v>1</v>
      </c>
      <c r="N1208" s="22" t="s">
        <v>3461</v>
      </c>
      <c r="O1208" s="22" t="s">
        <v>3196</v>
      </c>
      <c r="P1208" s="21">
        <v>90631</v>
      </c>
      <c r="Q1208" s="21">
        <v>25</v>
      </c>
      <c r="R1208" s="21">
        <v>15</v>
      </c>
      <c r="S1208" s="21">
        <v>13</v>
      </c>
      <c r="T1208" s="21" t="s">
        <v>281</v>
      </c>
      <c r="U1208" s="21">
        <v>1</v>
      </c>
      <c r="V1208" s="21">
        <v>1</v>
      </c>
      <c r="W1208" s="24">
        <f t="shared" si="201"/>
        <v>3429.5253913782117</v>
      </c>
      <c r="X1208" s="24">
        <f t="shared" si="202"/>
        <v>2551.2499999999995</v>
      </c>
      <c r="Y1208" s="21">
        <v>1</v>
      </c>
      <c r="Z1208" s="24">
        <f t="shared" si="196"/>
        <v>3429.5253913782117</v>
      </c>
      <c r="AA1208" s="24">
        <f t="shared" si="197"/>
        <v>2551.2499999999995</v>
      </c>
      <c r="AB1208" s="21"/>
      <c r="AC1208" s="21"/>
      <c r="AD1208" s="21"/>
      <c r="AE1208" s="21"/>
      <c r="AF1208" s="21"/>
      <c r="AG1208" s="21"/>
      <c r="AH1208" s="24"/>
      <c r="AI1208" s="24"/>
      <c r="AJ1208" s="21">
        <v>2552.5</v>
      </c>
      <c r="AK1208" s="21">
        <v>25</v>
      </c>
      <c r="AL1208" s="22" t="s">
        <v>161</v>
      </c>
      <c r="AM1208" s="22">
        <v>0.11</v>
      </c>
      <c r="AO1208" s="22" t="s">
        <v>2206</v>
      </c>
      <c r="AP1208" s="22" t="s">
        <v>162</v>
      </c>
      <c r="AQ1208" s="22" t="str">
        <f t="shared" si="198"/>
        <v>Microphytoplankton</v>
      </c>
      <c r="AR1208" s="22">
        <v>0</v>
      </c>
      <c r="AS1208" s="22">
        <v>0</v>
      </c>
      <c r="AT1208" s="22">
        <v>0</v>
      </c>
      <c r="AU1208" s="22">
        <v>0</v>
      </c>
      <c r="AV1208" s="22">
        <v>0</v>
      </c>
      <c r="AW1208" s="22">
        <v>0</v>
      </c>
      <c r="AX1208" s="22">
        <v>0</v>
      </c>
      <c r="AY1208" s="22">
        <v>1</v>
      </c>
    </row>
    <row r="1209" spans="1:51">
      <c r="A1209" s="21" t="s">
        <v>3464</v>
      </c>
      <c r="B1209" s="22" t="s">
        <v>663</v>
      </c>
      <c r="C1209" s="23" t="s">
        <v>2223</v>
      </c>
      <c r="D1209" s="22" t="s">
        <v>3188</v>
      </c>
      <c r="E1209" s="23" t="s">
        <v>3189</v>
      </c>
      <c r="F1209" s="23" t="s">
        <v>3190</v>
      </c>
      <c r="G1209" s="23" t="s">
        <v>3191</v>
      </c>
      <c r="H1209" s="23" t="s">
        <v>3192</v>
      </c>
      <c r="I1209" s="22" t="s">
        <v>3418</v>
      </c>
      <c r="J1209" s="21" t="s">
        <v>3465</v>
      </c>
      <c r="K1209" s="21"/>
      <c r="L1209" s="21"/>
      <c r="N1209" s="22" t="s">
        <v>3228</v>
      </c>
      <c r="O1209" s="22" t="s">
        <v>3196</v>
      </c>
      <c r="P1209" s="22">
        <v>90617</v>
      </c>
      <c r="Q1209" s="21">
        <v>34</v>
      </c>
      <c r="R1209" s="21">
        <v>32</v>
      </c>
      <c r="S1209" s="21">
        <v>32</v>
      </c>
      <c r="T1209" s="21" t="s">
        <v>281</v>
      </c>
      <c r="U1209" s="21">
        <v>1.2</v>
      </c>
      <c r="V1209" s="21">
        <v>1.2</v>
      </c>
      <c r="W1209" s="24">
        <f t="shared" si="201"/>
        <v>8858.1049732690262</v>
      </c>
      <c r="X1209" s="24">
        <f t="shared" si="202"/>
        <v>21864.448</v>
      </c>
      <c r="Y1209" s="21">
        <v>1</v>
      </c>
      <c r="Z1209" s="24">
        <f t="shared" si="196"/>
        <v>8858.1049732690262</v>
      </c>
      <c r="AA1209" s="24">
        <f t="shared" si="197"/>
        <v>21864.448</v>
      </c>
      <c r="AB1209" s="21"/>
      <c r="AC1209" s="21"/>
      <c r="AD1209" s="21"/>
      <c r="AE1209" s="21"/>
      <c r="AF1209" s="21"/>
      <c r="AG1209" s="21"/>
      <c r="AH1209" s="24"/>
      <c r="AI1209" s="24"/>
      <c r="AJ1209" s="21">
        <v>21875.5</v>
      </c>
      <c r="AK1209" s="21">
        <v>34</v>
      </c>
      <c r="AL1209" s="22" t="s">
        <v>161</v>
      </c>
      <c r="AM1209" s="22">
        <v>0.11</v>
      </c>
      <c r="AO1209" s="22" t="s">
        <v>2206</v>
      </c>
      <c r="AP1209" s="22" t="s">
        <v>162</v>
      </c>
      <c r="AQ1209" s="22" t="str">
        <f t="shared" si="198"/>
        <v>Microphytoplankton</v>
      </c>
      <c r="AR1209" s="22">
        <v>0</v>
      </c>
      <c r="AS1209" s="22">
        <v>0</v>
      </c>
      <c r="AT1209" s="22">
        <v>0</v>
      </c>
      <c r="AU1209" s="22">
        <v>0</v>
      </c>
      <c r="AV1209" s="22">
        <v>0</v>
      </c>
      <c r="AW1209" s="22">
        <v>0</v>
      </c>
      <c r="AX1209" s="22">
        <v>0</v>
      </c>
      <c r="AY1209" s="22">
        <v>1</v>
      </c>
    </row>
    <row r="1210" spans="1:51">
      <c r="A1210" s="22" t="s">
        <v>3466</v>
      </c>
      <c r="B1210" s="22" t="s">
        <v>663</v>
      </c>
      <c r="C1210" s="23" t="s">
        <v>2223</v>
      </c>
      <c r="D1210" s="22" t="s">
        <v>3188</v>
      </c>
      <c r="E1210" s="23" t="s">
        <v>3189</v>
      </c>
      <c r="F1210" s="23" t="s">
        <v>3190</v>
      </c>
      <c r="G1210" s="23" t="s">
        <v>3191</v>
      </c>
      <c r="H1210" s="23" t="s">
        <v>3192</v>
      </c>
      <c r="I1210" s="22" t="s">
        <v>3467</v>
      </c>
      <c r="J1210" s="22" t="s">
        <v>3468</v>
      </c>
      <c r="N1210" s="22" t="s">
        <v>3469</v>
      </c>
      <c r="O1210" s="22" t="s">
        <v>3196</v>
      </c>
      <c r="P1210" s="21">
        <v>94103</v>
      </c>
      <c r="Q1210" s="22">
        <v>18</v>
      </c>
      <c r="R1210" s="22">
        <v>19</v>
      </c>
      <c r="S1210" s="22">
        <v>5</v>
      </c>
      <c r="T1210" s="22" t="s">
        <v>281</v>
      </c>
      <c r="U1210" s="22">
        <v>1.5</v>
      </c>
      <c r="V1210" s="22">
        <v>1.5</v>
      </c>
      <c r="W1210" s="24">
        <f t="shared" si="201"/>
        <v>1554.8182242417483</v>
      </c>
      <c r="X1210" s="24">
        <f t="shared" si="202"/>
        <v>1342.35</v>
      </c>
      <c r="Y1210" s="21">
        <v>1</v>
      </c>
      <c r="Z1210" s="24">
        <f t="shared" si="196"/>
        <v>1554.8182242417483</v>
      </c>
      <c r="AA1210" s="24">
        <f t="shared" si="197"/>
        <v>1342.35</v>
      </c>
      <c r="AE1210" s="21"/>
      <c r="AF1210" s="21"/>
      <c r="AG1210" s="21"/>
      <c r="AH1210" s="24"/>
      <c r="AI1210" s="24"/>
      <c r="AJ1210" s="21">
        <v>5100.93</v>
      </c>
      <c r="AK1210" s="21">
        <v>19</v>
      </c>
      <c r="AL1210" s="22" t="s">
        <v>161</v>
      </c>
      <c r="AM1210" s="22">
        <v>0.11</v>
      </c>
      <c r="AN1210" s="22" t="s">
        <v>2206</v>
      </c>
      <c r="AO1210" s="22" t="s">
        <v>2206</v>
      </c>
      <c r="AP1210" s="22" t="s">
        <v>162</v>
      </c>
      <c r="AQ1210" s="22" t="str">
        <f t="shared" si="198"/>
        <v>Nanophytoplankton</v>
      </c>
      <c r="AR1210" s="22">
        <v>0</v>
      </c>
      <c r="AS1210" s="22">
        <v>0</v>
      </c>
      <c r="AT1210" s="22">
        <v>0</v>
      </c>
      <c r="AU1210" s="22">
        <v>0</v>
      </c>
      <c r="AV1210" s="22">
        <v>0</v>
      </c>
      <c r="AW1210" s="22">
        <v>0</v>
      </c>
      <c r="AX1210" s="22">
        <v>0</v>
      </c>
      <c r="AY1210" s="22">
        <v>1</v>
      </c>
    </row>
    <row r="1211" spans="1:51">
      <c r="A1211" s="22" t="s">
        <v>3470</v>
      </c>
      <c r="B1211" s="22" t="s">
        <v>663</v>
      </c>
      <c r="C1211" s="23" t="s">
        <v>2223</v>
      </c>
      <c r="D1211" s="22" t="s">
        <v>3188</v>
      </c>
      <c r="E1211" s="23" t="s">
        <v>3189</v>
      </c>
      <c r="F1211" s="23" t="s">
        <v>3190</v>
      </c>
      <c r="G1211" s="23" t="s">
        <v>3191</v>
      </c>
      <c r="H1211" s="23" t="s">
        <v>3192</v>
      </c>
      <c r="I1211" s="22" t="s">
        <v>3467</v>
      </c>
      <c r="J1211" s="22" t="s">
        <v>3471</v>
      </c>
      <c r="N1211" s="22" t="s">
        <v>3472</v>
      </c>
      <c r="O1211" s="22" t="s">
        <v>3196</v>
      </c>
      <c r="P1211" s="22">
        <v>94102</v>
      </c>
      <c r="Q1211" s="22">
        <v>25</v>
      </c>
      <c r="R1211" s="22">
        <v>18.5</v>
      </c>
      <c r="S1211" s="22">
        <v>5</v>
      </c>
      <c r="T1211" s="22" t="s">
        <v>281</v>
      </c>
      <c r="U1211" s="22">
        <v>1.5</v>
      </c>
      <c r="V1211" s="22">
        <v>1.5</v>
      </c>
      <c r="W1211" s="24">
        <f t="shared" si="201"/>
        <v>2103.451914125907</v>
      </c>
      <c r="X1211" s="24">
        <f t="shared" si="202"/>
        <v>1815.3125</v>
      </c>
      <c r="Y1211" s="21">
        <v>1</v>
      </c>
      <c r="Z1211" s="24">
        <f t="shared" si="196"/>
        <v>2103.451914125907</v>
      </c>
      <c r="AA1211" s="24">
        <f t="shared" si="197"/>
        <v>1815.3125</v>
      </c>
      <c r="AE1211" s="21"/>
      <c r="AF1211" s="21"/>
      <c r="AG1211" s="21"/>
      <c r="AH1211" s="24"/>
      <c r="AI1211" s="24"/>
      <c r="AJ1211" s="21">
        <v>6716.65625</v>
      </c>
      <c r="AK1211" s="21">
        <v>25</v>
      </c>
      <c r="AL1211" s="22" t="s">
        <v>161</v>
      </c>
      <c r="AM1211" s="22">
        <v>0.11</v>
      </c>
      <c r="AN1211" s="22" t="s">
        <v>2206</v>
      </c>
      <c r="AO1211" s="22" t="s">
        <v>2206</v>
      </c>
      <c r="AP1211" s="22" t="s">
        <v>162</v>
      </c>
      <c r="AQ1211" s="22" t="str">
        <f t="shared" si="198"/>
        <v>Microphytoplankton</v>
      </c>
      <c r="AR1211" s="22">
        <v>0</v>
      </c>
      <c r="AS1211" s="22">
        <v>0</v>
      </c>
      <c r="AT1211" s="22">
        <v>0</v>
      </c>
      <c r="AU1211" s="22">
        <v>0</v>
      </c>
      <c r="AV1211" s="22">
        <v>0</v>
      </c>
      <c r="AW1211" s="22">
        <v>0</v>
      </c>
      <c r="AX1211" s="22">
        <v>0</v>
      </c>
      <c r="AY1211" s="22">
        <v>1</v>
      </c>
    </row>
    <row r="1212" spans="1:51">
      <c r="A1212" s="21" t="s">
        <v>3473</v>
      </c>
      <c r="B1212" s="22" t="s">
        <v>663</v>
      </c>
      <c r="C1212" s="23" t="s">
        <v>2223</v>
      </c>
      <c r="D1212" s="22" t="s">
        <v>3188</v>
      </c>
      <c r="E1212" s="23" t="s">
        <v>3189</v>
      </c>
      <c r="F1212" s="23" t="s">
        <v>3190</v>
      </c>
      <c r="G1212" s="23" t="s">
        <v>3191</v>
      </c>
      <c r="H1212" s="23" t="s">
        <v>3192</v>
      </c>
      <c r="I1212" s="22" t="s">
        <v>3467</v>
      </c>
      <c r="J1212" s="21" t="s">
        <v>3474</v>
      </c>
      <c r="K1212" s="21"/>
      <c r="L1212" s="21"/>
      <c r="N1212" s="22" t="s">
        <v>3472</v>
      </c>
      <c r="O1212" s="22" t="s">
        <v>3196</v>
      </c>
      <c r="P1212" s="22">
        <v>94101</v>
      </c>
      <c r="Q1212" s="21">
        <v>20</v>
      </c>
      <c r="R1212" s="21">
        <v>20</v>
      </c>
      <c r="S1212" s="21">
        <v>5</v>
      </c>
      <c r="T1212" s="21" t="s">
        <v>281</v>
      </c>
      <c r="U1212" s="21">
        <v>1</v>
      </c>
      <c r="V1212" s="21">
        <v>1</v>
      </c>
      <c r="W1212" s="24">
        <f t="shared" si="201"/>
        <v>2710.9817036143672</v>
      </c>
      <c r="X1212" s="24">
        <f t="shared" si="202"/>
        <v>1046.6666666666667</v>
      </c>
      <c r="Y1212" s="21">
        <v>1</v>
      </c>
      <c r="Z1212" s="24">
        <f t="shared" si="196"/>
        <v>2710.9817036143672</v>
      </c>
      <c r="AA1212" s="24">
        <f t="shared" si="197"/>
        <v>1046.6666666666667</v>
      </c>
      <c r="AB1212" s="21"/>
      <c r="AC1212" s="21"/>
      <c r="AD1212" s="21"/>
      <c r="AE1212" s="21"/>
      <c r="AF1212" s="21"/>
      <c r="AG1212" s="21"/>
      <c r="AH1212" s="24"/>
      <c r="AI1212" s="24"/>
      <c r="AJ1212" s="21">
        <v>1047.2</v>
      </c>
      <c r="AK1212" s="21">
        <v>20</v>
      </c>
      <c r="AL1212" s="22" t="s">
        <v>161</v>
      </c>
      <c r="AM1212" s="22">
        <v>0.11</v>
      </c>
      <c r="AN1212" s="22" t="s">
        <v>2206</v>
      </c>
      <c r="AO1212" s="22" t="s">
        <v>2206</v>
      </c>
      <c r="AP1212" s="22" t="s">
        <v>162</v>
      </c>
      <c r="AQ1212" s="22" t="str">
        <f t="shared" si="198"/>
        <v>Microphytoplankton</v>
      </c>
      <c r="AR1212" s="22">
        <v>0</v>
      </c>
      <c r="AS1212" s="22">
        <v>0</v>
      </c>
      <c r="AT1212" s="22">
        <v>0</v>
      </c>
      <c r="AU1212" s="22">
        <v>0</v>
      </c>
      <c r="AV1212" s="22">
        <v>0</v>
      </c>
      <c r="AW1212" s="22">
        <v>0</v>
      </c>
      <c r="AX1212" s="22">
        <v>0</v>
      </c>
      <c r="AY1212" s="22">
        <v>1</v>
      </c>
    </row>
    <row r="1213" spans="1:51">
      <c r="A1213" s="21" t="s">
        <v>3475</v>
      </c>
      <c r="B1213" s="22" t="s">
        <v>663</v>
      </c>
      <c r="C1213" s="23" t="s">
        <v>2223</v>
      </c>
      <c r="D1213" s="22" t="s">
        <v>3188</v>
      </c>
      <c r="E1213" s="23" t="s">
        <v>3189</v>
      </c>
      <c r="F1213" s="23" t="s">
        <v>3190</v>
      </c>
      <c r="G1213" s="23" t="s">
        <v>3191</v>
      </c>
      <c r="H1213" s="23" t="s">
        <v>3192</v>
      </c>
      <c r="I1213" s="22" t="s">
        <v>3467</v>
      </c>
      <c r="J1213" s="21" t="s">
        <v>3476</v>
      </c>
      <c r="K1213" s="21"/>
      <c r="L1213" s="21"/>
      <c r="N1213" s="22" t="s">
        <v>3477</v>
      </c>
      <c r="O1213" s="22" t="s">
        <v>3196</v>
      </c>
      <c r="P1213" s="22">
        <v>90618</v>
      </c>
      <c r="Q1213" s="21">
        <v>23</v>
      </c>
      <c r="R1213" s="21">
        <v>18</v>
      </c>
      <c r="S1213" s="21">
        <v>18</v>
      </c>
      <c r="T1213" s="21" t="s">
        <v>281</v>
      </c>
      <c r="U1213" s="21">
        <v>2</v>
      </c>
      <c r="V1213" s="21">
        <v>2</v>
      </c>
      <c r="W1213" s="24">
        <f t="shared" si="201"/>
        <v>2026.2614032858248</v>
      </c>
      <c r="X1213" s="24">
        <f t="shared" si="202"/>
        <v>7799.76</v>
      </c>
      <c r="Y1213" s="21">
        <v>1</v>
      </c>
      <c r="Z1213" s="24">
        <f t="shared" si="196"/>
        <v>2026.2614032858248</v>
      </c>
      <c r="AA1213" s="24">
        <f t="shared" si="197"/>
        <v>7799.76</v>
      </c>
      <c r="AB1213" s="21"/>
      <c r="AC1213" s="21"/>
      <c r="AD1213" s="21"/>
      <c r="AE1213" s="21"/>
      <c r="AF1213" s="21"/>
      <c r="AG1213" s="21"/>
      <c r="AH1213" s="24"/>
      <c r="AI1213" s="24"/>
      <c r="AJ1213" s="21">
        <v>7803.7</v>
      </c>
      <c r="AK1213" s="21">
        <v>23</v>
      </c>
      <c r="AL1213" s="22" t="s">
        <v>161</v>
      </c>
      <c r="AM1213" s="22">
        <v>0.11</v>
      </c>
      <c r="AN1213" s="22" t="s">
        <v>2206</v>
      </c>
      <c r="AO1213" s="22" t="s">
        <v>2206</v>
      </c>
      <c r="AP1213" s="22" t="s">
        <v>162</v>
      </c>
      <c r="AQ1213" s="22" t="str">
        <f t="shared" si="198"/>
        <v>Microphytoplankton</v>
      </c>
      <c r="AR1213" s="22">
        <v>0</v>
      </c>
      <c r="AS1213" s="22">
        <v>0</v>
      </c>
      <c r="AT1213" s="22">
        <v>0</v>
      </c>
      <c r="AU1213" s="22">
        <v>0</v>
      </c>
      <c r="AV1213" s="22">
        <v>0</v>
      </c>
      <c r="AW1213" s="22">
        <v>0</v>
      </c>
      <c r="AX1213" s="22">
        <v>0</v>
      </c>
      <c r="AY1213" s="22">
        <v>1</v>
      </c>
    </row>
    <row r="1214" spans="1:51">
      <c r="A1214" s="21" t="s">
        <v>3478</v>
      </c>
      <c r="B1214" s="22" t="s">
        <v>663</v>
      </c>
      <c r="C1214" s="23" t="s">
        <v>2223</v>
      </c>
      <c r="D1214" s="22" t="s">
        <v>3188</v>
      </c>
      <c r="E1214" s="23" t="s">
        <v>3189</v>
      </c>
      <c r="F1214" s="23" t="s">
        <v>3190</v>
      </c>
      <c r="G1214" s="23" t="s">
        <v>3191</v>
      </c>
      <c r="H1214" s="23" t="s">
        <v>3192</v>
      </c>
      <c r="I1214" s="22" t="s">
        <v>3467</v>
      </c>
      <c r="J1214" s="21" t="s">
        <v>3079</v>
      </c>
      <c r="K1214" s="21" t="s">
        <v>184</v>
      </c>
      <c r="L1214" s="21" t="s">
        <v>1294</v>
      </c>
      <c r="N1214" s="22" t="s">
        <v>3257</v>
      </c>
      <c r="O1214" s="22" t="s">
        <v>3196</v>
      </c>
      <c r="P1214" s="22">
        <v>90619</v>
      </c>
      <c r="Q1214" s="21">
        <v>12</v>
      </c>
      <c r="R1214" s="21">
        <v>10</v>
      </c>
      <c r="S1214" s="21">
        <v>3</v>
      </c>
      <c r="T1214" s="21" t="s">
        <v>330</v>
      </c>
      <c r="U1214" s="21">
        <v>0.7</v>
      </c>
      <c r="V1214" s="21">
        <v>0.7</v>
      </c>
      <c r="W1214" s="25">
        <f>(Q1214*R1214*2+Q1214*S1214*2+R1214*S1214*2)/V1214</f>
        <v>531.42857142857144</v>
      </c>
      <c r="X1214" s="25">
        <f>Q1214*R1214*S1214*U1214</f>
        <v>251.99999999999997</v>
      </c>
      <c r="Y1214" s="21">
        <v>1</v>
      </c>
      <c r="Z1214" s="24">
        <f t="shared" si="196"/>
        <v>531.42857142857144</v>
      </c>
      <c r="AA1214" s="24">
        <f t="shared" si="197"/>
        <v>251.99999999999997</v>
      </c>
      <c r="AB1214" s="21"/>
      <c r="AC1214" s="21"/>
      <c r="AD1214" s="21"/>
      <c r="AE1214" s="21"/>
      <c r="AF1214" s="21"/>
      <c r="AG1214" s="21"/>
      <c r="AH1214" s="24"/>
      <c r="AI1214" s="24"/>
      <c r="AJ1214" s="21">
        <v>251.99999999999994</v>
      </c>
      <c r="AK1214" s="21">
        <v>12</v>
      </c>
      <c r="AL1214" s="22" t="s">
        <v>3479</v>
      </c>
      <c r="AM1214" s="22">
        <v>0.11</v>
      </c>
      <c r="AN1214" s="22" t="s">
        <v>2206</v>
      </c>
      <c r="AO1214" s="22" t="s">
        <v>2206</v>
      </c>
      <c r="AP1214" s="22" t="s">
        <v>162</v>
      </c>
      <c r="AQ1214" s="22" t="str">
        <f t="shared" si="198"/>
        <v>Nanophytoplankton</v>
      </c>
      <c r="AR1214" s="22">
        <v>0</v>
      </c>
      <c r="AS1214" s="22">
        <v>0</v>
      </c>
      <c r="AT1214" s="22">
        <v>0</v>
      </c>
      <c r="AU1214" s="22">
        <v>0</v>
      </c>
      <c r="AV1214" s="22">
        <v>0</v>
      </c>
      <c r="AW1214" s="22">
        <v>0</v>
      </c>
      <c r="AX1214" s="22">
        <v>0</v>
      </c>
      <c r="AY1214" s="22">
        <v>1</v>
      </c>
    </row>
    <row r="1215" spans="1:51">
      <c r="A1215" s="22" t="s">
        <v>3480</v>
      </c>
      <c r="B1215" s="22" t="s">
        <v>663</v>
      </c>
      <c r="C1215" s="23" t="s">
        <v>2223</v>
      </c>
      <c r="D1215" s="22" t="s">
        <v>3188</v>
      </c>
      <c r="E1215" s="23" t="s">
        <v>3189</v>
      </c>
      <c r="F1215" s="23" t="s">
        <v>3190</v>
      </c>
      <c r="G1215" s="23" t="s">
        <v>3191</v>
      </c>
      <c r="H1215" s="23" t="s">
        <v>3192</v>
      </c>
      <c r="I1215" s="22" t="s">
        <v>3467</v>
      </c>
      <c r="J1215" s="22" t="s">
        <v>211</v>
      </c>
      <c r="M1215" s="22" t="s">
        <v>1</v>
      </c>
      <c r="N1215" s="22" t="s">
        <v>3481</v>
      </c>
      <c r="O1215" s="22" t="s">
        <v>3196</v>
      </c>
      <c r="P1215" s="22">
        <v>94100</v>
      </c>
      <c r="Q1215" s="22">
        <v>30</v>
      </c>
      <c r="R1215" s="22">
        <v>25</v>
      </c>
      <c r="S1215" s="22">
        <v>10</v>
      </c>
      <c r="T1215" s="22" t="s">
        <v>281</v>
      </c>
      <c r="U1215" s="22">
        <v>1.5</v>
      </c>
      <c r="V1215" s="22">
        <v>1.5</v>
      </c>
      <c r="W1215" s="24">
        <f>(4*3.14*(((Q1215^1.6*R1215^1.6+Q1215^1.6*S1215^1.6+R1215^1.6+S1215^1.6)/3)^(1/1.6)))*(1/V1215)</f>
        <v>3608.3294544680593</v>
      </c>
      <c r="X1215" s="24">
        <f>3.14/6*Q1215*R1215*S1215*U1215</f>
        <v>5887.5</v>
      </c>
      <c r="Y1215" s="21">
        <v>1</v>
      </c>
      <c r="Z1215" s="24">
        <f t="shared" si="196"/>
        <v>3608.3294544680593</v>
      </c>
      <c r="AA1215" s="24">
        <f t="shared" si="197"/>
        <v>5887.5</v>
      </c>
      <c r="AE1215" s="21"/>
      <c r="AF1215" s="21"/>
      <c r="AG1215" s="21"/>
      <c r="AH1215" s="24"/>
      <c r="AI1215" s="24"/>
      <c r="AJ1215" s="21">
        <v>14718.75</v>
      </c>
      <c r="AK1215" s="21">
        <v>30</v>
      </c>
      <c r="AL1215" s="22" t="s">
        <v>748</v>
      </c>
      <c r="AM1215" s="22">
        <v>0.11</v>
      </c>
      <c r="AN1215" s="22" t="s">
        <v>2206</v>
      </c>
      <c r="AO1215" s="22" t="s">
        <v>2206</v>
      </c>
      <c r="AP1215" s="22" t="s">
        <v>162</v>
      </c>
      <c r="AQ1215" s="22" t="str">
        <f t="shared" si="198"/>
        <v>Microphytoplankton</v>
      </c>
      <c r="AR1215" s="22">
        <v>0</v>
      </c>
      <c r="AS1215" s="22">
        <v>0</v>
      </c>
      <c r="AT1215" s="22">
        <v>0</v>
      </c>
      <c r="AU1215" s="22">
        <v>0</v>
      </c>
      <c r="AV1215" s="22">
        <v>0</v>
      </c>
      <c r="AW1215" s="22">
        <v>0</v>
      </c>
      <c r="AX1215" s="22">
        <v>0</v>
      </c>
      <c r="AY1215" s="22">
        <v>1</v>
      </c>
    </row>
    <row r="1216" spans="1:51">
      <c r="A1216" s="22" t="s">
        <v>3482</v>
      </c>
      <c r="B1216" s="22" t="s">
        <v>663</v>
      </c>
      <c r="C1216" s="23" t="s">
        <v>2223</v>
      </c>
      <c r="D1216" s="22" t="s">
        <v>3188</v>
      </c>
      <c r="E1216" s="23" t="s">
        <v>3189</v>
      </c>
      <c r="F1216" s="23" t="s">
        <v>3190</v>
      </c>
      <c r="G1216" s="23" t="s">
        <v>3191</v>
      </c>
      <c r="H1216" s="23" t="s">
        <v>3192</v>
      </c>
      <c r="I1216" s="22" t="s">
        <v>3483</v>
      </c>
      <c r="J1216" s="22" t="s">
        <v>211</v>
      </c>
      <c r="N1216" s="22" t="s">
        <v>189</v>
      </c>
      <c r="O1216" s="22" t="s">
        <v>3196</v>
      </c>
      <c r="P1216" s="22">
        <v>94104</v>
      </c>
      <c r="Q1216" s="22">
        <v>9</v>
      </c>
      <c r="R1216" s="22">
        <v>8</v>
      </c>
      <c r="S1216" s="22">
        <v>4</v>
      </c>
      <c r="T1216" s="22" t="s">
        <v>330</v>
      </c>
      <c r="U1216" s="22">
        <v>0.75</v>
      </c>
      <c r="V1216" s="22">
        <v>0.75</v>
      </c>
      <c r="W1216" s="25">
        <f>(Q1216*R1216*2+Q1216*S1216*2+R1216*S1216*2)/V1216</f>
        <v>373.33333333333331</v>
      </c>
      <c r="X1216" s="25">
        <f>Q1216*R1216*S1216*U1216</f>
        <v>216</v>
      </c>
      <c r="Y1216" s="21">
        <v>1</v>
      </c>
      <c r="Z1216" s="24">
        <f t="shared" si="196"/>
        <v>373.33333333333331</v>
      </c>
      <c r="AA1216" s="24">
        <f t="shared" si="197"/>
        <v>216</v>
      </c>
      <c r="AE1216" s="21"/>
      <c r="AF1216" s="21"/>
      <c r="AG1216" s="21"/>
      <c r="AH1216" s="24"/>
      <c r="AI1216" s="24"/>
      <c r="AJ1216" s="21">
        <v>216</v>
      </c>
      <c r="AK1216" s="21">
        <v>9</v>
      </c>
      <c r="AL1216" s="22" t="s">
        <v>3484</v>
      </c>
      <c r="AM1216" s="22">
        <v>0.11</v>
      </c>
      <c r="AO1216" s="22" t="s">
        <v>2206</v>
      </c>
      <c r="AP1216" s="22" t="s">
        <v>162</v>
      </c>
      <c r="AQ1216" s="22" t="str">
        <f t="shared" si="198"/>
        <v>Nanophytoplankton</v>
      </c>
      <c r="AR1216" s="22">
        <v>0</v>
      </c>
      <c r="AS1216" s="22">
        <v>0</v>
      </c>
      <c r="AT1216" s="22">
        <v>0</v>
      </c>
      <c r="AU1216" s="22">
        <v>1</v>
      </c>
      <c r="AV1216" s="22">
        <v>1</v>
      </c>
      <c r="AW1216" s="22">
        <v>0</v>
      </c>
      <c r="AX1216" s="22">
        <v>0</v>
      </c>
      <c r="AY1216" s="22">
        <v>1</v>
      </c>
    </row>
    <row r="1217" spans="1:51">
      <c r="A1217" s="22" t="s">
        <v>3485</v>
      </c>
      <c r="B1217" s="22" t="s">
        <v>663</v>
      </c>
      <c r="C1217" s="23" t="s">
        <v>2223</v>
      </c>
      <c r="D1217" s="22" t="s">
        <v>3188</v>
      </c>
      <c r="E1217" s="23" t="s">
        <v>3189</v>
      </c>
      <c r="F1217" s="23" t="s">
        <v>3190</v>
      </c>
      <c r="G1217" s="23" t="s">
        <v>3191</v>
      </c>
      <c r="H1217" s="23" t="s">
        <v>3192</v>
      </c>
      <c r="I1217" s="22" t="s">
        <v>3483</v>
      </c>
      <c r="J1217" s="22" t="s">
        <v>3486</v>
      </c>
      <c r="N1217" s="22" t="s">
        <v>3487</v>
      </c>
      <c r="O1217" s="22" t="s">
        <v>3196</v>
      </c>
      <c r="P1217" s="22">
        <v>94200</v>
      </c>
      <c r="Q1217" s="22">
        <v>9</v>
      </c>
      <c r="R1217" s="22">
        <v>8</v>
      </c>
      <c r="S1217" s="22">
        <v>5</v>
      </c>
      <c r="T1217" s="22" t="s">
        <v>330</v>
      </c>
      <c r="U1217" s="22">
        <v>0.75</v>
      </c>
      <c r="V1217" s="22">
        <v>0.75</v>
      </c>
      <c r="W1217" s="25">
        <f>(Q1217*R1217*2+Q1217*S1217*2+R1217*S1217*2)/V1217</f>
        <v>418.66666666666669</v>
      </c>
      <c r="X1217" s="25">
        <f>Q1217*R1217*S1217*U1217</f>
        <v>270</v>
      </c>
      <c r="Y1217" s="21">
        <v>1</v>
      </c>
      <c r="Z1217" s="24">
        <f t="shared" si="196"/>
        <v>418.66666666666669</v>
      </c>
      <c r="AA1217" s="24">
        <f t="shared" si="197"/>
        <v>270</v>
      </c>
      <c r="AE1217" s="21"/>
      <c r="AF1217" s="21"/>
      <c r="AG1217" s="21"/>
      <c r="AH1217" s="24"/>
      <c r="AI1217" s="24"/>
      <c r="AJ1217" s="21">
        <v>2355</v>
      </c>
      <c r="AK1217" s="21">
        <v>40</v>
      </c>
      <c r="AL1217" s="22" t="s">
        <v>161</v>
      </c>
      <c r="AM1217" s="22">
        <v>0.11</v>
      </c>
      <c r="AO1217" s="22" t="s">
        <v>2206</v>
      </c>
      <c r="AP1217" s="22" t="s">
        <v>162</v>
      </c>
      <c r="AQ1217" s="22" t="str">
        <f t="shared" si="198"/>
        <v>Microphytoplankton</v>
      </c>
      <c r="AR1217" s="22">
        <v>0</v>
      </c>
      <c r="AS1217" s="22">
        <v>0</v>
      </c>
      <c r="AT1217" s="22">
        <v>0</v>
      </c>
      <c r="AU1217" s="22">
        <v>1</v>
      </c>
      <c r="AV1217" s="22">
        <v>1</v>
      </c>
      <c r="AW1217" s="22">
        <v>0</v>
      </c>
      <c r="AX1217" s="22">
        <v>0</v>
      </c>
      <c r="AY1217" s="22">
        <v>1</v>
      </c>
    </row>
    <row r="1218" spans="1:51">
      <c r="A1218" s="22" t="s">
        <v>3488</v>
      </c>
      <c r="B1218" s="22" t="s">
        <v>663</v>
      </c>
      <c r="C1218" s="23" t="s">
        <v>2223</v>
      </c>
      <c r="D1218" s="22" t="s">
        <v>3188</v>
      </c>
      <c r="E1218" s="23" t="s">
        <v>3189</v>
      </c>
      <c r="F1218" s="23" t="s">
        <v>3190</v>
      </c>
      <c r="G1218" s="23" t="s">
        <v>3191</v>
      </c>
      <c r="H1218" s="23" t="s">
        <v>3192</v>
      </c>
      <c r="I1218" s="22" t="s">
        <v>3483</v>
      </c>
      <c r="J1218" s="22" t="s">
        <v>3321</v>
      </c>
      <c r="N1218" s="22" t="s">
        <v>3489</v>
      </c>
      <c r="O1218" s="22" t="s">
        <v>3196</v>
      </c>
      <c r="P1218" s="22">
        <v>94210</v>
      </c>
      <c r="Q1218" s="22">
        <v>2.5</v>
      </c>
      <c r="R1218" s="22">
        <v>5.5</v>
      </c>
      <c r="S1218" s="22">
        <v>6</v>
      </c>
      <c r="T1218" s="22" t="s">
        <v>330</v>
      </c>
      <c r="U1218" s="22">
        <v>0.9</v>
      </c>
      <c r="V1218" s="22">
        <v>0.9</v>
      </c>
      <c r="W1218" s="25">
        <f>(Q1218*R1218*2+Q1218*S1218*2+R1218*S1218*2)/V1218</f>
        <v>137.22222222222223</v>
      </c>
      <c r="X1218" s="25">
        <f>Q1218*R1218*S1218*U1218</f>
        <v>74.25</v>
      </c>
      <c r="Y1218" s="21">
        <v>1</v>
      </c>
      <c r="Z1218" s="24">
        <f t="shared" ref="Z1218:Z1223" si="203">Y1218*W1218</f>
        <v>137.22222222222223</v>
      </c>
      <c r="AA1218" s="24">
        <f t="shared" ref="AA1218:AA1223" si="204">Y1218*X1218</f>
        <v>74.25</v>
      </c>
      <c r="AE1218" s="21"/>
      <c r="AF1218" s="21"/>
      <c r="AG1218" s="21"/>
      <c r="AH1218" s="24"/>
      <c r="AI1218" s="24"/>
      <c r="AJ1218" s="21">
        <v>74.25</v>
      </c>
      <c r="AK1218" s="21">
        <v>6</v>
      </c>
      <c r="AL1218" s="22" t="s">
        <v>161</v>
      </c>
      <c r="AM1218" s="22">
        <v>0.11</v>
      </c>
      <c r="AO1218" s="22" t="s">
        <v>2206</v>
      </c>
      <c r="AP1218" s="22" t="s">
        <v>162</v>
      </c>
      <c r="AQ1218" s="22" t="str">
        <f t="shared" ref="AQ1218:AQ1223" si="205">IF(AND($AK1218&lt;20,AJ1218&lt;10000),"Nanophytoplankton","Microphytoplankton")</f>
        <v>Nanophytoplankton</v>
      </c>
      <c r="AR1218" s="22">
        <v>0</v>
      </c>
      <c r="AS1218" s="22">
        <v>0</v>
      </c>
      <c r="AT1218" s="22">
        <v>0</v>
      </c>
      <c r="AU1218" s="22">
        <v>1</v>
      </c>
      <c r="AV1218" s="22">
        <v>1</v>
      </c>
      <c r="AW1218" s="22">
        <v>0</v>
      </c>
      <c r="AX1218" s="22">
        <v>0</v>
      </c>
      <c r="AY1218" s="22">
        <v>1</v>
      </c>
    </row>
    <row r="1219" spans="1:51">
      <c r="A1219" s="22" t="s">
        <v>3490</v>
      </c>
      <c r="B1219" s="22" t="s">
        <v>663</v>
      </c>
      <c r="C1219" s="23" t="s">
        <v>2223</v>
      </c>
      <c r="D1219" s="22" t="s">
        <v>3188</v>
      </c>
      <c r="E1219" s="23" t="s">
        <v>3189</v>
      </c>
      <c r="F1219" s="23" t="s">
        <v>3190</v>
      </c>
      <c r="G1219" s="23" t="s">
        <v>3191</v>
      </c>
      <c r="H1219" s="23" t="s">
        <v>3192</v>
      </c>
      <c r="I1219" s="22" t="s">
        <v>3483</v>
      </c>
      <c r="J1219" s="22" t="s">
        <v>3491</v>
      </c>
      <c r="N1219" s="22" t="s">
        <v>186</v>
      </c>
      <c r="O1219" s="22" t="s">
        <v>3196</v>
      </c>
      <c r="P1219" s="22">
        <v>94200</v>
      </c>
      <c r="Q1219" s="22">
        <v>14</v>
      </c>
      <c r="R1219" s="22">
        <v>6.5</v>
      </c>
      <c r="S1219" s="22">
        <v>3</v>
      </c>
      <c r="T1219" s="22" t="s">
        <v>330</v>
      </c>
      <c r="U1219" s="22">
        <v>0.9</v>
      </c>
      <c r="V1219" s="22">
        <v>0.9</v>
      </c>
      <c r="W1219" s="25">
        <f>(Q1219*R1219*2+Q1219*S1219*2+R1219*S1219*2)/V1219</f>
        <v>338.88888888888886</v>
      </c>
      <c r="X1219" s="25">
        <f>Q1219*R1219*S1219*U1219</f>
        <v>245.70000000000002</v>
      </c>
      <c r="Y1219" s="21">
        <v>1</v>
      </c>
      <c r="Z1219" s="24">
        <f t="shared" si="203"/>
        <v>338.88888888888886</v>
      </c>
      <c r="AA1219" s="24">
        <f t="shared" si="204"/>
        <v>245.70000000000002</v>
      </c>
      <c r="AE1219" s="21"/>
      <c r="AF1219" s="21"/>
      <c r="AG1219" s="21"/>
      <c r="AH1219" s="24"/>
      <c r="AI1219" s="24"/>
      <c r="AJ1219" s="21">
        <v>2355</v>
      </c>
      <c r="AK1219" s="21">
        <v>40</v>
      </c>
      <c r="AL1219" s="22" t="s">
        <v>161</v>
      </c>
      <c r="AM1219" s="22">
        <v>0.11</v>
      </c>
      <c r="AO1219" s="22" t="s">
        <v>2206</v>
      </c>
      <c r="AP1219" s="22" t="s">
        <v>162</v>
      </c>
      <c r="AQ1219" s="22" t="str">
        <f t="shared" si="205"/>
        <v>Microphytoplankton</v>
      </c>
      <c r="AR1219" s="22">
        <v>0</v>
      </c>
      <c r="AS1219" s="22">
        <v>0</v>
      </c>
      <c r="AT1219" s="22">
        <v>0</v>
      </c>
      <c r="AU1219" s="22">
        <v>1</v>
      </c>
      <c r="AV1219" s="22">
        <v>1</v>
      </c>
      <c r="AW1219" s="22">
        <v>0</v>
      </c>
      <c r="AX1219" s="22">
        <v>0</v>
      </c>
      <c r="AY1219" s="22">
        <v>1</v>
      </c>
    </row>
    <row r="1220" spans="1:51">
      <c r="A1220" s="21" t="s">
        <v>3492</v>
      </c>
      <c r="B1220" s="22" t="s">
        <v>663</v>
      </c>
      <c r="C1220" s="23" t="s">
        <v>2223</v>
      </c>
      <c r="D1220" s="22" t="s">
        <v>3188</v>
      </c>
      <c r="E1220" s="23" t="s">
        <v>3189</v>
      </c>
      <c r="F1220" s="23" t="s">
        <v>3190</v>
      </c>
      <c r="G1220" s="23" t="s">
        <v>3191</v>
      </c>
      <c r="H1220" s="23" t="s">
        <v>3192</v>
      </c>
      <c r="I1220" s="22" t="s">
        <v>3493</v>
      </c>
      <c r="J1220" s="22" t="s">
        <v>3494</v>
      </c>
      <c r="N1220" s="22" t="s">
        <v>3495</v>
      </c>
      <c r="O1220" s="22" t="s">
        <v>3196</v>
      </c>
      <c r="P1220" s="22">
        <v>92010</v>
      </c>
      <c r="Q1220" s="21">
        <v>12</v>
      </c>
      <c r="R1220" s="21">
        <v>9</v>
      </c>
      <c r="S1220" s="21">
        <v>9</v>
      </c>
      <c r="T1220" s="21" t="s">
        <v>160</v>
      </c>
      <c r="U1220" s="21">
        <v>0.7</v>
      </c>
      <c r="V1220" s="21">
        <v>0.7</v>
      </c>
      <c r="W1220" s="24">
        <f>3.14*R1220*Q1220+2*3.14*(S1220/2)^2/V1220</f>
        <v>520.79142857142858</v>
      </c>
      <c r="X1220" s="25">
        <f>(3.14/4*R1220^2*Q1220)*U1220</f>
        <v>534.11399999999992</v>
      </c>
      <c r="Y1220" s="21">
        <v>1</v>
      </c>
      <c r="Z1220" s="24">
        <f t="shared" si="203"/>
        <v>520.79142857142858</v>
      </c>
      <c r="AA1220" s="24">
        <f t="shared" si="204"/>
        <v>534.11399999999992</v>
      </c>
      <c r="AB1220" s="21"/>
      <c r="AC1220" s="21"/>
      <c r="AD1220" s="21"/>
      <c r="AE1220" s="21"/>
      <c r="AF1220" s="21"/>
      <c r="AG1220" s="21"/>
      <c r="AH1220" s="24"/>
      <c r="AI1220" s="24"/>
      <c r="AJ1220" s="21">
        <v>534.4</v>
      </c>
      <c r="AK1220" s="21">
        <v>12</v>
      </c>
      <c r="AL1220" s="22" t="s">
        <v>161</v>
      </c>
      <c r="AM1220" s="22">
        <v>0.11</v>
      </c>
      <c r="AO1220" s="22" t="s">
        <v>2206</v>
      </c>
      <c r="AP1220" s="22" t="s">
        <v>162</v>
      </c>
      <c r="AQ1220" s="22" t="str">
        <f t="shared" si="205"/>
        <v>Nanophytoplankton</v>
      </c>
      <c r="AR1220" s="22">
        <v>0</v>
      </c>
      <c r="AS1220" s="22">
        <v>0</v>
      </c>
      <c r="AT1220" s="22">
        <v>0</v>
      </c>
      <c r="AU1220" s="22">
        <v>1</v>
      </c>
      <c r="AV1220" s="22">
        <v>1</v>
      </c>
      <c r="AW1220" s="22">
        <v>0</v>
      </c>
      <c r="AX1220" s="22">
        <v>0</v>
      </c>
      <c r="AY1220" s="22">
        <v>1</v>
      </c>
    </row>
    <row r="1221" spans="1:51">
      <c r="A1221" s="21" t="s">
        <v>3496</v>
      </c>
      <c r="B1221" s="22" t="s">
        <v>663</v>
      </c>
      <c r="C1221" s="23" t="s">
        <v>2223</v>
      </c>
      <c r="D1221" s="22" t="s">
        <v>3188</v>
      </c>
      <c r="E1221" s="23" t="s">
        <v>3189</v>
      </c>
      <c r="F1221" s="23" t="s">
        <v>3190</v>
      </c>
      <c r="G1221" s="23" t="s">
        <v>3191</v>
      </c>
      <c r="H1221" s="23" t="s">
        <v>3192</v>
      </c>
      <c r="I1221" s="22" t="s">
        <v>3497</v>
      </c>
      <c r="J1221" s="22" t="s">
        <v>3498</v>
      </c>
      <c r="N1221" s="22" t="s">
        <v>2459</v>
      </c>
      <c r="O1221" s="22" t="s">
        <v>3196</v>
      </c>
      <c r="P1221" s="22">
        <v>93102</v>
      </c>
      <c r="Q1221" s="21">
        <v>13</v>
      </c>
      <c r="R1221" s="21">
        <v>12</v>
      </c>
      <c r="S1221" s="21">
        <v>5.5</v>
      </c>
      <c r="T1221" s="21" t="s">
        <v>330</v>
      </c>
      <c r="U1221" s="21">
        <v>0.9</v>
      </c>
      <c r="V1221" s="21">
        <v>0.9</v>
      </c>
      <c r="W1221" s="25">
        <f>(Q1221*R1221*2+Q1221*S1221*2+R1221*S1221*2)/V1221</f>
        <v>652.22222222222217</v>
      </c>
      <c r="X1221" s="25">
        <f>Q1221*R1221*S1221*U1221</f>
        <v>772.2</v>
      </c>
      <c r="Y1221" s="21">
        <v>1</v>
      </c>
      <c r="Z1221" s="24">
        <f t="shared" si="203"/>
        <v>652.22222222222217</v>
      </c>
      <c r="AA1221" s="24">
        <f t="shared" si="204"/>
        <v>772.2</v>
      </c>
      <c r="AB1221" s="21"/>
      <c r="AC1221" s="21"/>
      <c r="AD1221" s="21"/>
      <c r="AE1221" s="21"/>
      <c r="AF1221" s="21"/>
      <c r="AG1221" s="21"/>
      <c r="AH1221" s="24"/>
      <c r="AI1221" s="24"/>
      <c r="AJ1221" s="21">
        <v>772.2</v>
      </c>
      <c r="AK1221" s="21">
        <v>13</v>
      </c>
      <c r="AL1221" s="22" t="s">
        <v>161</v>
      </c>
      <c r="AM1221" s="22">
        <v>0.11</v>
      </c>
      <c r="AO1221" s="22" t="s">
        <v>2206</v>
      </c>
      <c r="AP1221" s="22" t="s">
        <v>162</v>
      </c>
      <c r="AQ1221" s="22" t="str">
        <f t="shared" si="205"/>
        <v>Nanophytoplankton</v>
      </c>
      <c r="AR1221" s="22">
        <v>0</v>
      </c>
      <c r="AS1221" s="22">
        <v>0</v>
      </c>
      <c r="AT1221" s="22">
        <v>0</v>
      </c>
      <c r="AU1221" s="22">
        <v>1</v>
      </c>
      <c r="AV1221" s="22">
        <v>1</v>
      </c>
      <c r="AW1221" s="22">
        <v>0</v>
      </c>
      <c r="AX1221" s="22">
        <v>0</v>
      </c>
      <c r="AY1221" s="22">
        <v>1</v>
      </c>
    </row>
    <row r="1222" spans="1:51">
      <c r="A1222" s="21" t="s">
        <v>3499</v>
      </c>
      <c r="B1222" s="22" t="s">
        <v>663</v>
      </c>
      <c r="C1222" s="23" t="s">
        <v>2223</v>
      </c>
      <c r="D1222" s="22" t="s">
        <v>3188</v>
      </c>
      <c r="E1222" s="23" t="s">
        <v>3189</v>
      </c>
      <c r="F1222" s="23" t="s">
        <v>3190</v>
      </c>
      <c r="G1222" s="23" t="s">
        <v>3191</v>
      </c>
      <c r="H1222" s="23" t="s">
        <v>3192</v>
      </c>
      <c r="I1222" s="22" t="s">
        <v>3497</v>
      </c>
      <c r="J1222" s="22" t="s">
        <v>3500</v>
      </c>
      <c r="N1222" s="22" t="s">
        <v>3501</v>
      </c>
      <c r="O1222" s="22" t="s">
        <v>3196</v>
      </c>
      <c r="P1222" s="22">
        <v>93101</v>
      </c>
      <c r="Q1222" s="21">
        <v>70</v>
      </c>
      <c r="R1222" s="21">
        <v>64</v>
      </c>
      <c r="S1222" s="21">
        <v>40</v>
      </c>
      <c r="T1222" s="21" t="s">
        <v>281</v>
      </c>
      <c r="U1222" s="21">
        <v>1</v>
      </c>
      <c r="V1222" s="21">
        <v>1</v>
      </c>
      <c r="W1222" s="24">
        <f>(4*3.14*(((Q1222^1.6*R1222^1.6+Q1222^1.6*S1222^1.6+R1222^1.6+S1222^1.6)/3)^(1/1.6)))*(1/V1222)</f>
        <v>36074.901960737698</v>
      </c>
      <c r="X1222" s="24">
        <f>3.14/6*Q1222*R1222*S1222*U1222</f>
        <v>93781.333333333328</v>
      </c>
      <c r="Y1222" s="21">
        <v>1</v>
      </c>
      <c r="Z1222" s="24">
        <f t="shared" si="203"/>
        <v>36074.901960737698</v>
      </c>
      <c r="AA1222" s="24">
        <f t="shared" si="204"/>
        <v>93781.333333333328</v>
      </c>
      <c r="AB1222" s="21"/>
      <c r="AC1222" s="21"/>
      <c r="AD1222" s="21"/>
      <c r="AE1222" s="21"/>
      <c r="AF1222" s="21"/>
      <c r="AG1222" s="21"/>
      <c r="AH1222" s="24"/>
      <c r="AI1222" s="24"/>
      <c r="AJ1222" s="21">
        <v>93828.9</v>
      </c>
      <c r="AK1222" s="21">
        <v>70</v>
      </c>
      <c r="AL1222" s="22" t="s">
        <v>161</v>
      </c>
      <c r="AM1222" s="22">
        <v>0.11</v>
      </c>
      <c r="AO1222" s="22" t="s">
        <v>2206</v>
      </c>
      <c r="AP1222" s="22" t="s">
        <v>162</v>
      </c>
      <c r="AQ1222" s="22" t="str">
        <f t="shared" si="205"/>
        <v>Microphytoplankton</v>
      </c>
      <c r="AR1222" s="22">
        <v>0</v>
      </c>
      <c r="AS1222" s="22">
        <v>0</v>
      </c>
      <c r="AT1222" s="22">
        <v>0</v>
      </c>
      <c r="AU1222" s="22">
        <v>0</v>
      </c>
      <c r="AV1222" s="22">
        <v>0</v>
      </c>
      <c r="AW1222" s="22">
        <v>0</v>
      </c>
      <c r="AX1222" s="22">
        <v>0</v>
      </c>
      <c r="AY1222" s="22">
        <v>1</v>
      </c>
    </row>
    <row r="1223" spans="1:51">
      <c r="A1223" s="21" t="s">
        <v>3502</v>
      </c>
      <c r="B1223" s="22" t="s">
        <v>663</v>
      </c>
      <c r="C1223" s="23" t="s">
        <v>2223</v>
      </c>
      <c r="D1223" s="22" t="s">
        <v>3188</v>
      </c>
      <c r="E1223" s="23" t="s">
        <v>3189</v>
      </c>
      <c r="F1223" s="23" t="s">
        <v>3190</v>
      </c>
      <c r="G1223" s="23" t="s">
        <v>3191</v>
      </c>
      <c r="H1223" s="23" t="s">
        <v>3392</v>
      </c>
      <c r="I1223" s="22" t="s">
        <v>3503</v>
      </c>
      <c r="J1223" s="22" t="s">
        <v>211</v>
      </c>
      <c r="M1223" s="22" t="s">
        <v>1</v>
      </c>
      <c r="N1223" s="22" t="s">
        <v>475</v>
      </c>
      <c r="O1223" s="22" t="s">
        <v>3196</v>
      </c>
      <c r="P1223" s="21">
        <v>90100</v>
      </c>
      <c r="Q1223" s="21">
        <v>20</v>
      </c>
      <c r="R1223" s="21">
        <v>20</v>
      </c>
      <c r="S1223" s="21">
        <v>20</v>
      </c>
      <c r="T1223" s="21" t="s">
        <v>160</v>
      </c>
      <c r="U1223" s="21">
        <v>1</v>
      </c>
      <c r="V1223" s="21">
        <v>1</v>
      </c>
      <c r="W1223" s="24">
        <f>3.14*R1223*Q1223+2*3.14*(S1223/2)^2/V1223</f>
        <v>1884</v>
      </c>
      <c r="X1223" s="25">
        <f>(3.14/4*R1223^2*Q1223)*U1223</f>
        <v>6280</v>
      </c>
      <c r="Y1223" s="21">
        <v>5</v>
      </c>
      <c r="Z1223" s="24">
        <f t="shared" si="203"/>
        <v>9420</v>
      </c>
      <c r="AA1223" s="24">
        <f t="shared" si="204"/>
        <v>31400</v>
      </c>
      <c r="AB1223" s="21">
        <v>100</v>
      </c>
      <c r="AC1223" s="21">
        <v>20</v>
      </c>
      <c r="AD1223" s="21">
        <v>20</v>
      </c>
      <c r="AE1223" s="21" t="s">
        <v>160</v>
      </c>
      <c r="AF1223" s="21">
        <v>1</v>
      </c>
      <c r="AG1223" s="21">
        <v>1</v>
      </c>
      <c r="AH1223" s="24">
        <f>3.14*AC1223*AB1223+2*3.14*(AD1223/2)^2/AG1223</f>
        <v>6908</v>
      </c>
      <c r="AI1223" s="25">
        <f>(3.14/4*AC1223^2*AB1223)*AF1223</f>
        <v>31400</v>
      </c>
      <c r="AJ1223" s="21">
        <v>31415.9</v>
      </c>
      <c r="AK1223" s="21">
        <v>100</v>
      </c>
      <c r="AL1223" s="22" t="s">
        <v>161</v>
      </c>
      <c r="AM1223" s="22">
        <v>0.11</v>
      </c>
      <c r="AO1223" s="22" t="s">
        <v>383</v>
      </c>
      <c r="AP1223" s="22" t="s">
        <v>162</v>
      </c>
      <c r="AQ1223" s="22" t="str">
        <f t="shared" si="205"/>
        <v>Microphytoplankton</v>
      </c>
      <c r="AR1223" s="22">
        <v>0</v>
      </c>
      <c r="AS1223" s="22">
        <v>0</v>
      </c>
      <c r="AT1223" s="22">
        <v>0</v>
      </c>
      <c r="AU1223" s="22">
        <v>1</v>
      </c>
      <c r="AV1223" s="22">
        <v>1</v>
      </c>
      <c r="AW1223" s="22">
        <v>0</v>
      </c>
      <c r="AX1223" s="22">
        <v>0</v>
      </c>
      <c r="AY1223" s="22">
        <v>1</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78A38-E4AC-DC49-8796-F44D8AD9ADC4}">
  <dimension ref="A1:BH144"/>
  <sheetViews>
    <sheetView topLeftCell="AJ121" zoomScale="75" workbookViewId="0">
      <selection activeCell="S143" sqref="A143:XFD143"/>
    </sheetView>
  </sheetViews>
  <sheetFormatPr baseColWidth="10" defaultRowHeight="16"/>
  <cols>
    <col min="1" max="1" width="31.83203125" customWidth="1"/>
  </cols>
  <sheetData>
    <row r="1" spans="1:60" s="20" customFormat="1" ht="151.5" customHeight="1">
      <c r="A1" s="7" t="s">
        <v>98</v>
      </c>
      <c r="B1" s="7" t="s">
        <v>99</v>
      </c>
      <c r="C1" s="7" t="s">
        <v>100</v>
      </c>
      <c r="D1" s="7" t="s">
        <v>101</v>
      </c>
      <c r="E1" s="7" t="s">
        <v>59</v>
      </c>
      <c r="F1" s="8" t="s">
        <v>102</v>
      </c>
      <c r="G1" s="7" t="s">
        <v>103</v>
      </c>
      <c r="H1" s="8" t="s">
        <v>104</v>
      </c>
      <c r="I1" s="7" t="s">
        <v>0</v>
      </c>
      <c r="J1" s="7" t="s">
        <v>1</v>
      </c>
      <c r="K1" s="7" t="s">
        <v>105</v>
      </c>
      <c r="L1" s="7" t="s">
        <v>106</v>
      </c>
      <c r="M1" s="7" t="s">
        <v>107</v>
      </c>
      <c r="N1" s="7" t="s">
        <v>108</v>
      </c>
      <c r="O1" s="7" t="s">
        <v>109</v>
      </c>
      <c r="P1" s="9" t="s">
        <v>110</v>
      </c>
      <c r="Q1" s="10" t="s">
        <v>111</v>
      </c>
      <c r="R1" s="10" t="s">
        <v>112</v>
      </c>
      <c r="S1" s="10" t="s">
        <v>113</v>
      </c>
      <c r="T1" s="10" t="s">
        <v>114</v>
      </c>
      <c r="U1" s="10" t="s">
        <v>115</v>
      </c>
      <c r="V1" s="10" t="s">
        <v>116</v>
      </c>
      <c r="W1" s="11" t="s">
        <v>117</v>
      </c>
      <c r="X1" s="11" t="s">
        <v>118</v>
      </c>
      <c r="Y1" s="12" t="s">
        <v>119</v>
      </c>
      <c r="Z1" s="13" t="s">
        <v>120</v>
      </c>
      <c r="AA1" s="13" t="s">
        <v>121</v>
      </c>
      <c r="AB1" s="14" t="s">
        <v>122</v>
      </c>
      <c r="AC1" s="14" t="s">
        <v>123</v>
      </c>
      <c r="AD1" s="14" t="s">
        <v>124</v>
      </c>
      <c r="AE1" s="14" t="s">
        <v>125</v>
      </c>
      <c r="AF1" s="14" t="s">
        <v>126</v>
      </c>
      <c r="AG1" s="14" t="s">
        <v>127</v>
      </c>
      <c r="AH1" s="15" t="s">
        <v>128</v>
      </c>
      <c r="AI1" s="15" t="s">
        <v>129</v>
      </c>
      <c r="AJ1" s="16" t="s">
        <v>130</v>
      </c>
      <c r="AK1" s="16" t="s">
        <v>131</v>
      </c>
      <c r="AL1" s="17" t="s">
        <v>132</v>
      </c>
      <c r="AM1" s="18" t="s">
        <v>133</v>
      </c>
      <c r="AN1" s="18" t="s">
        <v>134</v>
      </c>
      <c r="AO1" s="18" t="s">
        <v>135</v>
      </c>
      <c r="AP1" s="18" t="s">
        <v>136</v>
      </c>
      <c r="AQ1" s="18" t="s">
        <v>137</v>
      </c>
      <c r="AR1" s="6" t="s">
        <v>138</v>
      </c>
      <c r="AS1" s="6" t="s">
        <v>139</v>
      </c>
      <c r="AT1" s="6" t="s">
        <v>140</v>
      </c>
      <c r="AU1" s="6" t="s">
        <v>90</v>
      </c>
      <c r="AV1" s="6" t="s">
        <v>141</v>
      </c>
      <c r="AW1" s="6" t="s">
        <v>94</v>
      </c>
      <c r="AX1" s="6" t="s">
        <v>95</v>
      </c>
      <c r="AY1" s="6" t="s">
        <v>96</v>
      </c>
      <c r="AZ1" s="19" t="s">
        <v>142</v>
      </c>
      <c r="BA1" s="19" t="s">
        <v>143</v>
      </c>
      <c r="BB1" s="19" t="s">
        <v>144</v>
      </c>
      <c r="BC1" s="19" t="s">
        <v>145</v>
      </c>
      <c r="BD1" s="19" t="s">
        <v>146</v>
      </c>
      <c r="BE1" s="19" t="s">
        <v>147</v>
      </c>
      <c r="BF1" s="70" t="s">
        <v>3572</v>
      </c>
      <c r="BG1" s="71" t="s">
        <v>3575</v>
      </c>
      <c r="BH1" s="70" t="s">
        <v>3723</v>
      </c>
    </row>
    <row r="2" spans="1:60" s="22" customFormat="1" ht="14">
      <c r="A2" s="21" t="s">
        <v>173</v>
      </c>
      <c r="B2" s="22" t="s">
        <v>149</v>
      </c>
      <c r="C2" s="22" t="s">
        <v>150</v>
      </c>
      <c r="D2" s="23" t="s">
        <v>151</v>
      </c>
      <c r="E2" s="22" t="s">
        <v>61</v>
      </c>
      <c r="F2" s="22" t="s">
        <v>152</v>
      </c>
      <c r="G2" s="20" t="s">
        <v>164</v>
      </c>
      <c r="H2" s="26" t="s">
        <v>165</v>
      </c>
      <c r="I2" s="22" t="s">
        <v>32</v>
      </c>
      <c r="J2" s="21" t="s">
        <v>174</v>
      </c>
      <c r="K2" s="21" t="s">
        <v>175</v>
      </c>
      <c r="L2" s="21" t="s">
        <v>176</v>
      </c>
      <c r="N2" s="22" t="s">
        <v>177</v>
      </c>
      <c r="O2" s="22" t="s">
        <v>158</v>
      </c>
      <c r="P2" s="22">
        <v>10770</v>
      </c>
      <c r="Q2" s="21">
        <v>5.2</v>
      </c>
      <c r="R2" s="21">
        <v>5.2</v>
      </c>
      <c r="S2" s="21">
        <v>5.2</v>
      </c>
      <c r="T2" s="21" t="s">
        <v>159</v>
      </c>
      <c r="U2" s="21">
        <v>1</v>
      </c>
      <c r="V2" s="21">
        <v>1</v>
      </c>
      <c r="W2" s="24">
        <f t="shared" ref="W2:W12" si="0">(4*3.14*(((Q2^1.6*R2^1.6+Q2^1.6*S2^1.6+R2^1.6+S2^1.6)/3)^(1/1.6)))*(1/V2)</f>
        <v>275.22513611887194</v>
      </c>
      <c r="X2" s="24">
        <f t="shared" ref="X2:X12" si="1">3.14/6*Q2*R2*S2*U2</f>
        <v>73.584853333333342</v>
      </c>
      <c r="Y2" s="21">
        <v>19</v>
      </c>
      <c r="Z2" s="24">
        <f t="shared" ref="Z2:Z21" si="2">Y2*W2</f>
        <v>5229.2775862585668</v>
      </c>
      <c r="AA2" s="24">
        <f t="shared" ref="AA2:AA21" si="3">Y2*X2</f>
        <v>1398.1122133333336</v>
      </c>
      <c r="AB2" s="21">
        <v>100</v>
      </c>
      <c r="AC2" s="21">
        <v>5.2</v>
      </c>
      <c r="AD2" s="21">
        <v>5.2</v>
      </c>
      <c r="AE2" s="21" t="s">
        <v>160</v>
      </c>
      <c r="AF2" s="21">
        <v>1</v>
      </c>
      <c r="AG2" s="21">
        <v>1</v>
      </c>
      <c r="AH2" s="24">
        <f t="shared" ref="AH2:AH9" si="4">3.14*AC2*AB2+2*3.14*(AD2/2)^2/AG2</f>
        <v>1675.2528000000002</v>
      </c>
      <c r="AI2" s="25">
        <f t="shared" ref="AI2:AI9" si="5">(3.14/4*AC2^2*AB2)*AF2</f>
        <v>2122.6400000000003</v>
      </c>
      <c r="AJ2" s="21">
        <v>2123.6999999999998</v>
      </c>
      <c r="AK2" s="21">
        <v>100</v>
      </c>
      <c r="AL2" s="22" t="s">
        <v>161</v>
      </c>
      <c r="AM2" s="22">
        <v>0.22</v>
      </c>
      <c r="AO2" s="22" t="s">
        <v>168</v>
      </c>
      <c r="AP2" s="22" t="s">
        <v>169</v>
      </c>
      <c r="AQ2" s="22" t="str">
        <f t="shared" ref="AQ2:AQ21" si="6">IF(AND($AK2&lt;20,AJ2&lt;10000),"Nanophytoplankton","Microphytoplankton")</f>
        <v>Microphytoplankton</v>
      </c>
      <c r="AR2" s="22">
        <v>0</v>
      </c>
      <c r="AS2" s="22">
        <v>0</v>
      </c>
      <c r="AT2" s="22">
        <v>0</v>
      </c>
      <c r="AU2" s="22">
        <v>1</v>
      </c>
      <c r="AV2" s="22">
        <v>1</v>
      </c>
      <c r="AW2" s="22">
        <v>0</v>
      </c>
      <c r="AX2" s="22">
        <v>0</v>
      </c>
      <c r="AY2" s="22">
        <v>1</v>
      </c>
      <c r="BF2" s="22">
        <v>1</v>
      </c>
      <c r="BG2" s="22">
        <v>0</v>
      </c>
      <c r="BH2" s="22">
        <f>X2/W2</f>
        <v>0.26736240145431867</v>
      </c>
    </row>
    <row r="3" spans="1:60" s="22" customFormat="1" ht="14">
      <c r="A3" s="21" t="s">
        <v>178</v>
      </c>
      <c r="B3" s="22" t="s">
        <v>149</v>
      </c>
      <c r="C3" s="22" t="s">
        <v>150</v>
      </c>
      <c r="D3" s="23" t="s">
        <v>151</v>
      </c>
      <c r="E3" s="22" t="s">
        <v>61</v>
      </c>
      <c r="F3" s="22" t="s">
        <v>152</v>
      </c>
      <c r="G3" s="20" t="s">
        <v>164</v>
      </c>
      <c r="H3" s="26" t="s">
        <v>165</v>
      </c>
      <c r="I3" s="22" t="s">
        <v>32</v>
      </c>
      <c r="J3" s="21" t="s">
        <v>174</v>
      </c>
      <c r="K3" s="21"/>
      <c r="L3" s="21"/>
      <c r="N3" s="22" t="s">
        <v>179</v>
      </c>
      <c r="O3" s="22" t="s">
        <v>158</v>
      </c>
      <c r="P3" s="22">
        <v>10771</v>
      </c>
      <c r="Q3" s="21">
        <v>5.2</v>
      </c>
      <c r="R3" s="21">
        <v>5.2</v>
      </c>
      <c r="S3" s="21">
        <v>5.2</v>
      </c>
      <c r="T3" s="21" t="s">
        <v>159</v>
      </c>
      <c r="U3" s="21">
        <v>1</v>
      </c>
      <c r="V3" s="21">
        <v>1</v>
      </c>
      <c r="W3" s="24">
        <f t="shared" si="0"/>
        <v>275.22513611887194</v>
      </c>
      <c r="X3" s="24">
        <f t="shared" si="1"/>
        <v>73.584853333333342</v>
      </c>
      <c r="Y3" s="21">
        <v>19</v>
      </c>
      <c r="Z3" s="24">
        <f t="shared" si="2"/>
        <v>5229.2775862585668</v>
      </c>
      <c r="AA3" s="24">
        <f t="shared" si="3"/>
        <v>1398.1122133333336</v>
      </c>
      <c r="AB3" s="21">
        <v>100</v>
      </c>
      <c r="AC3" s="21">
        <v>5.2</v>
      </c>
      <c r="AD3" s="21">
        <v>5.2</v>
      </c>
      <c r="AE3" s="21" t="s">
        <v>160</v>
      </c>
      <c r="AF3" s="21">
        <v>1</v>
      </c>
      <c r="AG3" s="21">
        <v>1</v>
      </c>
      <c r="AH3" s="24">
        <f t="shared" si="4"/>
        <v>1675.2528000000002</v>
      </c>
      <c r="AI3" s="25">
        <f t="shared" si="5"/>
        <v>2122.6400000000003</v>
      </c>
      <c r="AJ3" s="21">
        <v>2123.6999999999998</v>
      </c>
      <c r="AK3" s="21">
        <v>100</v>
      </c>
      <c r="AL3" s="22" t="s">
        <v>161</v>
      </c>
      <c r="AM3" s="22">
        <v>0.22</v>
      </c>
      <c r="AO3" s="22" t="s">
        <v>168</v>
      </c>
      <c r="AP3" s="22" t="s">
        <v>169</v>
      </c>
      <c r="AQ3" s="22" t="str">
        <f t="shared" si="6"/>
        <v>Microphytoplankton</v>
      </c>
      <c r="AR3" s="22">
        <v>0</v>
      </c>
      <c r="AS3" s="22">
        <v>0</v>
      </c>
      <c r="AT3" s="22">
        <v>0</v>
      </c>
      <c r="AU3" s="22">
        <v>1</v>
      </c>
      <c r="AV3" s="22">
        <v>1</v>
      </c>
      <c r="AW3" s="22">
        <v>0</v>
      </c>
      <c r="AX3" s="22">
        <v>0</v>
      </c>
      <c r="AY3" s="22">
        <v>1</v>
      </c>
      <c r="BF3" s="22">
        <v>1</v>
      </c>
      <c r="BG3" s="22">
        <v>0</v>
      </c>
      <c r="BH3" s="22">
        <f t="shared" ref="BH3:BH66" si="7">X3/W3</f>
        <v>0.26736240145431867</v>
      </c>
    </row>
    <row r="4" spans="1:60" s="22" customFormat="1" ht="14">
      <c r="A4" s="22" t="s">
        <v>213</v>
      </c>
      <c r="B4" s="22" t="s">
        <v>149</v>
      </c>
      <c r="C4" s="22" t="s">
        <v>150</v>
      </c>
      <c r="D4" s="23" t="s">
        <v>151</v>
      </c>
      <c r="E4" s="22" t="s">
        <v>61</v>
      </c>
      <c r="F4" s="22" t="s">
        <v>152</v>
      </c>
      <c r="G4" s="20" t="s">
        <v>164</v>
      </c>
      <c r="H4" s="26" t="s">
        <v>165</v>
      </c>
      <c r="I4" s="22" t="s">
        <v>32</v>
      </c>
      <c r="J4" s="22" t="s">
        <v>214</v>
      </c>
      <c r="N4" s="22" t="s">
        <v>199</v>
      </c>
      <c r="O4" s="22" t="s">
        <v>158</v>
      </c>
      <c r="P4" s="21">
        <v>10737</v>
      </c>
      <c r="Q4" s="22">
        <v>7</v>
      </c>
      <c r="R4" s="22">
        <v>7</v>
      </c>
      <c r="S4" s="22">
        <v>7</v>
      </c>
      <c r="T4" s="21" t="s">
        <v>159</v>
      </c>
      <c r="U4" s="21">
        <v>1</v>
      </c>
      <c r="V4" s="21">
        <v>1</v>
      </c>
      <c r="W4" s="24">
        <f t="shared" si="0"/>
        <v>490.83181458055361</v>
      </c>
      <c r="X4" s="24">
        <f t="shared" si="1"/>
        <v>179.50333333333333</v>
      </c>
      <c r="Y4" s="22">
        <v>14</v>
      </c>
      <c r="Z4" s="24">
        <f t="shared" si="2"/>
        <v>6871.6454041277502</v>
      </c>
      <c r="AA4" s="24">
        <f t="shared" si="3"/>
        <v>2513.0466666666666</v>
      </c>
      <c r="AB4" s="22">
        <v>100</v>
      </c>
      <c r="AC4" s="22">
        <v>7</v>
      </c>
      <c r="AD4" s="22">
        <v>7</v>
      </c>
      <c r="AE4" s="21" t="s">
        <v>160</v>
      </c>
      <c r="AF4" s="21">
        <v>1</v>
      </c>
      <c r="AG4" s="22">
        <v>1</v>
      </c>
      <c r="AH4" s="24">
        <f t="shared" si="4"/>
        <v>2274.9299999999998</v>
      </c>
      <c r="AI4" s="25">
        <f t="shared" si="5"/>
        <v>3846.5000000000005</v>
      </c>
      <c r="AJ4" s="21">
        <v>3846.5000000000005</v>
      </c>
      <c r="AK4" s="21">
        <v>100</v>
      </c>
      <c r="AL4" s="22" t="s">
        <v>161</v>
      </c>
      <c r="AM4" s="22">
        <v>0.22</v>
      </c>
      <c r="AN4" s="22" t="s">
        <v>168</v>
      </c>
      <c r="AO4" s="22" t="s">
        <v>168</v>
      </c>
      <c r="AP4" s="22" t="s">
        <v>169</v>
      </c>
      <c r="AQ4" s="22" t="str">
        <f t="shared" si="6"/>
        <v>Microphytoplankton</v>
      </c>
      <c r="AR4" s="22">
        <v>0</v>
      </c>
      <c r="AS4" s="22">
        <v>0</v>
      </c>
      <c r="AT4" s="22">
        <v>0</v>
      </c>
      <c r="AU4" s="22">
        <v>1</v>
      </c>
      <c r="AV4" s="22">
        <v>1</v>
      </c>
      <c r="AW4" s="22">
        <v>0</v>
      </c>
      <c r="AX4" s="22">
        <v>0</v>
      </c>
      <c r="AY4" s="22">
        <v>1</v>
      </c>
      <c r="BF4" s="22">
        <v>1</v>
      </c>
      <c r="BG4" s="22">
        <v>0</v>
      </c>
      <c r="BH4" s="22">
        <f t="shared" si="7"/>
        <v>0.36571250681199247</v>
      </c>
    </row>
    <row r="5" spans="1:60" s="22" customFormat="1" ht="14">
      <c r="A5" s="22" t="s">
        <v>215</v>
      </c>
      <c r="B5" s="22" t="s">
        <v>149</v>
      </c>
      <c r="C5" s="22" t="s">
        <v>150</v>
      </c>
      <c r="D5" s="23" t="s">
        <v>151</v>
      </c>
      <c r="E5" s="22" t="s">
        <v>61</v>
      </c>
      <c r="F5" s="22" t="s">
        <v>152</v>
      </c>
      <c r="G5" s="20" t="s">
        <v>164</v>
      </c>
      <c r="H5" s="26" t="s">
        <v>165</v>
      </c>
      <c r="I5" s="22" t="s">
        <v>32</v>
      </c>
      <c r="J5" s="22" t="s">
        <v>214</v>
      </c>
      <c r="K5" s="22" t="s">
        <v>184</v>
      </c>
      <c r="L5" s="22" t="s">
        <v>216</v>
      </c>
      <c r="N5" s="22" t="s">
        <v>217</v>
      </c>
      <c r="O5" s="22" t="s">
        <v>158</v>
      </c>
      <c r="P5" s="21">
        <v>10738</v>
      </c>
      <c r="Q5" s="22">
        <v>7</v>
      </c>
      <c r="R5" s="22">
        <v>7</v>
      </c>
      <c r="S5" s="22">
        <v>7</v>
      </c>
      <c r="T5" s="21" t="s">
        <v>159</v>
      </c>
      <c r="U5" s="21">
        <v>1</v>
      </c>
      <c r="V5" s="21">
        <v>1</v>
      </c>
      <c r="W5" s="24">
        <f t="shared" si="0"/>
        <v>490.83181458055361</v>
      </c>
      <c r="X5" s="24">
        <f t="shared" si="1"/>
        <v>179.50333333333333</v>
      </c>
      <c r="Y5" s="22">
        <v>14</v>
      </c>
      <c r="Z5" s="24">
        <f t="shared" si="2"/>
        <v>6871.6454041277502</v>
      </c>
      <c r="AA5" s="24">
        <f t="shared" si="3"/>
        <v>2513.0466666666666</v>
      </c>
      <c r="AB5" s="22">
        <v>100</v>
      </c>
      <c r="AC5" s="22">
        <v>7</v>
      </c>
      <c r="AD5" s="22">
        <v>7</v>
      </c>
      <c r="AE5" s="21" t="s">
        <v>160</v>
      </c>
      <c r="AF5" s="21">
        <v>1</v>
      </c>
      <c r="AG5" s="22">
        <v>1</v>
      </c>
      <c r="AH5" s="24">
        <f t="shared" si="4"/>
        <v>2274.9299999999998</v>
      </c>
      <c r="AI5" s="25">
        <f t="shared" si="5"/>
        <v>3846.5000000000005</v>
      </c>
      <c r="AJ5" s="21">
        <v>3846.5000000000005</v>
      </c>
      <c r="AK5" s="21">
        <v>100</v>
      </c>
      <c r="AL5" s="22" t="s">
        <v>161</v>
      </c>
      <c r="AM5" s="22">
        <v>0.22</v>
      </c>
      <c r="AN5" s="22" t="s">
        <v>168</v>
      </c>
      <c r="AO5" s="22" t="s">
        <v>168</v>
      </c>
      <c r="AP5" s="22" t="s">
        <v>169</v>
      </c>
      <c r="AQ5" s="22" t="str">
        <f t="shared" si="6"/>
        <v>Microphytoplankton</v>
      </c>
      <c r="AR5" s="22">
        <v>0</v>
      </c>
      <c r="AS5" s="22">
        <v>0</v>
      </c>
      <c r="AT5" s="22">
        <v>0</v>
      </c>
      <c r="AU5" s="22">
        <v>1</v>
      </c>
      <c r="AV5" s="22">
        <v>1</v>
      </c>
      <c r="AW5" s="22">
        <v>0</v>
      </c>
      <c r="AX5" s="22">
        <v>0</v>
      </c>
      <c r="AY5" s="22">
        <v>1</v>
      </c>
      <c r="BF5" s="22">
        <v>1</v>
      </c>
      <c r="BG5" s="22">
        <v>0</v>
      </c>
      <c r="BH5" s="22">
        <f t="shared" si="7"/>
        <v>0.36571250681199247</v>
      </c>
    </row>
    <row r="6" spans="1:60" s="22" customFormat="1" ht="13">
      <c r="A6" s="43" t="s">
        <v>3525</v>
      </c>
      <c r="D6" s="23"/>
      <c r="G6" s="20"/>
      <c r="H6" s="26"/>
      <c r="J6" s="21"/>
      <c r="K6" s="21"/>
      <c r="L6" s="21"/>
      <c r="Q6" s="21"/>
      <c r="R6" s="21"/>
      <c r="S6" s="21"/>
      <c r="T6" s="21"/>
      <c r="U6" s="21"/>
      <c r="V6" s="21"/>
      <c r="W6" s="24"/>
      <c r="X6" s="24"/>
      <c r="Y6" s="21"/>
      <c r="Z6" s="24"/>
      <c r="AA6" s="24"/>
      <c r="AB6" s="21"/>
      <c r="AC6" s="21"/>
      <c r="AD6" s="21"/>
      <c r="AE6" s="21"/>
      <c r="AF6" s="21"/>
      <c r="AG6" s="21"/>
      <c r="AH6" s="24"/>
      <c r="AI6" s="25"/>
      <c r="AJ6" s="21"/>
      <c r="AK6" s="21"/>
    </row>
    <row r="7" spans="1:60" s="22" customFormat="1" ht="13">
      <c r="A7" s="21"/>
      <c r="D7" s="23"/>
      <c r="G7" s="20"/>
      <c r="H7" s="26"/>
      <c r="J7" s="21"/>
      <c r="K7" s="21"/>
      <c r="L7" s="21"/>
      <c r="Q7" s="21"/>
      <c r="R7" s="21"/>
      <c r="S7" s="21"/>
      <c r="T7" s="21"/>
      <c r="U7" s="21"/>
      <c r="V7" s="21"/>
      <c r="W7" s="24"/>
      <c r="X7" s="24"/>
      <c r="Y7" s="21"/>
      <c r="Z7" s="24"/>
      <c r="AA7" s="24"/>
      <c r="AB7" s="21"/>
      <c r="AC7" s="21"/>
      <c r="AD7" s="21"/>
      <c r="AE7" s="21"/>
      <c r="AF7" s="21"/>
      <c r="AG7" s="21"/>
      <c r="AH7" s="24"/>
      <c r="AI7" s="25"/>
      <c r="AJ7" s="21"/>
      <c r="AK7" s="21"/>
    </row>
    <row r="8" spans="1:60" s="22" customFormat="1" ht="14">
      <c r="A8" s="21" t="s">
        <v>218</v>
      </c>
      <c r="B8" s="22" t="s">
        <v>149</v>
      </c>
      <c r="C8" s="22" t="s">
        <v>150</v>
      </c>
      <c r="D8" s="23" t="s">
        <v>151</v>
      </c>
      <c r="E8" s="22" t="s">
        <v>61</v>
      </c>
      <c r="F8" s="22" t="s">
        <v>152</v>
      </c>
      <c r="G8" s="20" t="s">
        <v>164</v>
      </c>
      <c r="H8" s="26" t="s">
        <v>165</v>
      </c>
      <c r="I8" s="22" t="s">
        <v>33</v>
      </c>
      <c r="J8" s="22" t="s">
        <v>219</v>
      </c>
      <c r="N8" s="22" t="s">
        <v>220</v>
      </c>
      <c r="O8" s="22" t="s">
        <v>158</v>
      </c>
      <c r="P8" s="21">
        <v>10810</v>
      </c>
      <c r="Q8" s="21">
        <v>5</v>
      </c>
      <c r="R8" s="21">
        <v>5</v>
      </c>
      <c r="S8" s="21">
        <v>5</v>
      </c>
      <c r="T8" s="21" t="s">
        <v>159</v>
      </c>
      <c r="U8" s="21">
        <v>1</v>
      </c>
      <c r="V8" s="21">
        <v>1</v>
      </c>
      <c r="W8" s="24">
        <f t="shared" si="0"/>
        <v>255.14798814971115</v>
      </c>
      <c r="X8" s="24">
        <f t="shared" si="1"/>
        <v>65.416666666666671</v>
      </c>
      <c r="Y8" s="21">
        <f>AB8/5</f>
        <v>20</v>
      </c>
      <c r="Z8" s="24">
        <f t="shared" si="2"/>
        <v>5102.9597629942227</v>
      </c>
      <c r="AA8" s="24">
        <f t="shared" si="3"/>
        <v>1308.3333333333335</v>
      </c>
      <c r="AB8" s="21">
        <v>100</v>
      </c>
      <c r="AC8" s="21">
        <v>5</v>
      </c>
      <c r="AD8" s="21">
        <v>5</v>
      </c>
      <c r="AE8" s="21" t="s">
        <v>160</v>
      </c>
      <c r="AF8" s="21">
        <v>1</v>
      </c>
      <c r="AG8" s="21">
        <v>1</v>
      </c>
      <c r="AH8" s="24">
        <f t="shared" si="4"/>
        <v>1609.25</v>
      </c>
      <c r="AI8" s="25">
        <f t="shared" si="5"/>
        <v>1962.5</v>
      </c>
      <c r="AJ8" s="21">
        <v>1963</v>
      </c>
      <c r="AK8" s="21">
        <v>100</v>
      </c>
      <c r="AL8" s="22" t="s">
        <v>161</v>
      </c>
      <c r="AM8" s="22">
        <v>0.22</v>
      </c>
      <c r="AN8" s="22" t="s">
        <v>168</v>
      </c>
      <c r="AO8" s="22" t="s">
        <v>168</v>
      </c>
      <c r="AP8" s="22" t="s">
        <v>169</v>
      </c>
      <c r="AQ8" s="22" t="str">
        <f t="shared" si="6"/>
        <v>Microphytoplankton</v>
      </c>
      <c r="AR8" s="22">
        <v>0</v>
      </c>
      <c r="AS8" s="22">
        <v>0</v>
      </c>
      <c r="AT8" s="22">
        <v>0</v>
      </c>
      <c r="AU8" s="22">
        <v>1</v>
      </c>
      <c r="AV8" s="22">
        <v>1</v>
      </c>
      <c r="AW8" s="22">
        <v>0</v>
      </c>
      <c r="AX8" s="22">
        <v>0</v>
      </c>
      <c r="AY8" s="22">
        <v>1</v>
      </c>
      <c r="AZ8" s="22">
        <v>0</v>
      </c>
      <c r="BA8" s="22">
        <v>0</v>
      </c>
      <c r="BB8" s="22">
        <v>0</v>
      </c>
      <c r="BC8" s="22">
        <v>1</v>
      </c>
      <c r="BD8" s="22">
        <v>4</v>
      </c>
      <c r="BE8" s="22">
        <v>5</v>
      </c>
      <c r="BF8" s="22">
        <v>1</v>
      </c>
      <c r="BG8" s="22">
        <v>0</v>
      </c>
      <c r="BH8" s="22">
        <f t="shared" si="7"/>
        <v>0.25638715453355898</v>
      </c>
    </row>
    <row r="9" spans="1:60" s="22" customFormat="1" ht="14">
      <c r="A9" s="22" t="s">
        <v>221</v>
      </c>
      <c r="B9" s="22" t="s">
        <v>149</v>
      </c>
      <c r="C9" s="22" t="s">
        <v>150</v>
      </c>
      <c r="D9" s="23" t="s">
        <v>151</v>
      </c>
      <c r="E9" s="22" t="s">
        <v>61</v>
      </c>
      <c r="F9" s="22" t="s">
        <v>152</v>
      </c>
      <c r="G9" s="20" t="s">
        <v>164</v>
      </c>
      <c r="H9" s="26" t="s">
        <v>165</v>
      </c>
      <c r="I9" s="22" t="s">
        <v>33</v>
      </c>
      <c r="J9" s="22" t="s">
        <v>219</v>
      </c>
      <c r="K9" s="22" t="s">
        <v>175</v>
      </c>
      <c r="L9" s="22" t="s">
        <v>222</v>
      </c>
      <c r="N9" s="22" t="s">
        <v>167</v>
      </c>
      <c r="O9" s="22" t="s">
        <v>158</v>
      </c>
      <c r="P9" s="21">
        <v>10811</v>
      </c>
      <c r="Q9" s="22">
        <v>5</v>
      </c>
      <c r="R9" s="22">
        <v>3.5</v>
      </c>
      <c r="S9" s="22">
        <v>3.5</v>
      </c>
      <c r="T9" s="21" t="s">
        <v>159</v>
      </c>
      <c r="U9" s="21">
        <v>1</v>
      </c>
      <c r="V9" s="21">
        <v>1</v>
      </c>
      <c r="W9" s="24">
        <f t="shared" si="0"/>
        <v>178.60359170479779</v>
      </c>
      <c r="X9" s="24">
        <f t="shared" si="1"/>
        <v>32.054166666666667</v>
      </c>
      <c r="Y9" s="21">
        <f>AB9/5</f>
        <v>20</v>
      </c>
      <c r="Z9" s="24">
        <f t="shared" si="2"/>
        <v>3572.0718340959556</v>
      </c>
      <c r="AA9" s="24">
        <f t="shared" si="3"/>
        <v>641.08333333333337</v>
      </c>
      <c r="AB9" s="22">
        <v>100</v>
      </c>
      <c r="AC9" s="22">
        <v>3.5</v>
      </c>
      <c r="AD9" s="22">
        <v>3.5</v>
      </c>
      <c r="AE9" s="21" t="s">
        <v>160</v>
      </c>
      <c r="AF9" s="21">
        <v>1</v>
      </c>
      <c r="AG9" s="21">
        <v>1</v>
      </c>
      <c r="AH9" s="24">
        <f t="shared" si="4"/>
        <v>1118.2325000000001</v>
      </c>
      <c r="AI9" s="25">
        <f t="shared" si="5"/>
        <v>961.62500000000011</v>
      </c>
      <c r="AJ9" s="21">
        <v>961.62500000000011</v>
      </c>
      <c r="AK9" s="21">
        <v>100</v>
      </c>
      <c r="AL9" s="22" t="s">
        <v>161</v>
      </c>
      <c r="AM9" s="22">
        <v>0.22</v>
      </c>
      <c r="AN9" s="22" t="s">
        <v>168</v>
      </c>
      <c r="AO9" s="22" t="s">
        <v>168</v>
      </c>
      <c r="AP9" s="22" t="s">
        <v>169</v>
      </c>
      <c r="AQ9" s="22" t="str">
        <f t="shared" si="6"/>
        <v>Microphytoplankton</v>
      </c>
      <c r="AR9" s="22">
        <v>0</v>
      </c>
      <c r="AS9" s="22">
        <v>0</v>
      </c>
      <c r="AT9" s="22">
        <v>0</v>
      </c>
      <c r="AU9" s="22">
        <v>1</v>
      </c>
      <c r="AV9" s="22">
        <v>1</v>
      </c>
      <c r="AW9" s="22">
        <v>0</v>
      </c>
      <c r="AX9" s="22">
        <v>0</v>
      </c>
      <c r="AY9" s="22">
        <v>1</v>
      </c>
      <c r="BF9" s="22">
        <v>1</v>
      </c>
      <c r="BG9" s="22">
        <v>0</v>
      </c>
      <c r="BH9" s="22">
        <f t="shared" si="7"/>
        <v>0.17947100817349129</v>
      </c>
    </row>
    <row r="10" spans="1:60" s="22" customFormat="1" ht="13">
      <c r="D10" s="23"/>
      <c r="G10" s="20"/>
      <c r="H10" s="26"/>
      <c r="P10" s="21"/>
      <c r="T10" s="21"/>
      <c r="U10" s="21"/>
      <c r="V10" s="21"/>
      <c r="W10" s="24"/>
      <c r="X10" s="24"/>
      <c r="Y10" s="21"/>
      <c r="Z10" s="24"/>
      <c r="AA10" s="24"/>
      <c r="AE10" s="21"/>
      <c r="AF10" s="21"/>
      <c r="AG10" s="21"/>
      <c r="AH10" s="24"/>
      <c r="AI10" s="25"/>
      <c r="AJ10" s="21"/>
      <c r="AK10" s="21"/>
    </row>
    <row r="11" spans="1:60" s="22" customFormat="1" ht="13">
      <c r="A11" s="22" t="s">
        <v>237</v>
      </c>
      <c r="B11" s="22" t="s">
        <v>149</v>
      </c>
      <c r="C11" s="22" t="s">
        <v>150</v>
      </c>
      <c r="D11" s="23" t="s">
        <v>151</v>
      </c>
      <c r="E11" s="22" t="s">
        <v>61</v>
      </c>
      <c r="F11" s="22" t="s">
        <v>152</v>
      </c>
      <c r="G11" s="22" t="s">
        <v>60</v>
      </c>
      <c r="H11" s="22" t="s">
        <v>226</v>
      </c>
      <c r="I11" s="22" t="s">
        <v>34</v>
      </c>
      <c r="J11" s="22" t="s">
        <v>238</v>
      </c>
      <c r="N11" s="22" t="s">
        <v>239</v>
      </c>
      <c r="O11" s="22" t="s">
        <v>158</v>
      </c>
      <c r="P11" s="22">
        <v>10670</v>
      </c>
      <c r="Q11" s="21">
        <v>0.75</v>
      </c>
      <c r="R11" s="21">
        <v>0.75</v>
      </c>
      <c r="S11" s="21">
        <v>0.75</v>
      </c>
      <c r="T11" s="21" t="s">
        <v>159</v>
      </c>
      <c r="U11" s="21">
        <v>1</v>
      </c>
      <c r="V11" s="21">
        <v>1</v>
      </c>
      <c r="W11" s="24">
        <f t="shared" si="0"/>
        <v>9.9264553816794727</v>
      </c>
      <c r="X11" s="24">
        <f t="shared" si="1"/>
        <v>0.22078124999999996</v>
      </c>
      <c r="Y11" s="21">
        <v>4000</v>
      </c>
      <c r="Z11" s="24">
        <f t="shared" si="2"/>
        <v>39705.821526717889</v>
      </c>
      <c r="AA11" s="24">
        <f t="shared" si="3"/>
        <v>883.12499999999977</v>
      </c>
      <c r="AB11" s="21">
        <v>70</v>
      </c>
      <c r="AC11" s="21">
        <v>70</v>
      </c>
      <c r="AD11" s="21">
        <v>70</v>
      </c>
      <c r="AE11" s="21" t="s">
        <v>159</v>
      </c>
      <c r="AF11" s="21">
        <v>0.1</v>
      </c>
      <c r="AG11" s="22">
        <v>1</v>
      </c>
      <c r="AH11" s="24">
        <f>(4*3.14*(((AB11^1.6*AC11^1.6+AB11^1.6*AD11^1.6+AC11^1.6+AD11^1.6)/3)^(1/1.6)))*(1/AG11)</f>
        <v>47800.40306583116</v>
      </c>
      <c r="AI11" s="24">
        <f>3.14/6*AB11*AC11*AD11*AF11</f>
        <v>17950.333333333336</v>
      </c>
      <c r="AJ11" s="21">
        <v>17950.333333333332</v>
      </c>
      <c r="AK11" s="21">
        <v>70</v>
      </c>
      <c r="AL11" s="22" t="s">
        <v>161</v>
      </c>
      <c r="AM11" s="22">
        <v>0.22</v>
      </c>
      <c r="AN11" s="22" t="s">
        <v>229</v>
      </c>
      <c r="AO11" s="22" t="s">
        <v>229</v>
      </c>
      <c r="AP11" s="22" t="s">
        <v>230</v>
      </c>
      <c r="AQ11" s="22" t="str">
        <f t="shared" si="6"/>
        <v>Microphytoplankton</v>
      </c>
      <c r="AR11" s="22">
        <v>0</v>
      </c>
      <c r="AS11" s="22">
        <v>0</v>
      </c>
      <c r="AT11" s="22">
        <v>0</v>
      </c>
      <c r="AU11" s="22">
        <v>1</v>
      </c>
      <c r="AV11" s="22">
        <v>0</v>
      </c>
      <c r="AW11" s="22">
        <v>0</v>
      </c>
      <c r="AX11" s="22">
        <v>0</v>
      </c>
      <c r="AY11" s="22">
        <v>1</v>
      </c>
      <c r="BF11" s="22">
        <v>0</v>
      </c>
      <c r="BG11" s="22">
        <v>0</v>
      </c>
      <c r="BH11" s="22">
        <f t="shared" si="7"/>
        <v>2.2241700739166131E-2</v>
      </c>
    </row>
    <row r="12" spans="1:60" s="22" customFormat="1" ht="13">
      <c r="A12" s="22" t="s">
        <v>240</v>
      </c>
      <c r="B12" s="22" t="s">
        <v>149</v>
      </c>
      <c r="C12" s="22" t="s">
        <v>150</v>
      </c>
      <c r="D12" s="23" t="s">
        <v>151</v>
      </c>
      <c r="E12" s="22" t="s">
        <v>61</v>
      </c>
      <c r="F12" s="22" t="s">
        <v>152</v>
      </c>
      <c r="G12" s="22" t="s">
        <v>60</v>
      </c>
      <c r="H12" s="22" t="s">
        <v>226</v>
      </c>
      <c r="I12" s="22" t="s">
        <v>34</v>
      </c>
      <c r="J12" s="22" t="s">
        <v>238</v>
      </c>
      <c r="K12" s="22" t="s">
        <v>241</v>
      </c>
      <c r="L12" s="22" t="s">
        <v>242</v>
      </c>
      <c r="N12" s="22" t="s">
        <v>243</v>
      </c>
      <c r="O12" s="22" t="s">
        <v>158</v>
      </c>
      <c r="P12" s="22">
        <v>10673</v>
      </c>
      <c r="Q12" s="21">
        <v>0.75</v>
      </c>
      <c r="R12" s="21">
        <v>0.75</v>
      </c>
      <c r="S12" s="21">
        <v>0.75</v>
      </c>
      <c r="T12" s="21" t="s">
        <v>159</v>
      </c>
      <c r="U12" s="21">
        <v>1</v>
      </c>
      <c r="V12" s="21">
        <v>1</v>
      </c>
      <c r="W12" s="24">
        <f t="shared" si="0"/>
        <v>9.9264553816794727</v>
      </c>
      <c r="X12" s="24">
        <f t="shared" si="1"/>
        <v>0.22078124999999996</v>
      </c>
      <c r="Y12" s="21">
        <v>20</v>
      </c>
      <c r="Z12" s="24">
        <f t="shared" si="2"/>
        <v>198.52910763358946</v>
      </c>
      <c r="AA12" s="24">
        <f t="shared" si="3"/>
        <v>4.4156249999999995</v>
      </c>
      <c r="AB12" s="21">
        <v>10</v>
      </c>
      <c r="AC12" s="21">
        <v>10</v>
      </c>
      <c r="AD12" s="21">
        <v>10</v>
      </c>
      <c r="AE12" s="21" t="s">
        <v>159</v>
      </c>
      <c r="AF12" s="21">
        <v>0.1</v>
      </c>
      <c r="AG12" s="22">
        <v>1</v>
      </c>
      <c r="AH12" s="24">
        <f>(4*3.14*(((AB12^1.6*AC12^1.6+AB12^1.6*AD12^1.6+AC12^1.6+AD12^1.6)/3)^(1/1.6)))*(1/AG12)</f>
        <v>990.0713501282612</v>
      </c>
      <c r="AI12" s="24">
        <f>3.14/6*AB12*AC12*AD12*AF12</f>
        <v>52.333333333333343</v>
      </c>
      <c r="AJ12" s="21">
        <v>52.333333333333343</v>
      </c>
      <c r="AK12" s="21">
        <v>10</v>
      </c>
      <c r="AL12" s="22" t="s">
        <v>161</v>
      </c>
      <c r="AM12" s="22">
        <v>0.22</v>
      </c>
      <c r="AN12" s="22" t="s">
        <v>229</v>
      </c>
      <c r="AO12" s="22" t="s">
        <v>229</v>
      </c>
      <c r="AP12" s="22" t="s">
        <v>230</v>
      </c>
      <c r="AQ12" s="22" t="str">
        <f t="shared" si="6"/>
        <v>Nanophytoplankton</v>
      </c>
      <c r="AR12" s="22">
        <v>0</v>
      </c>
      <c r="AS12" s="22">
        <v>0</v>
      </c>
      <c r="AT12" s="22">
        <v>0</v>
      </c>
      <c r="AU12" s="22">
        <v>1</v>
      </c>
      <c r="AV12" s="22">
        <v>0</v>
      </c>
      <c r="AW12" s="22">
        <v>0</v>
      </c>
      <c r="AX12" s="22">
        <v>0</v>
      </c>
      <c r="AY12" s="22">
        <v>1</v>
      </c>
      <c r="BF12" s="22">
        <v>0</v>
      </c>
      <c r="BG12" s="22">
        <v>0</v>
      </c>
      <c r="BH12" s="22">
        <f t="shared" si="7"/>
        <v>2.2241700739166131E-2</v>
      </c>
    </row>
    <row r="13" spans="1:60" s="22" customFormat="1" ht="13">
      <c r="A13" s="22" t="s">
        <v>244</v>
      </c>
      <c r="B13" s="22" t="s">
        <v>149</v>
      </c>
      <c r="C13" s="22" t="s">
        <v>150</v>
      </c>
      <c r="D13" s="23" t="s">
        <v>151</v>
      </c>
      <c r="E13" s="22" t="s">
        <v>61</v>
      </c>
      <c r="F13" s="22" t="s">
        <v>152</v>
      </c>
      <c r="G13" s="22" t="s">
        <v>60</v>
      </c>
      <c r="H13" s="22" t="s">
        <v>226</v>
      </c>
      <c r="I13" s="22" t="s">
        <v>34</v>
      </c>
      <c r="J13" s="22" t="s">
        <v>238</v>
      </c>
      <c r="K13" s="22" t="s">
        <v>184</v>
      </c>
      <c r="L13" s="22" t="s">
        <v>245</v>
      </c>
      <c r="N13" s="22" t="s">
        <v>243</v>
      </c>
      <c r="O13" s="22" t="s">
        <v>158</v>
      </c>
      <c r="P13" s="21">
        <v>10671</v>
      </c>
      <c r="Q13" s="21">
        <v>0.75</v>
      </c>
      <c r="R13" s="21">
        <v>0.75</v>
      </c>
      <c r="S13" s="21">
        <v>0.75</v>
      </c>
      <c r="T13" s="21" t="s">
        <v>246</v>
      </c>
      <c r="U13" s="21">
        <v>1</v>
      </c>
      <c r="V13" s="21">
        <v>1</v>
      </c>
      <c r="W13" s="25">
        <f>4*3.14*(R13/2)*(Q13/2)/V13</f>
        <v>1.7662499999999999</v>
      </c>
      <c r="X13" s="25">
        <f>(3.14/6*(Q13*S13*R13))*U13</f>
        <v>0.22078124999999998</v>
      </c>
      <c r="Y13" s="22">
        <v>1</v>
      </c>
      <c r="Z13" s="24">
        <f t="shared" si="2"/>
        <v>1.7662499999999999</v>
      </c>
      <c r="AA13" s="24">
        <f t="shared" si="3"/>
        <v>0.22078124999999998</v>
      </c>
      <c r="AF13" s="21" t="s">
        <v>247</v>
      </c>
      <c r="AH13" s="25"/>
      <c r="AI13" s="25"/>
      <c r="AJ13" s="21">
        <v>0.22078124999999998</v>
      </c>
      <c r="AK13" s="21">
        <v>0.75</v>
      </c>
      <c r="AL13" s="22" t="s">
        <v>161</v>
      </c>
      <c r="AM13" s="22">
        <v>0.22</v>
      </c>
      <c r="AN13" s="22" t="s">
        <v>229</v>
      </c>
      <c r="AO13" s="22" t="s">
        <v>229</v>
      </c>
      <c r="AP13" s="22" t="s">
        <v>230</v>
      </c>
      <c r="AQ13" s="22" t="str">
        <f t="shared" si="6"/>
        <v>Nanophytoplankton</v>
      </c>
      <c r="AR13" s="22">
        <v>0</v>
      </c>
      <c r="AS13" s="22">
        <v>0</v>
      </c>
      <c r="AT13" s="22">
        <v>0</v>
      </c>
      <c r="AU13" s="22">
        <v>1</v>
      </c>
      <c r="AV13" s="22">
        <v>0</v>
      </c>
      <c r="AW13" s="22">
        <v>0</v>
      </c>
      <c r="AX13" s="22">
        <v>0</v>
      </c>
      <c r="AY13" s="22">
        <v>1</v>
      </c>
      <c r="BF13" s="22">
        <v>0</v>
      </c>
      <c r="BG13" s="22">
        <v>0</v>
      </c>
      <c r="BH13" s="22">
        <f t="shared" si="7"/>
        <v>0.125</v>
      </c>
    </row>
    <row r="14" spans="1:60" s="22" customFormat="1" ht="13">
      <c r="A14" s="22" t="s">
        <v>248</v>
      </c>
      <c r="B14" s="22" t="s">
        <v>149</v>
      </c>
      <c r="C14" s="22" t="s">
        <v>150</v>
      </c>
      <c r="D14" s="23" t="s">
        <v>151</v>
      </c>
      <c r="E14" s="22" t="s">
        <v>61</v>
      </c>
      <c r="F14" s="22" t="s">
        <v>152</v>
      </c>
      <c r="G14" s="22" t="s">
        <v>60</v>
      </c>
      <c r="H14" s="22" t="s">
        <v>226</v>
      </c>
      <c r="I14" s="22" t="s">
        <v>34</v>
      </c>
      <c r="J14" s="22" t="s">
        <v>249</v>
      </c>
      <c r="N14" s="22" t="s">
        <v>239</v>
      </c>
      <c r="O14" s="22" t="s">
        <v>158</v>
      </c>
      <c r="P14" s="22">
        <v>11711</v>
      </c>
      <c r="Q14" s="21">
        <v>2</v>
      </c>
      <c r="R14" s="21">
        <v>2</v>
      </c>
      <c r="S14" s="21">
        <v>2</v>
      </c>
      <c r="T14" s="21" t="s">
        <v>159</v>
      </c>
      <c r="U14" s="21">
        <v>1</v>
      </c>
      <c r="V14" s="21">
        <v>1</v>
      </c>
      <c r="W14" s="24">
        <f t="shared" ref="W14:W19" si="8">(4*3.14*(((Q14^1.6*R14^1.6+Q14^1.6*S14^1.6+R14^1.6+S14^1.6)/3)^(1/1.6)))*(1/V14)</f>
        <v>46.59880302207403</v>
      </c>
      <c r="X14" s="24">
        <f t="shared" ref="X14:X19" si="9">3.14/6*Q14*R14*S14*U14</f>
        <v>4.1866666666666665</v>
      </c>
      <c r="Y14" s="21">
        <v>75</v>
      </c>
      <c r="Z14" s="24">
        <f t="shared" si="2"/>
        <v>3494.9102266555524</v>
      </c>
      <c r="AA14" s="24">
        <f t="shared" si="3"/>
        <v>314</v>
      </c>
      <c r="AB14" s="21">
        <v>15</v>
      </c>
      <c r="AC14" s="21">
        <v>15</v>
      </c>
      <c r="AD14" s="21">
        <v>15</v>
      </c>
      <c r="AE14" s="21" t="s">
        <v>159</v>
      </c>
      <c r="AF14" s="21">
        <v>0.1</v>
      </c>
      <c r="AG14" s="22">
        <v>1</v>
      </c>
      <c r="AH14" s="24">
        <f t="shared" ref="AH14:AH19" si="10">(4*3.14*(((AB14^1.6*AC14^1.6+AB14^1.6*AD14^1.6+AC14^1.6+AD14^1.6)/3)^(1/1.6)))*(1/AG14)</f>
        <v>2211.3412553863004</v>
      </c>
      <c r="AI14" s="24">
        <f t="shared" ref="AI14:AI19" si="11">3.14/6*AB14*AC14*AD14*AF14</f>
        <v>176.625</v>
      </c>
      <c r="AJ14" s="21">
        <v>314.2</v>
      </c>
      <c r="AK14" s="21">
        <v>15</v>
      </c>
      <c r="AL14" s="22" t="s">
        <v>161</v>
      </c>
      <c r="AM14" s="22">
        <v>0.22</v>
      </c>
      <c r="AN14" s="22" t="s">
        <v>229</v>
      </c>
      <c r="AO14" s="22" t="s">
        <v>229</v>
      </c>
      <c r="AP14" s="22" t="s">
        <v>230</v>
      </c>
      <c r="AQ14" s="22" t="str">
        <f t="shared" si="6"/>
        <v>Nanophytoplankton</v>
      </c>
      <c r="AR14" s="22">
        <v>0</v>
      </c>
      <c r="AS14" s="22">
        <v>0</v>
      </c>
      <c r="AT14" s="22">
        <v>0</v>
      </c>
      <c r="AU14" s="22">
        <v>1</v>
      </c>
      <c r="AV14" s="22">
        <v>0</v>
      </c>
      <c r="AW14" s="22">
        <v>0</v>
      </c>
      <c r="AX14" s="22">
        <v>0</v>
      </c>
      <c r="AY14" s="22">
        <v>1</v>
      </c>
      <c r="BF14" s="22">
        <v>0</v>
      </c>
      <c r="BG14" s="22">
        <v>0</v>
      </c>
      <c r="BH14" s="22">
        <f t="shared" si="7"/>
        <v>8.9844940108942853E-2</v>
      </c>
    </row>
    <row r="15" spans="1:60" s="22" customFormat="1" ht="13">
      <c r="A15" s="22" t="s">
        <v>250</v>
      </c>
      <c r="B15" s="22" t="s">
        <v>149</v>
      </c>
      <c r="C15" s="22" t="s">
        <v>150</v>
      </c>
      <c r="D15" s="23" t="s">
        <v>151</v>
      </c>
      <c r="E15" s="22" t="s">
        <v>61</v>
      </c>
      <c r="F15" s="22" t="s">
        <v>152</v>
      </c>
      <c r="G15" s="22" t="s">
        <v>60</v>
      </c>
      <c r="H15" s="22" t="s">
        <v>226</v>
      </c>
      <c r="I15" s="22" t="s">
        <v>34</v>
      </c>
      <c r="J15" s="22" t="s">
        <v>249</v>
      </c>
      <c r="K15" s="22" t="s">
        <v>241</v>
      </c>
      <c r="L15" s="22" t="s">
        <v>242</v>
      </c>
      <c r="N15" s="22" t="s">
        <v>251</v>
      </c>
      <c r="O15" s="22" t="s">
        <v>158</v>
      </c>
      <c r="P15" s="22">
        <v>11713</v>
      </c>
      <c r="Q15" s="21">
        <v>2</v>
      </c>
      <c r="R15" s="21">
        <v>2</v>
      </c>
      <c r="S15" s="21">
        <v>2</v>
      </c>
      <c r="T15" s="21" t="s">
        <v>159</v>
      </c>
      <c r="U15" s="21">
        <v>1</v>
      </c>
      <c r="V15" s="21">
        <v>1</v>
      </c>
      <c r="W15" s="24">
        <f t="shared" si="8"/>
        <v>46.59880302207403</v>
      </c>
      <c r="X15" s="24">
        <f t="shared" si="9"/>
        <v>4.1866666666666665</v>
      </c>
      <c r="Y15" s="21">
        <v>35</v>
      </c>
      <c r="Z15" s="24">
        <f t="shared" si="2"/>
        <v>1630.9581057725911</v>
      </c>
      <c r="AA15" s="24">
        <f t="shared" si="3"/>
        <v>146.53333333333333</v>
      </c>
      <c r="AB15" s="21">
        <v>10</v>
      </c>
      <c r="AC15" s="21">
        <v>10</v>
      </c>
      <c r="AD15" s="21">
        <v>10</v>
      </c>
      <c r="AE15" s="21" t="s">
        <v>159</v>
      </c>
      <c r="AF15" s="21">
        <v>0.1</v>
      </c>
      <c r="AG15" s="22">
        <v>1</v>
      </c>
      <c r="AH15" s="24">
        <f t="shared" si="10"/>
        <v>990.0713501282612</v>
      </c>
      <c r="AI15" s="24">
        <f t="shared" si="11"/>
        <v>52.333333333333343</v>
      </c>
      <c r="AJ15" s="21">
        <v>157</v>
      </c>
      <c r="AK15" s="21">
        <v>10</v>
      </c>
      <c r="AL15" s="22" t="s">
        <v>252</v>
      </c>
      <c r="AM15" s="22">
        <v>0.22</v>
      </c>
      <c r="AN15" s="22" t="s">
        <v>229</v>
      </c>
      <c r="AO15" s="22" t="s">
        <v>229</v>
      </c>
      <c r="AP15" s="22" t="s">
        <v>230</v>
      </c>
      <c r="AQ15" s="22" t="str">
        <f t="shared" si="6"/>
        <v>Nanophytoplankton</v>
      </c>
      <c r="AR15" s="22">
        <v>0</v>
      </c>
      <c r="AS15" s="22">
        <v>0</v>
      </c>
      <c r="AT15" s="22">
        <v>0</v>
      </c>
      <c r="AU15" s="22">
        <v>1</v>
      </c>
      <c r="AV15" s="22">
        <v>0</v>
      </c>
      <c r="AW15" s="22">
        <v>0</v>
      </c>
      <c r="AX15" s="22">
        <v>0</v>
      </c>
      <c r="AY15" s="22">
        <v>1</v>
      </c>
      <c r="BF15" s="22">
        <v>0</v>
      </c>
      <c r="BG15" s="22">
        <v>0</v>
      </c>
      <c r="BH15" s="22">
        <f t="shared" si="7"/>
        <v>8.9844940108942853E-2</v>
      </c>
    </row>
    <row r="16" spans="1:60" s="22" customFormat="1" ht="13">
      <c r="A16" s="21" t="s">
        <v>253</v>
      </c>
      <c r="B16" s="22" t="s">
        <v>149</v>
      </c>
      <c r="C16" s="22" t="s">
        <v>150</v>
      </c>
      <c r="D16" s="23" t="s">
        <v>151</v>
      </c>
      <c r="E16" s="22" t="s">
        <v>61</v>
      </c>
      <c r="F16" s="22" t="s">
        <v>152</v>
      </c>
      <c r="G16" s="22" t="s">
        <v>60</v>
      </c>
      <c r="H16" s="22" t="s">
        <v>226</v>
      </c>
      <c r="I16" s="22" t="s">
        <v>34</v>
      </c>
      <c r="J16" s="22" t="s">
        <v>249</v>
      </c>
      <c r="K16" s="22" t="s">
        <v>175</v>
      </c>
      <c r="L16" s="22" t="s">
        <v>235</v>
      </c>
      <c r="N16" s="22" t="s">
        <v>254</v>
      </c>
      <c r="O16" s="22" t="s">
        <v>158</v>
      </c>
      <c r="P16" s="21">
        <v>10220</v>
      </c>
      <c r="Q16" s="21">
        <v>2</v>
      </c>
      <c r="R16" s="21">
        <v>2</v>
      </c>
      <c r="S16" s="21">
        <v>2</v>
      </c>
      <c r="T16" s="21" t="s">
        <v>159</v>
      </c>
      <c r="U16" s="21">
        <v>1</v>
      </c>
      <c r="V16" s="21">
        <v>1</v>
      </c>
      <c r="W16" s="24">
        <f t="shared" si="8"/>
        <v>46.59880302207403</v>
      </c>
      <c r="X16" s="24">
        <f t="shared" si="9"/>
        <v>4.1866666666666665</v>
      </c>
      <c r="Y16" s="21">
        <v>1250</v>
      </c>
      <c r="Z16" s="24">
        <f t="shared" si="2"/>
        <v>58248.503777592538</v>
      </c>
      <c r="AA16" s="24">
        <f t="shared" si="3"/>
        <v>5233.333333333333</v>
      </c>
      <c r="AB16" s="21">
        <v>50</v>
      </c>
      <c r="AC16" s="21">
        <v>50</v>
      </c>
      <c r="AD16" s="21">
        <v>50</v>
      </c>
      <c r="AE16" s="21" t="s">
        <v>159</v>
      </c>
      <c r="AF16" s="21">
        <v>0.1</v>
      </c>
      <c r="AG16" s="22">
        <v>1</v>
      </c>
      <c r="AH16" s="24">
        <f t="shared" si="10"/>
        <v>24400.082151651244</v>
      </c>
      <c r="AI16" s="24">
        <f t="shared" si="11"/>
        <v>6541.666666666667</v>
      </c>
      <c r="AJ16" s="21">
        <v>5240</v>
      </c>
      <c r="AK16" s="21">
        <v>100</v>
      </c>
      <c r="AL16" s="22" t="s">
        <v>161</v>
      </c>
      <c r="AM16" s="22">
        <v>0.22</v>
      </c>
      <c r="AN16" s="22" t="s">
        <v>229</v>
      </c>
      <c r="AO16" s="22" t="s">
        <v>229</v>
      </c>
      <c r="AP16" s="22" t="s">
        <v>230</v>
      </c>
      <c r="AQ16" s="22" t="str">
        <f t="shared" si="6"/>
        <v>Microphytoplankton</v>
      </c>
      <c r="AR16" s="22">
        <v>0</v>
      </c>
      <c r="AS16" s="22">
        <v>0</v>
      </c>
      <c r="AT16" s="22">
        <v>0</v>
      </c>
      <c r="AU16" s="22">
        <v>1</v>
      </c>
      <c r="AV16" s="22">
        <v>0</v>
      </c>
      <c r="AW16" s="22">
        <v>0</v>
      </c>
      <c r="AX16" s="22">
        <v>0</v>
      </c>
      <c r="AY16" s="22">
        <v>1</v>
      </c>
      <c r="BF16" s="22">
        <v>0</v>
      </c>
      <c r="BG16" s="22">
        <v>0</v>
      </c>
      <c r="BH16" s="22">
        <f t="shared" si="7"/>
        <v>8.9844940108942853E-2</v>
      </c>
    </row>
    <row r="17" spans="1:60" s="22" customFormat="1" ht="13">
      <c r="A17" s="21" t="s">
        <v>267</v>
      </c>
      <c r="B17" s="22" t="s">
        <v>149</v>
      </c>
      <c r="C17" s="22" t="s">
        <v>150</v>
      </c>
      <c r="D17" s="23" t="s">
        <v>151</v>
      </c>
      <c r="E17" s="22" t="s">
        <v>61</v>
      </c>
      <c r="F17" s="22" t="s">
        <v>152</v>
      </c>
      <c r="G17" s="22" t="s">
        <v>60</v>
      </c>
      <c r="H17" s="22" t="s">
        <v>226</v>
      </c>
      <c r="I17" s="22" t="s">
        <v>34</v>
      </c>
      <c r="J17" s="22" t="s">
        <v>268</v>
      </c>
      <c r="N17" s="22" t="s">
        <v>261</v>
      </c>
      <c r="O17" s="22" t="s">
        <v>158</v>
      </c>
      <c r="P17" s="21">
        <v>10260</v>
      </c>
      <c r="Q17" s="22">
        <v>1</v>
      </c>
      <c r="R17" s="22">
        <v>1</v>
      </c>
      <c r="S17" s="22">
        <v>1</v>
      </c>
      <c r="T17" s="21" t="s">
        <v>159</v>
      </c>
      <c r="U17" s="21">
        <v>1</v>
      </c>
      <c r="V17" s="21">
        <v>1</v>
      </c>
      <c r="W17" s="24">
        <f t="shared" si="8"/>
        <v>15.034062444858044</v>
      </c>
      <c r="X17" s="24">
        <f t="shared" si="9"/>
        <v>0.52333333333333332</v>
      </c>
      <c r="Y17" s="22">
        <v>130</v>
      </c>
      <c r="Z17" s="24">
        <f t="shared" si="2"/>
        <v>1954.4281178315457</v>
      </c>
      <c r="AA17" s="24">
        <f t="shared" si="3"/>
        <v>68.033333333333331</v>
      </c>
      <c r="AB17" s="22">
        <v>35</v>
      </c>
      <c r="AC17" s="22">
        <v>35</v>
      </c>
      <c r="AD17" s="22">
        <v>35</v>
      </c>
      <c r="AE17" s="21" t="s">
        <v>159</v>
      </c>
      <c r="AF17" s="21">
        <v>0.7</v>
      </c>
      <c r="AG17" s="22">
        <v>1</v>
      </c>
      <c r="AH17" s="24">
        <f t="shared" si="10"/>
        <v>11967.014065345904</v>
      </c>
      <c r="AI17" s="24">
        <f t="shared" si="11"/>
        <v>15706.541666666666</v>
      </c>
      <c r="AJ17" s="21">
        <v>15714.5</v>
      </c>
      <c r="AK17" s="21">
        <v>35</v>
      </c>
      <c r="AL17" s="22" t="s">
        <v>161</v>
      </c>
      <c r="AM17" s="22">
        <v>0.22</v>
      </c>
      <c r="AN17" s="22" t="s">
        <v>229</v>
      </c>
      <c r="AO17" s="22" t="s">
        <v>229</v>
      </c>
      <c r="AP17" s="22" t="s">
        <v>230</v>
      </c>
      <c r="AQ17" s="22" t="str">
        <f t="shared" si="6"/>
        <v>Microphytoplankton</v>
      </c>
      <c r="AR17" s="22">
        <v>0</v>
      </c>
      <c r="AS17" s="22">
        <v>0</v>
      </c>
      <c r="AT17" s="22">
        <v>0</v>
      </c>
      <c r="AU17" s="22">
        <v>1</v>
      </c>
      <c r="AV17" s="22">
        <v>0</v>
      </c>
      <c r="AW17" s="22">
        <v>0</v>
      </c>
      <c r="AX17" s="22">
        <v>0</v>
      </c>
      <c r="AY17" s="22">
        <v>1</v>
      </c>
      <c r="BF17" s="22">
        <v>0</v>
      </c>
      <c r="BG17" s="22">
        <v>0</v>
      </c>
      <c r="BH17" s="22">
        <f t="shared" si="7"/>
        <v>3.4809841668066506E-2</v>
      </c>
    </row>
    <row r="18" spans="1:60" s="22" customFormat="1" ht="13">
      <c r="A18" s="22" t="s">
        <v>269</v>
      </c>
      <c r="B18" s="22" t="s">
        <v>149</v>
      </c>
      <c r="C18" s="22" t="s">
        <v>150</v>
      </c>
      <c r="D18" s="23" t="s">
        <v>151</v>
      </c>
      <c r="E18" s="22" t="s">
        <v>61</v>
      </c>
      <c r="F18" s="22" t="s">
        <v>152</v>
      </c>
      <c r="G18" s="22" t="s">
        <v>60</v>
      </c>
      <c r="H18" s="22" t="s">
        <v>226</v>
      </c>
      <c r="I18" s="22" t="s">
        <v>34</v>
      </c>
      <c r="J18" s="22" t="s">
        <v>268</v>
      </c>
      <c r="K18" s="22" t="s">
        <v>184</v>
      </c>
      <c r="L18" s="22" t="s">
        <v>270</v>
      </c>
      <c r="N18" s="22" t="s">
        <v>264</v>
      </c>
      <c r="O18" s="22" t="s">
        <v>158</v>
      </c>
      <c r="P18" s="21">
        <v>10261</v>
      </c>
      <c r="Q18" s="22">
        <v>1</v>
      </c>
      <c r="R18" s="22">
        <v>1</v>
      </c>
      <c r="S18" s="22">
        <v>1</v>
      </c>
      <c r="T18" s="21" t="s">
        <v>159</v>
      </c>
      <c r="U18" s="21">
        <v>1</v>
      </c>
      <c r="V18" s="21">
        <v>1</v>
      </c>
      <c r="W18" s="24">
        <f t="shared" si="8"/>
        <v>15.034062444858044</v>
      </c>
      <c r="X18" s="24">
        <f t="shared" si="9"/>
        <v>0.52333333333333332</v>
      </c>
      <c r="Y18" s="22">
        <v>50</v>
      </c>
      <c r="Z18" s="24">
        <f t="shared" si="2"/>
        <v>751.70312224290217</v>
      </c>
      <c r="AA18" s="24">
        <f t="shared" si="3"/>
        <v>26.166666666666664</v>
      </c>
      <c r="AB18" s="22">
        <v>50</v>
      </c>
      <c r="AC18" s="22">
        <v>50</v>
      </c>
      <c r="AD18" s="22">
        <v>50</v>
      </c>
      <c r="AE18" s="21" t="s">
        <v>159</v>
      </c>
      <c r="AF18" s="21">
        <v>0.1</v>
      </c>
      <c r="AG18" s="22">
        <v>1</v>
      </c>
      <c r="AH18" s="24">
        <f t="shared" si="10"/>
        <v>24400.082151651244</v>
      </c>
      <c r="AI18" s="24">
        <f t="shared" si="11"/>
        <v>6541.666666666667</v>
      </c>
      <c r="AJ18" s="21">
        <v>26.166666666666664</v>
      </c>
      <c r="AK18" s="21">
        <v>50</v>
      </c>
      <c r="AL18" s="22" t="s">
        <v>161</v>
      </c>
      <c r="AM18" s="22">
        <v>0.22</v>
      </c>
      <c r="AN18" s="22" t="s">
        <v>229</v>
      </c>
      <c r="AO18" s="22" t="s">
        <v>229</v>
      </c>
      <c r="AP18" s="22" t="s">
        <v>230</v>
      </c>
      <c r="AQ18" s="22" t="str">
        <f t="shared" si="6"/>
        <v>Microphytoplankton</v>
      </c>
      <c r="AR18" s="22">
        <v>0</v>
      </c>
      <c r="AS18" s="22">
        <v>0</v>
      </c>
      <c r="AT18" s="22">
        <v>0</v>
      </c>
      <c r="AU18" s="22">
        <v>1</v>
      </c>
      <c r="AV18" s="22">
        <v>0</v>
      </c>
      <c r="AW18" s="22">
        <v>0</v>
      </c>
      <c r="AX18" s="22">
        <v>0</v>
      </c>
      <c r="AY18" s="22">
        <v>1</v>
      </c>
      <c r="BF18" s="22">
        <v>0</v>
      </c>
      <c r="BG18" s="22">
        <v>0</v>
      </c>
      <c r="BH18" s="22">
        <f t="shared" si="7"/>
        <v>3.4809841668066506E-2</v>
      </c>
    </row>
    <row r="19" spans="1:60" s="22" customFormat="1" ht="13">
      <c r="A19" s="22" t="s">
        <v>291</v>
      </c>
      <c r="B19" s="22" t="s">
        <v>149</v>
      </c>
      <c r="C19" s="22" t="s">
        <v>150</v>
      </c>
      <c r="D19" s="23" t="s">
        <v>151</v>
      </c>
      <c r="E19" s="22" t="s">
        <v>61</v>
      </c>
      <c r="F19" s="22" t="s">
        <v>152</v>
      </c>
      <c r="G19" s="22" t="s">
        <v>60</v>
      </c>
      <c r="H19" s="22" t="s">
        <v>226</v>
      </c>
      <c r="I19" s="22" t="s">
        <v>34</v>
      </c>
      <c r="J19" s="22" t="s">
        <v>211</v>
      </c>
      <c r="M19" s="22" t="s">
        <v>1</v>
      </c>
      <c r="N19" s="22" t="s">
        <v>228</v>
      </c>
      <c r="O19" s="22" t="s">
        <v>158</v>
      </c>
      <c r="P19" s="21">
        <v>10262</v>
      </c>
      <c r="Q19" s="22">
        <v>2</v>
      </c>
      <c r="R19" s="22">
        <v>2</v>
      </c>
      <c r="S19" s="22">
        <v>2</v>
      </c>
      <c r="T19" s="21" t="s">
        <v>159</v>
      </c>
      <c r="U19" s="21">
        <v>1</v>
      </c>
      <c r="V19" s="21">
        <v>1</v>
      </c>
      <c r="W19" s="24">
        <f t="shared" si="8"/>
        <v>46.59880302207403</v>
      </c>
      <c r="X19" s="24">
        <f t="shared" si="9"/>
        <v>4.1866666666666665</v>
      </c>
      <c r="Y19" s="22">
        <v>50</v>
      </c>
      <c r="Z19" s="24">
        <f t="shared" si="2"/>
        <v>2329.9401511037013</v>
      </c>
      <c r="AA19" s="24">
        <f t="shared" si="3"/>
        <v>209.33333333333331</v>
      </c>
      <c r="AB19" s="22">
        <v>15</v>
      </c>
      <c r="AC19" s="22">
        <v>15</v>
      </c>
      <c r="AD19" s="22">
        <v>15</v>
      </c>
      <c r="AE19" s="21" t="s">
        <v>159</v>
      </c>
      <c r="AF19" s="21">
        <v>0.1</v>
      </c>
      <c r="AG19" s="22">
        <v>1</v>
      </c>
      <c r="AH19" s="24">
        <f t="shared" si="10"/>
        <v>2211.3412553863004</v>
      </c>
      <c r="AI19" s="24">
        <f t="shared" si="11"/>
        <v>176.625</v>
      </c>
      <c r="AJ19" s="21">
        <v>209.33333333333331</v>
      </c>
      <c r="AK19" s="21">
        <v>50</v>
      </c>
      <c r="AL19" s="22" t="s">
        <v>161</v>
      </c>
      <c r="AM19" s="22">
        <v>0.22</v>
      </c>
      <c r="AN19" s="22" t="s">
        <v>229</v>
      </c>
      <c r="AO19" s="22" t="s">
        <v>229</v>
      </c>
      <c r="AP19" s="22" t="s">
        <v>230</v>
      </c>
      <c r="AQ19" s="22" t="str">
        <f t="shared" si="6"/>
        <v>Microphytoplankton</v>
      </c>
      <c r="AR19" s="22">
        <v>0</v>
      </c>
      <c r="AS19" s="22">
        <v>0</v>
      </c>
      <c r="AT19" s="22">
        <v>0</v>
      </c>
      <c r="AU19" s="22">
        <v>1</v>
      </c>
      <c r="AV19" s="22">
        <v>0</v>
      </c>
      <c r="AW19" s="22">
        <v>0</v>
      </c>
      <c r="AX19" s="22">
        <v>0</v>
      </c>
      <c r="AY19" s="22">
        <v>1</v>
      </c>
      <c r="BF19" s="22">
        <v>0</v>
      </c>
      <c r="BG19" s="22">
        <v>0</v>
      </c>
      <c r="BH19" s="22">
        <f t="shared" si="7"/>
        <v>8.9844940108942853E-2</v>
      </c>
    </row>
    <row r="20" spans="1:60" s="22" customFormat="1" ht="13">
      <c r="D20" s="23"/>
      <c r="P20" s="21"/>
      <c r="T20" s="21"/>
      <c r="U20" s="21"/>
      <c r="V20" s="21"/>
      <c r="W20" s="24"/>
      <c r="X20" s="24"/>
      <c r="Z20" s="24"/>
      <c r="AA20" s="24"/>
      <c r="AE20" s="21"/>
      <c r="AF20" s="21"/>
      <c r="AH20" s="24"/>
      <c r="AI20" s="24"/>
      <c r="AJ20" s="21"/>
      <c r="AK20" s="21"/>
      <c r="BH20" s="22" t="e">
        <f t="shared" si="7"/>
        <v>#DIV/0!</v>
      </c>
    </row>
    <row r="21" spans="1:60" s="22" customFormat="1" ht="13">
      <c r="A21" s="21" t="s">
        <v>339</v>
      </c>
      <c r="B21" s="22" t="s">
        <v>149</v>
      </c>
      <c r="C21" s="22" t="s">
        <v>150</v>
      </c>
      <c r="D21" s="23" t="s">
        <v>151</v>
      </c>
      <c r="E21" s="22" t="s">
        <v>61</v>
      </c>
      <c r="F21" s="22" t="s">
        <v>152</v>
      </c>
      <c r="G21" s="22" t="s">
        <v>60</v>
      </c>
      <c r="H21" s="22" t="s">
        <v>326</v>
      </c>
      <c r="I21" s="22" t="s">
        <v>35</v>
      </c>
      <c r="J21" s="22" t="s">
        <v>340</v>
      </c>
      <c r="N21" s="22" t="s">
        <v>341</v>
      </c>
      <c r="O21" s="22" t="s">
        <v>158</v>
      </c>
      <c r="P21" s="21">
        <v>10419</v>
      </c>
      <c r="Q21" s="21">
        <v>7.5</v>
      </c>
      <c r="R21" s="21">
        <v>7.5</v>
      </c>
      <c r="S21" s="21">
        <v>7.5</v>
      </c>
      <c r="T21" s="21" t="s">
        <v>281</v>
      </c>
      <c r="U21" s="21">
        <v>1</v>
      </c>
      <c r="V21" s="21">
        <v>1</v>
      </c>
      <c r="W21" s="24">
        <f>(4*3.14*(((Q21^1.6*R21^1.6+Q21^1.6*S21^1.6+R21^1.6+S21^1.6)/3)^(1/1.6)))*(1/V21)</f>
        <v>561.88729826443785</v>
      </c>
      <c r="X21" s="24">
        <f>3.14/6*Q21*R21*S21*U21</f>
        <v>220.78125</v>
      </c>
      <c r="Y21" s="21">
        <v>2</v>
      </c>
      <c r="Z21" s="24">
        <f t="shared" si="2"/>
        <v>1123.7745965288757</v>
      </c>
      <c r="AA21" s="24">
        <f t="shared" si="3"/>
        <v>441.5625</v>
      </c>
      <c r="AB21" s="21">
        <v>25</v>
      </c>
      <c r="AC21" s="21">
        <v>25</v>
      </c>
      <c r="AD21" s="21">
        <v>25</v>
      </c>
      <c r="AE21" s="22" t="s">
        <v>330</v>
      </c>
      <c r="AF21" s="21">
        <v>0.2</v>
      </c>
      <c r="AG21" s="22">
        <v>1</v>
      </c>
      <c r="AH21" s="25">
        <f>(AB21*AC21*2+AB21*AD21*2+AC21*AD21*2)/AG21</f>
        <v>3750</v>
      </c>
      <c r="AI21" s="25">
        <f>AB21*AC21*AD21*AF21</f>
        <v>3125</v>
      </c>
      <c r="AJ21" s="21">
        <v>441.5625</v>
      </c>
      <c r="AK21" s="21">
        <v>25</v>
      </c>
      <c r="AL21" s="22" t="s">
        <v>161</v>
      </c>
      <c r="AM21" s="22">
        <v>0.22</v>
      </c>
      <c r="AO21" s="22" t="s">
        <v>331</v>
      </c>
      <c r="AP21" s="22" t="s">
        <v>230</v>
      </c>
      <c r="AQ21" s="22" t="str">
        <f t="shared" si="6"/>
        <v>Microphytoplankton</v>
      </c>
      <c r="AR21" s="22">
        <v>0</v>
      </c>
      <c r="AS21" s="22">
        <v>0</v>
      </c>
      <c r="AT21" s="22">
        <v>0</v>
      </c>
      <c r="AU21" s="22">
        <v>1</v>
      </c>
      <c r="AV21" s="22">
        <v>0</v>
      </c>
      <c r="AW21" s="22">
        <v>0</v>
      </c>
      <c r="AX21" s="22">
        <v>0</v>
      </c>
      <c r="AY21" s="22">
        <v>1</v>
      </c>
      <c r="BF21" s="22">
        <v>0</v>
      </c>
      <c r="BG21" s="22">
        <v>0</v>
      </c>
      <c r="BH21" s="22">
        <f t="shared" si="7"/>
        <v>0.39292799584890237</v>
      </c>
    </row>
    <row r="22" spans="1:60" s="22" customFormat="1" ht="13">
      <c r="A22" s="21" t="s">
        <v>352</v>
      </c>
      <c r="B22" s="22" t="s">
        <v>149</v>
      </c>
      <c r="C22" s="22" t="s">
        <v>150</v>
      </c>
      <c r="D22" s="23" t="s">
        <v>151</v>
      </c>
      <c r="E22" s="22" t="s">
        <v>61</v>
      </c>
      <c r="F22" s="22" t="s">
        <v>152</v>
      </c>
      <c r="G22" s="22" t="s">
        <v>60</v>
      </c>
      <c r="H22" s="22" t="s">
        <v>326</v>
      </c>
      <c r="I22" s="22" t="s">
        <v>35</v>
      </c>
      <c r="J22" s="22" t="s">
        <v>353</v>
      </c>
      <c r="K22" s="22" t="s">
        <v>184</v>
      </c>
      <c r="L22" s="22" t="s">
        <v>354</v>
      </c>
      <c r="N22" s="22" t="s">
        <v>355</v>
      </c>
      <c r="O22" s="22" t="s">
        <v>158</v>
      </c>
      <c r="P22" s="21">
        <v>10430</v>
      </c>
      <c r="Q22" s="21">
        <v>19</v>
      </c>
      <c r="R22" s="21">
        <v>15</v>
      </c>
      <c r="S22" s="21">
        <v>15</v>
      </c>
      <c r="T22" s="21" t="s">
        <v>281</v>
      </c>
      <c r="U22" s="21">
        <v>1</v>
      </c>
      <c r="V22" s="21">
        <v>1</v>
      </c>
      <c r="W22" s="24">
        <f>(4*3.14*(((Q22^1.6*R22^1.6+Q22^1.6*S22^1.6+R22^1.6+S22^1.6)/3)^(1/1.6)))*(1/V22)</f>
        <v>2793.8819874267106</v>
      </c>
      <c r="X22" s="24">
        <f>3.14/6*Q22*R22*S22*U22</f>
        <v>2237.25</v>
      </c>
      <c r="Y22" s="21">
        <v>8</v>
      </c>
      <c r="Z22" s="24">
        <f>Y22*W22</f>
        <v>22351.055899413685</v>
      </c>
      <c r="AA22" s="24">
        <f>Y22*X22</f>
        <v>17898</v>
      </c>
      <c r="AB22" s="21">
        <v>100</v>
      </c>
      <c r="AC22" s="21">
        <v>60</v>
      </c>
      <c r="AD22" s="21">
        <v>60</v>
      </c>
      <c r="AE22" s="22" t="s">
        <v>330</v>
      </c>
      <c r="AF22" s="21">
        <v>0.2</v>
      </c>
      <c r="AG22" s="22">
        <v>1</v>
      </c>
      <c r="AH22" s="25">
        <f>(AB22*AC22*2+AB22*AD22*2+AC22*AD22*2)/AG22</f>
        <v>31200</v>
      </c>
      <c r="AI22" s="25">
        <f>AB22*AC22*AD22*AF22</f>
        <v>72000</v>
      </c>
      <c r="AJ22" s="21">
        <v>17907.099999999999</v>
      </c>
      <c r="AK22" s="21">
        <v>70</v>
      </c>
      <c r="AL22" s="22" t="s">
        <v>161</v>
      </c>
      <c r="AM22" s="22">
        <v>0.22</v>
      </c>
      <c r="AO22" s="22" t="s">
        <v>331</v>
      </c>
      <c r="AP22" s="22" t="s">
        <v>230</v>
      </c>
      <c r="AQ22" s="22" t="str">
        <f>IF(AND($AK22&lt;20,AJ22&lt;10000),"Nanophytoplankton","Microphytoplankton")</f>
        <v>Microphytoplankton</v>
      </c>
      <c r="AR22" s="22">
        <v>0</v>
      </c>
      <c r="AS22" s="22">
        <v>0</v>
      </c>
      <c r="AT22" s="22">
        <v>0</v>
      </c>
      <c r="AU22" s="22">
        <v>1</v>
      </c>
      <c r="AV22" s="22">
        <v>0</v>
      </c>
      <c r="AW22" s="22">
        <v>0</v>
      </c>
      <c r="AX22" s="22">
        <v>0</v>
      </c>
      <c r="AY22" s="22">
        <v>1</v>
      </c>
      <c r="BF22" s="22">
        <v>0</v>
      </c>
      <c r="BG22" s="22">
        <v>0</v>
      </c>
      <c r="BH22" s="22">
        <f t="shared" si="7"/>
        <v>0.80076753780878429</v>
      </c>
    </row>
    <row r="23" spans="1:60" s="22" customFormat="1" ht="13">
      <c r="A23" s="22" t="s">
        <v>356</v>
      </c>
      <c r="B23" s="22" t="s">
        <v>149</v>
      </c>
      <c r="C23" s="22" t="s">
        <v>150</v>
      </c>
      <c r="D23" s="23" t="s">
        <v>151</v>
      </c>
      <c r="E23" s="22" t="s">
        <v>61</v>
      </c>
      <c r="F23" s="22" t="s">
        <v>152</v>
      </c>
      <c r="G23" s="22" t="s">
        <v>60</v>
      </c>
      <c r="H23" s="22" t="s">
        <v>326</v>
      </c>
      <c r="I23" s="22" t="s">
        <v>35</v>
      </c>
      <c r="J23" s="22" t="s">
        <v>353</v>
      </c>
      <c r="K23" s="22" t="s">
        <v>184</v>
      </c>
      <c r="L23" s="22" t="s">
        <v>328</v>
      </c>
      <c r="N23" s="22" t="s">
        <v>357</v>
      </c>
      <c r="O23" s="22" t="s">
        <v>158</v>
      </c>
      <c r="P23" s="21">
        <v>10431</v>
      </c>
      <c r="Q23" s="22">
        <v>20</v>
      </c>
      <c r="R23" s="22">
        <v>20</v>
      </c>
      <c r="S23" s="22">
        <v>20</v>
      </c>
      <c r="T23" s="22" t="s">
        <v>246</v>
      </c>
      <c r="U23" s="21">
        <v>1</v>
      </c>
      <c r="V23" s="21">
        <v>1</v>
      </c>
      <c r="W23" s="25">
        <f>4*3.14*(R23/2)*(Q23/2)/V23</f>
        <v>1256</v>
      </c>
      <c r="X23" s="25">
        <f>(3.14/6*(Q23*S23*R23))*U23</f>
        <v>4186.666666666667</v>
      </c>
      <c r="Y23" s="22">
        <v>4</v>
      </c>
      <c r="Z23" s="24">
        <f>Y23*W23</f>
        <v>5024</v>
      </c>
      <c r="AA23" s="24">
        <f>Y23*X23</f>
        <v>16746.666666666668</v>
      </c>
      <c r="AB23" s="22">
        <v>100</v>
      </c>
      <c r="AC23" s="22">
        <v>60</v>
      </c>
      <c r="AD23" s="22">
        <v>60</v>
      </c>
      <c r="AE23" s="22" t="s">
        <v>330</v>
      </c>
      <c r="AF23" s="21">
        <v>0.2</v>
      </c>
      <c r="AG23" s="22">
        <v>1</v>
      </c>
      <c r="AH23" s="25">
        <f>(AB23*AC23*2+AB23*AD23*2+AC23*AD23*2)/AG23</f>
        <v>31200</v>
      </c>
      <c r="AI23" s="25">
        <f>AB23*AC23*AD23*AF23</f>
        <v>72000</v>
      </c>
      <c r="AJ23" s="21">
        <v>16746.666666666668</v>
      </c>
      <c r="AK23" s="21">
        <v>40</v>
      </c>
      <c r="AL23" s="22" t="s">
        <v>161</v>
      </c>
      <c r="AM23" s="22">
        <v>0.22</v>
      </c>
      <c r="AO23" s="22" t="s">
        <v>331</v>
      </c>
      <c r="AP23" s="22" t="s">
        <v>230</v>
      </c>
      <c r="AQ23" s="22" t="str">
        <f>IF(AND($AK23&lt;20,AJ23&lt;10000),"Nanophytoplankton","Microphytoplankton")</f>
        <v>Microphytoplankton</v>
      </c>
      <c r="AR23" s="22">
        <v>0</v>
      </c>
      <c r="AS23" s="22">
        <v>0</v>
      </c>
      <c r="AT23" s="22">
        <v>0</v>
      </c>
      <c r="AU23" s="22">
        <v>1</v>
      </c>
      <c r="AV23" s="22">
        <v>0</v>
      </c>
      <c r="AW23" s="22">
        <v>0</v>
      </c>
      <c r="AX23" s="22">
        <v>0</v>
      </c>
      <c r="AY23" s="22">
        <v>1</v>
      </c>
      <c r="BF23" s="22">
        <v>0</v>
      </c>
      <c r="BG23" s="22">
        <v>0</v>
      </c>
      <c r="BH23" s="22">
        <f t="shared" si="7"/>
        <v>3.3333333333333335</v>
      </c>
    </row>
    <row r="24" spans="1:60" s="22" customFormat="1" ht="13">
      <c r="D24" s="23"/>
      <c r="P24" s="21"/>
      <c r="U24" s="21"/>
      <c r="V24" s="21"/>
      <c r="W24" s="25"/>
      <c r="X24" s="25"/>
      <c r="Z24" s="24"/>
      <c r="AA24" s="24"/>
      <c r="AF24" s="21"/>
      <c r="AH24" s="25"/>
      <c r="AI24" s="25"/>
      <c r="AJ24" s="21"/>
      <c r="AK24" s="21"/>
    </row>
    <row r="25" spans="1:60" s="22" customFormat="1" ht="13">
      <c r="A25" s="46" t="s">
        <v>369</v>
      </c>
      <c r="B25" s="22" t="s">
        <v>149</v>
      </c>
      <c r="C25" s="22" t="s">
        <v>150</v>
      </c>
      <c r="D25" s="23" t="s">
        <v>151</v>
      </c>
      <c r="E25" s="22" t="s">
        <v>61</v>
      </c>
      <c r="F25" s="22" t="s">
        <v>152</v>
      </c>
      <c r="G25" s="23" t="s">
        <v>370</v>
      </c>
      <c r="H25" s="23" t="s">
        <v>293</v>
      </c>
      <c r="I25" s="22" t="s">
        <v>36</v>
      </c>
      <c r="J25" s="22" t="s">
        <v>371</v>
      </c>
      <c r="N25" s="23" t="s">
        <v>372</v>
      </c>
      <c r="O25" s="22" t="s">
        <v>158</v>
      </c>
      <c r="P25" s="21">
        <v>11946</v>
      </c>
      <c r="Q25" s="21">
        <v>1.5</v>
      </c>
      <c r="R25" s="21">
        <v>1</v>
      </c>
      <c r="S25" s="21">
        <v>1</v>
      </c>
      <c r="T25" s="21" t="s">
        <v>159</v>
      </c>
      <c r="U25" s="21">
        <v>1</v>
      </c>
      <c r="V25" s="21">
        <v>1</v>
      </c>
      <c r="W25" s="24">
        <f>(4*3.14*(((Q25^1.6*R25^1.6+Q25^1.6*S25^1.6+R25^1.6+S25^1.6)/3)^(1/1.6)))*(1/V25)</f>
        <v>19.017706802900982</v>
      </c>
      <c r="X25" s="24">
        <f>3.14/6*Q25*R25*S25*U25</f>
        <v>0.78499999999999992</v>
      </c>
      <c r="Y25" s="21">
        <v>500</v>
      </c>
      <c r="Z25" s="24">
        <f>Y25*W25</f>
        <v>9508.8534014504912</v>
      </c>
      <c r="AA25" s="24">
        <f>Y25*X25</f>
        <v>392.49999999999994</v>
      </c>
      <c r="AB25" s="21">
        <v>60</v>
      </c>
      <c r="AC25" s="21">
        <v>60</v>
      </c>
      <c r="AD25" s="21">
        <v>60</v>
      </c>
      <c r="AE25" s="21" t="s">
        <v>159</v>
      </c>
      <c r="AF25" s="21">
        <v>0.1</v>
      </c>
      <c r="AG25" s="21">
        <v>1</v>
      </c>
      <c r="AH25" s="24">
        <f>(4*3.14*(((AB25^1.6*AC25^1.6+AB25^1.6*AD25^1.6+AC25^1.6+AD25^1.6)/3)^(1/1.6)))*(1/AG25)</f>
        <v>35125.510065363924</v>
      </c>
      <c r="AI25" s="24">
        <f>3.14/6*AB25*AC25*AD25*AF25</f>
        <v>11304</v>
      </c>
      <c r="AJ25" s="21">
        <v>39.25</v>
      </c>
      <c r="AK25" s="21">
        <v>70</v>
      </c>
      <c r="AL25" s="22" t="s">
        <v>373</v>
      </c>
      <c r="AM25" s="22">
        <v>0.22</v>
      </c>
      <c r="AO25" s="22" t="s">
        <v>229</v>
      </c>
      <c r="AQ25" s="22" t="str">
        <f>IF(AND($AK25&lt;20,AJ25&lt;10000),"Nanophytoplankton","Microphytoplankton")</f>
        <v>Microphytoplankton</v>
      </c>
      <c r="AR25" s="22">
        <v>0</v>
      </c>
      <c r="AS25" s="22">
        <v>0</v>
      </c>
      <c r="AT25" s="22">
        <v>0</v>
      </c>
      <c r="AU25" s="22">
        <v>1</v>
      </c>
      <c r="AV25" s="22">
        <v>0</v>
      </c>
      <c r="AW25" s="22">
        <v>0</v>
      </c>
      <c r="AX25" s="22">
        <v>0</v>
      </c>
      <c r="AY25" s="22">
        <v>1</v>
      </c>
      <c r="BG25" s="22">
        <v>0</v>
      </c>
      <c r="BH25" s="22">
        <f t="shared" si="7"/>
        <v>4.1277321610629476E-2</v>
      </c>
    </row>
    <row r="26" spans="1:60">
      <c r="BH26" s="22"/>
    </row>
    <row r="27" spans="1:60" s="22" customFormat="1" ht="28">
      <c r="A27" s="22" t="s">
        <v>474</v>
      </c>
      <c r="B27" s="22" t="s">
        <v>149</v>
      </c>
      <c r="C27" s="22" t="s">
        <v>150</v>
      </c>
      <c r="D27" s="23" t="s">
        <v>151</v>
      </c>
      <c r="E27" s="22" t="s">
        <v>61</v>
      </c>
      <c r="F27" s="22" t="s">
        <v>152</v>
      </c>
      <c r="G27" s="20" t="s">
        <v>153</v>
      </c>
      <c r="H27" s="22" t="s">
        <v>317</v>
      </c>
      <c r="I27" s="22" t="s">
        <v>38</v>
      </c>
      <c r="J27" s="22" t="s">
        <v>211</v>
      </c>
      <c r="M27" s="22" t="s">
        <v>1</v>
      </c>
      <c r="N27" s="22" t="s">
        <v>475</v>
      </c>
      <c r="O27" s="22" t="s">
        <v>158</v>
      </c>
      <c r="P27" s="21">
        <v>10964</v>
      </c>
      <c r="Q27" s="22">
        <v>5</v>
      </c>
      <c r="R27" s="22">
        <v>8</v>
      </c>
      <c r="S27" s="22">
        <v>8</v>
      </c>
      <c r="T27" s="21" t="s">
        <v>160</v>
      </c>
      <c r="U27" s="21">
        <v>1</v>
      </c>
      <c r="V27" s="21">
        <v>1</v>
      </c>
      <c r="W27" s="24">
        <f>3.14*R27*Q27+2*3.14*(S27/2)^2/V27</f>
        <v>226.08</v>
      </c>
      <c r="X27" s="25">
        <f>(3.14/4*R27^2*Q27)*U27</f>
        <v>251.20000000000002</v>
      </c>
      <c r="Y27" s="21">
        <f>AB27/Q27</f>
        <v>20</v>
      </c>
      <c r="Z27" s="24">
        <f>Y27*W27</f>
        <v>4521.6000000000004</v>
      </c>
      <c r="AA27" s="24">
        <f>Y27*X27</f>
        <v>5024</v>
      </c>
      <c r="AB27" s="22">
        <v>100</v>
      </c>
      <c r="AC27" s="22">
        <v>8</v>
      </c>
      <c r="AD27" s="22">
        <v>8</v>
      </c>
      <c r="AE27" s="21" t="s">
        <v>160</v>
      </c>
      <c r="AF27" s="21">
        <v>1</v>
      </c>
      <c r="AG27" s="21">
        <v>1</v>
      </c>
      <c r="AH27" s="24">
        <f>3.14*AC27*AB27+2*3.14*(AD27/2)^2/AG27</f>
        <v>2612.48</v>
      </c>
      <c r="AI27" s="25">
        <f>(3.14/4*AC27^2*AB27)*AF27</f>
        <v>5024</v>
      </c>
      <c r="AJ27" s="21">
        <v>5024</v>
      </c>
      <c r="AK27" s="21">
        <v>100</v>
      </c>
      <c r="AL27" s="22" t="s">
        <v>161</v>
      </c>
      <c r="AM27" s="22">
        <v>0.22</v>
      </c>
      <c r="AO27" s="22" t="s">
        <v>476</v>
      </c>
      <c r="AP27" s="22" t="s">
        <v>169</v>
      </c>
      <c r="AQ27" s="22" t="str">
        <f>IF(AND($AK27&lt;20,AJ27&lt;10000),"Nanophytoplankton","Microphytoplankton")</f>
        <v>Microphytoplankton</v>
      </c>
      <c r="AR27" s="22">
        <v>0</v>
      </c>
      <c r="AS27" s="22">
        <v>0</v>
      </c>
      <c r="AT27" s="22">
        <v>0</v>
      </c>
      <c r="AU27" s="22">
        <v>1</v>
      </c>
      <c r="AV27" s="22">
        <v>1</v>
      </c>
      <c r="AW27" s="22">
        <v>0</v>
      </c>
      <c r="AX27" s="22">
        <v>0</v>
      </c>
      <c r="AY27" s="22">
        <v>1</v>
      </c>
      <c r="BF27" s="22">
        <v>0</v>
      </c>
      <c r="BG27" s="22">
        <v>0</v>
      </c>
      <c r="BH27" s="22">
        <f t="shared" si="7"/>
        <v>1.1111111111111112</v>
      </c>
    </row>
    <row r="28" spans="1:60" s="22" customFormat="1" ht="28">
      <c r="A28" s="21" t="s">
        <v>477</v>
      </c>
      <c r="B28" s="22" t="s">
        <v>149</v>
      </c>
      <c r="C28" s="22" t="s">
        <v>150</v>
      </c>
      <c r="D28" s="23" t="s">
        <v>151</v>
      </c>
      <c r="E28" s="22" t="s">
        <v>61</v>
      </c>
      <c r="F28" s="22" t="s">
        <v>152</v>
      </c>
      <c r="G28" s="20" t="s">
        <v>153</v>
      </c>
      <c r="H28" s="22" t="s">
        <v>317</v>
      </c>
      <c r="I28" s="22" t="s">
        <v>38</v>
      </c>
      <c r="J28" s="22" t="s">
        <v>478</v>
      </c>
      <c r="M28" s="22" t="s">
        <v>1</v>
      </c>
      <c r="N28" s="22" t="s">
        <v>479</v>
      </c>
      <c r="O28" s="22" t="s">
        <v>158</v>
      </c>
      <c r="P28" s="21">
        <v>11300</v>
      </c>
      <c r="Q28" s="21">
        <v>2</v>
      </c>
      <c r="R28" s="21">
        <v>6</v>
      </c>
      <c r="S28" s="21">
        <v>6</v>
      </c>
      <c r="T28" s="21" t="s">
        <v>160</v>
      </c>
      <c r="U28" s="21">
        <v>1</v>
      </c>
      <c r="V28" s="21">
        <v>1</v>
      </c>
      <c r="W28" s="24">
        <f>3.14*R28*Q28+2*3.14*(S28/2)^2/V28</f>
        <v>94.2</v>
      </c>
      <c r="X28" s="25">
        <f>(3.14/4*R28^2*Q28)*U28</f>
        <v>56.52</v>
      </c>
      <c r="Y28" s="21">
        <f>AB28/Q28</f>
        <v>50</v>
      </c>
      <c r="Z28" s="24">
        <f>Y28*W28</f>
        <v>4710</v>
      </c>
      <c r="AA28" s="24">
        <f>Y28*X28</f>
        <v>2826</v>
      </c>
      <c r="AB28" s="22">
        <v>100</v>
      </c>
      <c r="AC28" s="21">
        <v>6</v>
      </c>
      <c r="AD28" s="21">
        <v>6</v>
      </c>
      <c r="AE28" s="21" t="s">
        <v>160</v>
      </c>
      <c r="AF28" s="21">
        <v>1</v>
      </c>
      <c r="AG28" s="21">
        <v>1</v>
      </c>
      <c r="AH28" s="24">
        <f>3.14*AC28*AB28+2*3.14*(AD28/2)^2/AG28</f>
        <v>1940.52</v>
      </c>
      <c r="AI28" s="25">
        <f>(3.14/4*AC28^2*AB28)*AF28</f>
        <v>2826</v>
      </c>
      <c r="AJ28" s="21">
        <v>2827.4</v>
      </c>
      <c r="AK28" s="21">
        <v>100</v>
      </c>
      <c r="AL28" s="22" t="s">
        <v>161</v>
      </c>
      <c r="AM28" s="22">
        <v>0.22</v>
      </c>
      <c r="AO28" s="22" t="s">
        <v>476</v>
      </c>
      <c r="AP28" s="22" t="s">
        <v>169</v>
      </c>
      <c r="AQ28" s="22" t="str">
        <f>IF(AND($AK28&lt;20,AJ28&lt;10000),"Nanophytoplankton","Microphytoplankton")</f>
        <v>Microphytoplankton</v>
      </c>
      <c r="AR28" s="22">
        <v>0</v>
      </c>
      <c r="AS28" s="22">
        <v>0</v>
      </c>
      <c r="AT28" s="22">
        <v>0</v>
      </c>
      <c r="AU28" s="22">
        <v>1</v>
      </c>
      <c r="AV28" s="22">
        <v>1</v>
      </c>
      <c r="AW28" s="22">
        <v>0</v>
      </c>
      <c r="AX28" s="22">
        <v>0</v>
      </c>
      <c r="AY28" s="22">
        <v>1</v>
      </c>
      <c r="BF28" s="22">
        <v>0</v>
      </c>
      <c r="BG28" s="22">
        <v>0</v>
      </c>
    </row>
    <row r="29" spans="1:60" s="22" customFormat="1" ht="13">
      <c r="D29" s="23"/>
      <c r="G29" s="20"/>
      <c r="P29" s="21"/>
      <c r="T29" s="21"/>
      <c r="U29" s="21"/>
      <c r="V29" s="21"/>
      <c r="W29" s="24"/>
      <c r="X29" s="25"/>
      <c r="Y29" s="21"/>
      <c r="Z29" s="24"/>
      <c r="AA29" s="24"/>
      <c r="AE29" s="21"/>
      <c r="AF29" s="21"/>
      <c r="AG29" s="21"/>
      <c r="AH29" s="24"/>
      <c r="AI29" s="25"/>
      <c r="AJ29" s="21"/>
      <c r="AK29" s="21"/>
    </row>
    <row r="30" spans="1:60" s="22" customFormat="1" ht="13">
      <c r="A30" s="21" t="s">
        <v>506</v>
      </c>
      <c r="B30" s="22" t="s">
        <v>149</v>
      </c>
      <c r="C30" s="22" t="s">
        <v>150</v>
      </c>
      <c r="D30" s="23" t="s">
        <v>151</v>
      </c>
      <c r="E30" s="22" t="s">
        <v>61</v>
      </c>
      <c r="F30" s="22" t="s">
        <v>152</v>
      </c>
      <c r="G30" s="22" t="s">
        <v>60</v>
      </c>
      <c r="H30" s="22" t="s">
        <v>507</v>
      </c>
      <c r="I30" s="22" t="s">
        <v>39</v>
      </c>
      <c r="J30" s="22" t="s">
        <v>508</v>
      </c>
      <c r="N30" s="22" t="s">
        <v>413</v>
      </c>
      <c r="O30" s="22" t="s">
        <v>158</v>
      </c>
      <c r="P30" s="21">
        <v>10210</v>
      </c>
      <c r="Q30" s="21">
        <v>5</v>
      </c>
      <c r="R30" s="21">
        <v>5</v>
      </c>
      <c r="S30" s="21">
        <v>5</v>
      </c>
      <c r="T30" s="21" t="s">
        <v>246</v>
      </c>
      <c r="U30" s="21">
        <v>1</v>
      </c>
      <c r="V30" s="22">
        <v>1</v>
      </c>
      <c r="W30" s="25">
        <f>4*3.14*(R30/2)*(Q30/2)/V30</f>
        <v>78.5</v>
      </c>
      <c r="X30" s="25">
        <f>(3.14/6*(Q30*S30*R30))*U30</f>
        <v>65.416666666666671</v>
      </c>
      <c r="Y30" s="21">
        <v>80</v>
      </c>
      <c r="Z30" s="24">
        <f t="shared" ref="Z30:Z44" si="12">Y30*W30</f>
        <v>6280</v>
      </c>
      <c r="AA30" s="24">
        <f t="shared" ref="AA30:AA44" si="13">Y30*X30</f>
        <v>5233.3333333333339</v>
      </c>
      <c r="AB30" s="21">
        <v>100</v>
      </c>
      <c r="AC30" s="21">
        <v>100</v>
      </c>
      <c r="AD30" s="21">
        <v>100</v>
      </c>
      <c r="AE30" s="21" t="s">
        <v>246</v>
      </c>
      <c r="AF30" s="21">
        <v>0.01</v>
      </c>
      <c r="AG30" s="21">
        <v>1</v>
      </c>
      <c r="AH30" s="25">
        <f>4*3.14*(AC30/2)*(AB30/2)/AG30</f>
        <v>31400</v>
      </c>
      <c r="AI30" s="25">
        <f>(3.14/6*(AD30*AB30*AC30))*AF30</f>
        <v>5233.333333333333</v>
      </c>
      <c r="AJ30" s="21">
        <v>5236</v>
      </c>
      <c r="AK30" s="21">
        <v>100</v>
      </c>
      <c r="AL30" s="22" t="s">
        <v>161</v>
      </c>
      <c r="AM30" s="22">
        <v>0.22</v>
      </c>
      <c r="AN30" s="22" t="s">
        <v>509</v>
      </c>
      <c r="AO30" s="22" t="s">
        <v>509</v>
      </c>
      <c r="AP30" s="22" t="s">
        <v>230</v>
      </c>
      <c r="AQ30" s="22" t="str">
        <f t="shared" ref="AQ30:AQ44" si="14">IF(AND($AK30&lt;20,AJ30&lt;10000),"Nanophytoplankton","Microphytoplankton")</f>
        <v>Microphytoplankton</v>
      </c>
      <c r="AR30" s="22">
        <v>0</v>
      </c>
      <c r="AS30" s="22">
        <v>0</v>
      </c>
      <c r="AT30" s="22">
        <v>0</v>
      </c>
      <c r="AU30" s="22">
        <v>1</v>
      </c>
      <c r="AV30" s="22">
        <v>0</v>
      </c>
      <c r="AW30" s="22">
        <v>0</v>
      </c>
      <c r="AX30" s="22">
        <v>0</v>
      </c>
      <c r="AY30" s="22">
        <v>1</v>
      </c>
      <c r="BF30" s="22">
        <v>0</v>
      </c>
      <c r="BG30" s="22">
        <v>0</v>
      </c>
      <c r="BH30" s="22">
        <f t="shared" si="7"/>
        <v>0.83333333333333337</v>
      </c>
    </row>
    <row r="31" spans="1:60" s="22" customFormat="1" ht="13">
      <c r="A31" s="21" t="s">
        <v>510</v>
      </c>
      <c r="B31" s="22" t="s">
        <v>149</v>
      </c>
      <c r="C31" s="22" t="s">
        <v>150</v>
      </c>
      <c r="D31" s="23" t="s">
        <v>151</v>
      </c>
      <c r="E31" s="22" t="s">
        <v>61</v>
      </c>
      <c r="F31" s="22" t="s">
        <v>152</v>
      </c>
      <c r="G31" s="22" t="s">
        <v>60</v>
      </c>
      <c r="H31" s="22" t="s">
        <v>507</v>
      </c>
      <c r="I31" s="22" t="s">
        <v>39</v>
      </c>
      <c r="J31" s="22" t="s">
        <v>508</v>
      </c>
      <c r="K31" s="22" t="s">
        <v>184</v>
      </c>
      <c r="L31" s="22" t="s">
        <v>245</v>
      </c>
      <c r="N31" s="22" t="s">
        <v>511</v>
      </c>
      <c r="O31" s="22" t="s">
        <v>158</v>
      </c>
      <c r="P31" s="21">
        <v>10211</v>
      </c>
      <c r="Q31" s="21">
        <v>5</v>
      </c>
      <c r="R31" s="21">
        <v>5</v>
      </c>
      <c r="S31" s="21">
        <v>5</v>
      </c>
      <c r="T31" s="21" t="s">
        <v>246</v>
      </c>
      <c r="U31" s="21">
        <v>1</v>
      </c>
      <c r="V31" s="22">
        <v>1</v>
      </c>
      <c r="W31" s="25">
        <f>4*3.14*(R31/2)*(Q31/2)/V31</f>
        <v>78.5</v>
      </c>
      <c r="X31" s="25">
        <f>(3.14/6*(Q31*S31*R31))*U31</f>
        <v>65.416666666666671</v>
      </c>
      <c r="Y31" s="21">
        <v>1</v>
      </c>
      <c r="Z31" s="24">
        <f t="shared" si="12"/>
        <v>78.5</v>
      </c>
      <c r="AA31" s="24">
        <f t="shared" si="13"/>
        <v>65.416666666666671</v>
      </c>
      <c r="AB31" s="21"/>
      <c r="AC31" s="21"/>
      <c r="AD31" s="21"/>
      <c r="AE31" s="21"/>
      <c r="AF31" s="21" t="s">
        <v>247</v>
      </c>
      <c r="AG31" s="21"/>
      <c r="AH31" s="24"/>
      <c r="AI31" s="24"/>
      <c r="AJ31" s="21">
        <v>65.45</v>
      </c>
      <c r="AK31" s="21">
        <v>5</v>
      </c>
      <c r="AL31" s="22" t="s">
        <v>161</v>
      </c>
      <c r="AM31" s="22">
        <v>0.22</v>
      </c>
      <c r="AN31" s="22" t="s">
        <v>509</v>
      </c>
      <c r="AO31" s="22" t="s">
        <v>509</v>
      </c>
      <c r="AP31" s="22" t="s">
        <v>230</v>
      </c>
      <c r="AQ31" s="22" t="str">
        <f t="shared" si="14"/>
        <v>Nanophytoplankton</v>
      </c>
      <c r="AR31" s="22">
        <v>0</v>
      </c>
      <c r="AS31" s="22">
        <v>0</v>
      </c>
      <c r="AT31" s="22">
        <v>0</v>
      </c>
      <c r="AU31" s="22">
        <v>1</v>
      </c>
      <c r="AV31" s="22">
        <v>0</v>
      </c>
      <c r="AW31" s="22">
        <v>0</v>
      </c>
      <c r="AX31" s="22">
        <v>0</v>
      </c>
      <c r="AY31" s="22">
        <v>1</v>
      </c>
      <c r="BF31" s="22">
        <v>0</v>
      </c>
      <c r="BG31" s="22">
        <v>0</v>
      </c>
      <c r="BH31" s="22">
        <f t="shared" si="7"/>
        <v>0.83333333333333337</v>
      </c>
    </row>
    <row r="32" spans="1:60" s="29" customFormat="1" ht="13">
      <c r="A32" s="21" t="s">
        <v>512</v>
      </c>
      <c r="B32" s="22" t="s">
        <v>149</v>
      </c>
      <c r="C32" s="22" t="s">
        <v>150</v>
      </c>
      <c r="D32" s="23" t="s">
        <v>151</v>
      </c>
      <c r="E32" s="22" t="s">
        <v>61</v>
      </c>
      <c r="F32" s="22" t="s">
        <v>152</v>
      </c>
      <c r="G32" s="22" t="s">
        <v>60</v>
      </c>
      <c r="H32" s="22" t="s">
        <v>507</v>
      </c>
      <c r="I32" s="22" t="s">
        <v>39</v>
      </c>
      <c r="J32" s="21" t="s">
        <v>188</v>
      </c>
      <c r="K32" s="22"/>
      <c r="L32" s="22" t="s">
        <v>513</v>
      </c>
      <c r="M32" s="22"/>
      <c r="N32" s="22" t="s">
        <v>514</v>
      </c>
      <c r="O32" s="22" t="s">
        <v>158</v>
      </c>
      <c r="P32" s="21">
        <v>10265</v>
      </c>
      <c r="Q32" s="22">
        <v>4</v>
      </c>
      <c r="R32" s="22">
        <v>4</v>
      </c>
      <c r="S32" s="22">
        <v>4</v>
      </c>
      <c r="T32" s="21" t="s">
        <v>246</v>
      </c>
      <c r="U32" s="21">
        <v>1</v>
      </c>
      <c r="V32" s="22">
        <v>1</v>
      </c>
      <c r="W32" s="25">
        <f>4*3.14*(R32/2)*(Q32/2)/V32</f>
        <v>50.24</v>
      </c>
      <c r="X32" s="25">
        <f>(3.14/6*(Q32*S32*R32))*U32</f>
        <v>33.493333333333332</v>
      </c>
      <c r="Y32" s="21">
        <v>700</v>
      </c>
      <c r="Z32" s="24">
        <f t="shared" si="12"/>
        <v>35168</v>
      </c>
      <c r="AA32" s="24">
        <f t="shared" si="13"/>
        <v>23445.333333333332</v>
      </c>
      <c r="AB32" s="22">
        <v>170</v>
      </c>
      <c r="AC32" s="22">
        <v>65</v>
      </c>
      <c r="AD32" s="22">
        <v>40</v>
      </c>
      <c r="AE32" s="22" t="s">
        <v>159</v>
      </c>
      <c r="AF32" s="21">
        <v>0.1</v>
      </c>
      <c r="AG32" s="21">
        <v>1</v>
      </c>
      <c r="AH32" s="24">
        <f>(4*3.14*(((AB32^1.6*AC32^1.6+AB32^1.6*AD32^1.6+AC32^1.6+AD32^1.6)/3)^(1/1.6)))*(1/AG32)</f>
        <v>88495.394668262117</v>
      </c>
      <c r="AI32" s="24">
        <f>3.14/6*AB32*AC32*AD32*AF32</f>
        <v>23131.333333333332</v>
      </c>
      <c r="AJ32" s="21">
        <v>23140</v>
      </c>
      <c r="AK32" s="21">
        <v>170</v>
      </c>
      <c r="AL32" s="22" t="s">
        <v>161</v>
      </c>
      <c r="AM32" s="22">
        <v>0.22</v>
      </c>
      <c r="AN32" s="22" t="s">
        <v>509</v>
      </c>
      <c r="AO32" s="22" t="s">
        <v>509</v>
      </c>
      <c r="AP32" s="22" t="s">
        <v>230</v>
      </c>
      <c r="AQ32" s="22" t="str">
        <f t="shared" si="14"/>
        <v>Microphytoplankton</v>
      </c>
      <c r="AR32" s="22">
        <v>0</v>
      </c>
      <c r="AS32" s="22">
        <v>0</v>
      </c>
      <c r="AT32" s="22">
        <v>0</v>
      </c>
      <c r="AU32" s="22">
        <v>1</v>
      </c>
      <c r="AV32" s="22">
        <v>0</v>
      </c>
      <c r="AW32" s="22">
        <v>0</v>
      </c>
      <c r="AX32" s="22">
        <v>0</v>
      </c>
      <c r="AY32" s="22">
        <v>1</v>
      </c>
      <c r="AZ32" s="22"/>
      <c r="BA32" s="22"/>
      <c r="BB32" s="22"/>
      <c r="BC32" s="22"/>
      <c r="BD32" s="22"/>
      <c r="BE32" s="22"/>
      <c r="BF32" s="29">
        <v>0</v>
      </c>
      <c r="BG32" s="29">
        <v>0</v>
      </c>
      <c r="BH32" s="22">
        <f t="shared" si="7"/>
        <v>0.66666666666666663</v>
      </c>
    </row>
    <row r="33" spans="1:60" s="22" customFormat="1" ht="13">
      <c r="A33" s="22" t="s">
        <v>518</v>
      </c>
      <c r="B33" s="22" t="s">
        <v>149</v>
      </c>
      <c r="C33" s="22" t="s">
        <v>150</v>
      </c>
      <c r="D33" s="23" t="s">
        <v>151</v>
      </c>
      <c r="E33" s="22" t="s">
        <v>61</v>
      </c>
      <c r="F33" s="22" t="s">
        <v>152</v>
      </c>
      <c r="G33" s="22" t="s">
        <v>60</v>
      </c>
      <c r="H33" s="22" t="s">
        <v>507</v>
      </c>
      <c r="I33" s="22" t="s">
        <v>39</v>
      </c>
      <c r="J33" s="22" t="s">
        <v>519</v>
      </c>
      <c r="N33" s="22" t="s">
        <v>520</v>
      </c>
      <c r="O33" s="22" t="s">
        <v>158</v>
      </c>
      <c r="P33" s="21">
        <v>10201</v>
      </c>
      <c r="Q33" s="22">
        <v>5</v>
      </c>
      <c r="R33" s="22">
        <v>5</v>
      </c>
      <c r="S33" s="22">
        <v>5</v>
      </c>
      <c r="T33" s="22" t="s">
        <v>246</v>
      </c>
      <c r="U33" s="21">
        <v>1</v>
      </c>
      <c r="V33" s="21">
        <v>1</v>
      </c>
      <c r="W33" s="25">
        <f>4*3.14*(R33/2)*(Q33/2)/V33</f>
        <v>78.5</v>
      </c>
      <c r="X33" s="25">
        <f>(3.14/6*(Q33*S33*R33))*U33</f>
        <v>65.416666666666671</v>
      </c>
      <c r="Y33" s="22">
        <v>50</v>
      </c>
      <c r="Z33" s="24">
        <f t="shared" si="12"/>
        <v>3925</v>
      </c>
      <c r="AA33" s="24">
        <f t="shared" si="13"/>
        <v>3270.8333333333335</v>
      </c>
      <c r="AB33" s="22">
        <v>15</v>
      </c>
      <c r="AC33" s="22">
        <v>15</v>
      </c>
      <c r="AD33" s="22">
        <v>15</v>
      </c>
      <c r="AE33" s="22" t="s">
        <v>159</v>
      </c>
      <c r="AF33" s="21">
        <v>0.2</v>
      </c>
      <c r="AG33" s="22">
        <v>1</v>
      </c>
      <c r="AH33" s="24">
        <f>(4*3.14*(((AB33^1.6*AC33^1.6+AB33^1.6*AD33^1.6+AC33^1.6+AD33^1.6)/3)^(1/1.6)))*(1/AG33)</f>
        <v>2211.3412553863004</v>
      </c>
      <c r="AI33" s="24">
        <f>3.14/6*AB33*AC33*AD33*AF33</f>
        <v>353.25</v>
      </c>
      <c r="AJ33" s="21">
        <v>3270.8333333333335</v>
      </c>
      <c r="AK33" s="21">
        <v>100</v>
      </c>
      <c r="AL33" s="22" t="s">
        <v>161</v>
      </c>
      <c r="AM33" s="22">
        <v>0.22</v>
      </c>
      <c r="AN33" s="22" t="s">
        <v>509</v>
      </c>
      <c r="AO33" s="22" t="s">
        <v>509</v>
      </c>
      <c r="AP33" s="22" t="s">
        <v>230</v>
      </c>
      <c r="AQ33" s="22" t="str">
        <f t="shared" si="14"/>
        <v>Microphytoplankton</v>
      </c>
      <c r="AR33" s="22">
        <v>0</v>
      </c>
      <c r="AS33" s="22">
        <v>0</v>
      </c>
      <c r="AT33" s="22">
        <v>0</v>
      </c>
      <c r="AU33" s="22">
        <v>1</v>
      </c>
      <c r="AV33" s="22">
        <v>0</v>
      </c>
      <c r="AW33" s="22">
        <v>0</v>
      </c>
      <c r="AX33" s="22">
        <v>0</v>
      </c>
      <c r="AY33" s="22">
        <v>1</v>
      </c>
      <c r="BF33" s="22">
        <v>0</v>
      </c>
      <c r="BG33" s="22">
        <v>0</v>
      </c>
      <c r="BH33" s="22">
        <f t="shared" si="7"/>
        <v>0.83333333333333337</v>
      </c>
    </row>
    <row r="34" spans="1:60" s="22" customFormat="1" ht="13">
      <c r="D34" s="23"/>
      <c r="P34" s="21"/>
      <c r="U34" s="21"/>
      <c r="V34" s="21"/>
      <c r="W34" s="25"/>
      <c r="X34" s="25"/>
      <c r="Z34" s="24"/>
      <c r="AA34" s="24"/>
      <c r="AF34" s="21"/>
      <c r="AH34" s="24"/>
      <c r="AI34" s="24"/>
      <c r="AJ34" s="21"/>
      <c r="AK34" s="21"/>
    </row>
    <row r="35" spans="1:60" s="22" customFormat="1" ht="13">
      <c r="A35" s="21" t="s">
        <v>593</v>
      </c>
      <c r="B35" s="22" t="s">
        <v>149</v>
      </c>
      <c r="C35" s="22" t="s">
        <v>150</v>
      </c>
      <c r="D35" s="23" t="s">
        <v>151</v>
      </c>
      <c r="E35" s="22" t="s">
        <v>61</v>
      </c>
      <c r="F35" s="22" t="s">
        <v>152</v>
      </c>
      <c r="G35" s="22" t="s">
        <v>60</v>
      </c>
      <c r="H35" s="22" t="s">
        <v>293</v>
      </c>
      <c r="I35" s="22" t="s">
        <v>41</v>
      </c>
      <c r="J35" s="22" t="s">
        <v>594</v>
      </c>
      <c r="N35" s="22" t="s">
        <v>157</v>
      </c>
      <c r="O35" s="22" t="s">
        <v>158</v>
      </c>
      <c r="P35" s="21">
        <v>11410</v>
      </c>
      <c r="Q35" s="21">
        <v>4.5</v>
      </c>
      <c r="R35" s="21">
        <v>2.5</v>
      </c>
      <c r="S35" s="21">
        <v>2.5</v>
      </c>
      <c r="T35" s="21" t="s">
        <v>281</v>
      </c>
      <c r="U35" s="21">
        <v>1</v>
      </c>
      <c r="V35" s="21">
        <v>1</v>
      </c>
      <c r="W35" s="24">
        <f>(4*3.14*(((Q35^1.6*R35^1.6+Q35^1.6*S35^1.6+R35^1.6+S35^1.6)/3)^(1/1.6)))*(1/V35)</f>
        <v>115.74668769134369</v>
      </c>
      <c r="X35" s="24">
        <f>3.14/6*Q35*R35*S35*U35</f>
        <v>14.71875</v>
      </c>
      <c r="Y35" s="21">
        <v>115</v>
      </c>
      <c r="Z35" s="24">
        <f t="shared" si="12"/>
        <v>13310.869084504526</v>
      </c>
      <c r="AA35" s="24">
        <f t="shared" si="13"/>
        <v>1692.65625</v>
      </c>
      <c r="AB35" s="21">
        <v>30</v>
      </c>
      <c r="AC35" s="21">
        <v>30</v>
      </c>
      <c r="AD35" s="21">
        <v>30</v>
      </c>
      <c r="AE35" s="21" t="s">
        <v>281</v>
      </c>
      <c r="AF35" s="21">
        <v>0.1</v>
      </c>
      <c r="AG35" s="21">
        <v>1</v>
      </c>
      <c r="AH35" s="24">
        <f>(4*3.14*(((AB35^1.6*AC35^1.6+AB35^1.6*AD35^1.6+AC35^1.6+AD35^1.6)/3)^(1/1.6)))*(1/AG35)</f>
        <v>8797.275695246879</v>
      </c>
      <c r="AI35" s="24">
        <f>3.14/6*AB35*AC35*AD35*AF35</f>
        <v>1413</v>
      </c>
      <c r="AJ35" s="21">
        <v>5484.2062500000002</v>
      </c>
      <c r="AK35" s="21">
        <v>30</v>
      </c>
      <c r="AL35" s="22" t="s">
        <v>161</v>
      </c>
      <c r="AM35" s="22">
        <v>0.22</v>
      </c>
      <c r="AP35" s="22" t="s">
        <v>230</v>
      </c>
      <c r="AQ35" s="22" t="str">
        <f t="shared" si="14"/>
        <v>Microphytoplankton</v>
      </c>
      <c r="AR35" s="22">
        <v>0</v>
      </c>
      <c r="AS35" s="22">
        <v>0</v>
      </c>
      <c r="AT35" s="22">
        <v>0</v>
      </c>
      <c r="AU35" s="22">
        <v>1</v>
      </c>
      <c r="AV35" s="22">
        <v>0</v>
      </c>
      <c r="AW35" s="22">
        <v>0</v>
      </c>
      <c r="AX35" s="22">
        <v>0</v>
      </c>
      <c r="AY35" s="22">
        <v>1</v>
      </c>
      <c r="BG35" s="22">
        <v>0</v>
      </c>
      <c r="BH35" s="22">
        <f t="shared" si="7"/>
        <v>0.12716346613088234</v>
      </c>
    </row>
    <row r="36" spans="1:60" s="22" customFormat="1" ht="13">
      <c r="A36" s="21"/>
      <c r="D36" s="23"/>
      <c r="P36" s="21"/>
      <c r="Q36" s="21"/>
      <c r="R36" s="21"/>
      <c r="S36" s="21"/>
      <c r="T36" s="21"/>
      <c r="U36" s="21"/>
      <c r="V36" s="21"/>
      <c r="W36" s="24"/>
      <c r="X36" s="24"/>
      <c r="Y36" s="21"/>
      <c r="Z36" s="24"/>
      <c r="AA36" s="24"/>
      <c r="AB36" s="21"/>
      <c r="AC36" s="21"/>
      <c r="AD36" s="21"/>
      <c r="AE36" s="21"/>
      <c r="AF36" s="21"/>
      <c r="AG36" s="21"/>
      <c r="AH36" s="24"/>
      <c r="AI36" s="24"/>
      <c r="AJ36" s="21"/>
      <c r="AK36" s="21"/>
    </row>
    <row r="37" spans="1:60" s="22" customFormat="1" ht="13">
      <c r="A37" s="21" t="s">
        <v>1514</v>
      </c>
      <c r="B37" s="22" t="s">
        <v>663</v>
      </c>
      <c r="C37" s="23" t="s">
        <v>822</v>
      </c>
      <c r="D37" s="23" t="s">
        <v>965</v>
      </c>
      <c r="E37" s="22" t="s">
        <v>62</v>
      </c>
      <c r="F37" s="22" t="s">
        <v>1424</v>
      </c>
      <c r="G37" s="23" t="s">
        <v>1507</v>
      </c>
      <c r="H37" s="23" t="s">
        <v>1508</v>
      </c>
      <c r="I37" s="22" t="s">
        <v>40</v>
      </c>
      <c r="J37" s="22" t="s">
        <v>1515</v>
      </c>
      <c r="N37" s="22" t="s">
        <v>1516</v>
      </c>
      <c r="O37" s="22" t="s">
        <v>1430</v>
      </c>
      <c r="P37" s="21">
        <v>70115</v>
      </c>
      <c r="Q37" s="21">
        <v>30</v>
      </c>
      <c r="R37" s="21">
        <v>8</v>
      </c>
      <c r="S37" s="21">
        <v>8</v>
      </c>
      <c r="T37" s="21" t="s">
        <v>160</v>
      </c>
      <c r="U37" s="21">
        <v>1</v>
      </c>
      <c r="V37" s="22">
        <v>1</v>
      </c>
      <c r="W37" s="24">
        <f t="shared" ref="W37:W42" si="15">3.14*R37*Q37+2*3.14*(S37/2)^2/V37</f>
        <v>854.08</v>
      </c>
      <c r="X37" s="25">
        <f t="shared" ref="X37:X42" si="16">(3.14/4*R37^2*Q37)*U37</f>
        <v>1507.2</v>
      </c>
      <c r="Y37" s="22">
        <v>1</v>
      </c>
      <c r="Z37" s="24">
        <f t="shared" si="12"/>
        <v>854.08</v>
      </c>
      <c r="AA37" s="24">
        <f t="shared" si="13"/>
        <v>1507.2</v>
      </c>
      <c r="AB37" s="21"/>
      <c r="AC37" s="21"/>
      <c r="AD37" s="21"/>
      <c r="AF37" s="21" t="s">
        <v>247</v>
      </c>
      <c r="AH37" s="25"/>
      <c r="AI37" s="25"/>
      <c r="AJ37" s="21">
        <v>1920</v>
      </c>
      <c r="AK37" s="21">
        <v>100</v>
      </c>
      <c r="AL37" s="22" t="s">
        <v>161</v>
      </c>
      <c r="AM37" s="22">
        <v>0.11</v>
      </c>
      <c r="AN37" s="22" t="s">
        <v>1517</v>
      </c>
      <c r="AO37" s="22" t="s">
        <v>1517</v>
      </c>
      <c r="AP37" s="22" t="s">
        <v>1432</v>
      </c>
      <c r="AQ37" s="22" t="str">
        <f t="shared" si="14"/>
        <v>Microphytoplankton</v>
      </c>
      <c r="AR37" s="22">
        <v>0</v>
      </c>
      <c r="AS37" s="22">
        <v>0</v>
      </c>
      <c r="AT37" s="22">
        <v>0</v>
      </c>
      <c r="AU37" s="22">
        <v>1</v>
      </c>
      <c r="AV37" s="22">
        <v>1</v>
      </c>
      <c r="AW37" s="22">
        <v>0</v>
      </c>
      <c r="AX37" s="22">
        <v>1</v>
      </c>
      <c r="AY37" s="22">
        <v>0</v>
      </c>
      <c r="AZ37" s="22">
        <v>0</v>
      </c>
      <c r="BA37" s="22">
        <v>0</v>
      </c>
      <c r="BB37" s="22">
        <v>0</v>
      </c>
      <c r="BC37" s="22">
        <v>4</v>
      </c>
      <c r="BD37" s="22">
        <v>3</v>
      </c>
      <c r="BE37" s="22">
        <v>3</v>
      </c>
      <c r="BF37" s="22">
        <v>0</v>
      </c>
      <c r="BG37" s="22">
        <v>1</v>
      </c>
      <c r="BH37" s="22">
        <f t="shared" si="7"/>
        <v>1.7647058823529411</v>
      </c>
    </row>
    <row r="38" spans="1:60" s="22" customFormat="1" ht="13">
      <c r="A38" s="21" t="s">
        <v>1518</v>
      </c>
      <c r="B38" s="22" t="s">
        <v>663</v>
      </c>
      <c r="C38" s="23" t="s">
        <v>822</v>
      </c>
      <c r="D38" s="23" t="s">
        <v>965</v>
      </c>
      <c r="E38" s="22" t="s">
        <v>62</v>
      </c>
      <c r="F38" s="22" t="s">
        <v>1424</v>
      </c>
      <c r="G38" s="23" t="s">
        <v>1507</v>
      </c>
      <c r="H38" s="23" t="s">
        <v>1508</v>
      </c>
      <c r="I38" s="22" t="s">
        <v>40</v>
      </c>
      <c r="J38" s="22" t="s">
        <v>1515</v>
      </c>
      <c r="K38" s="22" t="s">
        <v>175</v>
      </c>
      <c r="L38" s="22" t="s">
        <v>1519</v>
      </c>
      <c r="N38" s="22" t="s">
        <v>1520</v>
      </c>
      <c r="O38" s="22" t="s">
        <v>1430</v>
      </c>
      <c r="P38" s="21">
        <v>70110</v>
      </c>
      <c r="Q38" s="21">
        <v>36</v>
      </c>
      <c r="R38" s="21">
        <v>4</v>
      </c>
      <c r="S38" s="21">
        <v>4</v>
      </c>
      <c r="T38" s="21" t="s">
        <v>160</v>
      </c>
      <c r="U38" s="21">
        <v>1</v>
      </c>
      <c r="V38" s="22">
        <v>1</v>
      </c>
      <c r="W38" s="24">
        <f t="shared" si="15"/>
        <v>477.28000000000003</v>
      </c>
      <c r="X38" s="25">
        <f t="shared" si="16"/>
        <v>452.16</v>
      </c>
      <c r="Y38" s="22">
        <v>1</v>
      </c>
      <c r="Z38" s="24">
        <f t="shared" si="12"/>
        <v>477.28000000000003</v>
      </c>
      <c r="AA38" s="24">
        <f t="shared" si="13"/>
        <v>452.16</v>
      </c>
      <c r="AB38" s="21"/>
      <c r="AC38" s="21"/>
      <c r="AD38" s="21"/>
      <c r="AF38" s="21" t="s">
        <v>247</v>
      </c>
      <c r="AH38" s="25"/>
      <c r="AI38" s="25"/>
      <c r="AJ38" s="21">
        <v>452.4</v>
      </c>
      <c r="AK38" s="21">
        <v>100</v>
      </c>
      <c r="AL38" s="22" t="s">
        <v>161</v>
      </c>
      <c r="AM38" s="22">
        <v>0.11</v>
      </c>
      <c r="AN38" s="22" t="s">
        <v>1517</v>
      </c>
      <c r="AO38" s="22" t="s">
        <v>1517</v>
      </c>
      <c r="AP38" s="22" t="s">
        <v>1432</v>
      </c>
      <c r="AQ38" s="22" t="str">
        <f t="shared" si="14"/>
        <v>Microphytoplankton</v>
      </c>
      <c r="AR38" s="22">
        <v>0</v>
      </c>
      <c r="AS38" s="22">
        <v>0</v>
      </c>
      <c r="AT38" s="22">
        <v>0</v>
      </c>
      <c r="AU38" s="22">
        <v>1</v>
      </c>
      <c r="AV38" s="22">
        <v>1</v>
      </c>
      <c r="AW38" s="22">
        <v>0</v>
      </c>
      <c r="AX38" s="22">
        <v>1</v>
      </c>
      <c r="AY38" s="22">
        <v>0</v>
      </c>
      <c r="AZ38" s="22">
        <v>0</v>
      </c>
      <c r="BA38" s="22">
        <v>0</v>
      </c>
      <c r="BB38" s="22">
        <v>0</v>
      </c>
      <c r="BC38" s="22">
        <v>2</v>
      </c>
      <c r="BD38" s="22">
        <v>4</v>
      </c>
      <c r="BE38" s="22">
        <v>4</v>
      </c>
      <c r="BF38" s="22">
        <v>0</v>
      </c>
      <c r="BG38" s="22">
        <v>1</v>
      </c>
      <c r="BH38" s="22">
        <f t="shared" si="7"/>
        <v>0.94736842105263153</v>
      </c>
    </row>
    <row r="39" spans="1:60" s="22" customFormat="1" ht="13">
      <c r="A39" s="22" t="s">
        <v>1521</v>
      </c>
      <c r="B39" s="22" t="s">
        <v>663</v>
      </c>
      <c r="C39" s="23" t="s">
        <v>822</v>
      </c>
      <c r="D39" s="23" t="s">
        <v>965</v>
      </c>
      <c r="E39" s="22" t="s">
        <v>62</v>
      </c>
      <c r="F39" s="22" t="s">
        <v>1424</v>
      </c>
      <c r="G39" s="23" t="s">
        <v>1507</v>
      </c>
      <c r="H39" s="23" t="s">
        <v>1508</v>
      </c>
      <c r="I39" s="22" t="s">
        <v>40</v>
      </c>
      <c r="J39" s="22" t="s">
        <v>1515</v>
      </c>
      <c r="K39" s="22" t="s">
        <v>175</v>
      </c>
      <c r="L39" s="22" t="s">
        <v>1522</v>
      </c>
      <c r="N39" s="22" t="s">
        <v>1523</v>
      </c>
      <c r="O39" s="22" t="s">
        <v>1430</v>
      </c>
      <c r="P39" s="21">
        <v>70113</v>
      </c>
      <c r="Q39" s="22">
        <v>17</v>
      </c>
      <c r="R39" s="22">
        <v>4</v>
      </c>
      <c r="S39" s="22">
        <v>4</v>
      </c>
      <c r="T39" s="21" t="s">
        <v>160</v>
      </c>
      <c r="U39" s="21">
        <v>1</v>
      </c>
      <c r="V39" s="22">
        <v>1</v>
      </c>
      <c r="W39" s="24">
        <f t="shared" si="15"/>
        <v>238.64000000000001</v>
      </c>
      <c r="X39" s="25">
        <f t="shared" si="16"/>
        <v>213.52</v>
      </c>
      <c r="Y39" s="22">
        <v>1</v>
      </c>
      <c r="Z39" s="24">
        <f t="shared" si="12"/>
        <v>238.64000000000001</v>
      </c>
      <c r="AA39" s="24">
        <f t="shared" si="13"/>
        <v>213.52</v>
      </c>
      <c r="AF39" s="21" t="s">
        <v>247</v>
      </c>
      <c r="AH39" s="25"/>
      <c r="AI39" s="25"/>
      <c r="AJ39" s="21">
        <v>908</v>
      </c>
      <c r="AK39" s="21">
        <v>100</v>
      </c>
      <c r="AL39" s="22" t="s">
        <v>161</v>
      </c>
      <c r="AM39" s="22">
        <v>0.11</v>
      </c>
      <c r="AN39" s="22" t="s">
        <v>1517</v>
      </c>
      <c r="AO39" s="22" t="s">
        <v>1517</v>
      </c>
      <c r="AP39" s="22" t="s">
        <v>1432</v>
      </c>
      <c r="AQ39" s="22" t="str">
        <f t="shared" si="14"/>
        <v>Microphytoplankton</v>
      </c>
      <c r="AR39" s="22">
        <v>0</v>
      </c>
      <c r="AS39" s="22">
        <v>0</v>
      </c>
      <c r="AT39" s="22">
        <v>0</v>
      </c>
      <c r="AU39" s="22">
        <v>1</v>
      </c>
      <c r="AV39" s="22">
        <v>1</v>
      </c>
      <c r="AW39" s="22">
        <v>0</v>
      </c>
      <c r="AX39" s="22">
        <v>1</v>
      </c>
      <c r="AY39" s="22">
        <v>0</v>
      </c>
      <c r="BF39" s="22">
        <v>0</v>
      </c>
      <c r="BG39" s="22">
        <v>1</v>
      </c>
      <c r="BH39" s="22">
        <f t="shared" si="7"/>
        <v>0.89473684210526316</v>
      </c>
    </row>
    <row r="40" spans="1:60" s="22" customFormat="1" ht="13">
      <c r="C40" s="23"/>
      <c r="D40" s="23"/>
      <c r="G40" s="23"/>
      <c r="H40" s="23"/>
      <c r="P40" s="21"/>
      <c r="T40" s="21"/>
      <c r="U40" s="21"/>
      <c r="W40" s="24"/>
      <c r="X40" s="25"/>
      <c r="Z40" s="24"/>
      <c r="AA40" s="24"/>
      <c r="AF40" s="21"/>
      <c r="AH40" s="25"/>
      <c r="AI40" s="25"/>
      <c r="AJ40" s="21"/>
      <c r="AK40" s="21"/>
    </row>
    <row r="41" spans="1:60" s="22" customFormat="1" ht="13">
      <c r="A41" s="21" t="s">
        <v>1634</v>
      </c>
      <c r="B41" s="22" t="s">
        <v>663</v>
      </c>
      <c r="C41" s="23" t="s">
        <v>822</v>
      </c>
      <c r="D41" s="23" t="s">
        <v>965</v>
      </c>
      <c r="E41" s="22" t="s">
        <v>62</v>
      </c>
      <c r="F41" s="22" t="s">
        <v>1424</v>
      </c>
      <c r="G41" s="23" t="s">
        <v>1553</v>
      </c>
      <c r="H41" s="23" t="s">
        <v>1554</v>
      </c>
      <c r="I41" s="22" t="s">
        <v>42</v>
      </c>
      <c r="J41" s="21" t="s">
        <v>1142</v>
      </c>
      <c r="K41" s="21"/>
      <c r="L41" s="21"/>
      <c r="N41" s="22" t="s">
        <v>1635</v>
      </c>
      <c r="O41" s="22" t="s">
        <v>1430</v>
      </c>
      <c r="P41" s="21">
        <v>70297</v>
      </c>
      <c r="Q41" s="21">
        <v>20</v>
      </c>
      <c r="R41" s="21">
        <v>20</v>
      </c>
      <c r="S41" s="21">
        <v>5</v>
      </c>
      <c r="T41" s="21" t="s">
        <v>160</v>
      </c>
      <c r="U41" s="21">
        <v>1</v>
      </c>
      <c r="V41" s="22">
        <v>1</v>
      </c>
      <c r="W41" s="24">
        <f t="shared" si="15"/>
        <v>1295.25</v>
      </c>
      <c r="X41" s="25">
        <f t="shared" si="16"/>
        <v>6280</v>
      </c>
      <c r="Y41" s="21">
        <v>1</v>
      </c>
      <c r="Z41" s="24">
        <f t="shared" si="12"/>
        <v>1295.25</v>
      </c>
      <c r="AA41" s="24">
        <f t="shared" si="13"/>
        <v>6280</v>
      </c>
      <c r="AB41" s="21"/>
      <c r="AC41" s="21"/>
      <c r="AD41" s="21"/>
      <c r="AE41" s="21"/>
      <c r="AF41" s="21" t="s">
        <v>247</v>
      </c>
      <c r="AG41" s="21"/>
      <c r="AH41" s="24"/>
      <c r="AI41" s="24"/>
      <c r="AJ41" s="21">
        <v>1570</v>
      </c>
      <c r="AK41" s="21">
        <v>20</v>
      </c>
      <c r="AL41" s="22" t="s">
        <v>1636</v>
      </c>
      <c r="AM41" s="22">
        <v>0.11</v>
      </c>
      <c r="AP41" s="22" t="s">
        <v>1432</v>
      </c>
      <c r="AQ41" s="22" t="str">
        <f t="shared" si="14"/>
        <v>Microphytoplankton</v>
      </c>
      <c r="AR41" s="22">
        <v>0</v>
      </c>
      <c r="AS41" s="22">
        <v>0</v>
      </c>
      <c r="AT41" s="22">
        <v>0</v>
      </c>
      <c r="AU41" s="22">
        <v>0</v>
      </c>
      <c r="AV41" s="22">
        <v>0</v>
      </c>
      <c r="AW41" s="22">
        <v>0</v>
      </c>
      <c r="AX41" s="22">
        <v>1</v>
      </c>
      <c r="AY41" s="22">
        <v>0</v>
      </c>
      <c r="AZ41" s="22">
        <v>4</v>
      </c>
      <c r="BA41" s="22">
        <v>4</v>
      </c>
      <c r="BB41" s="22">
        <v>1</v>
      </c>
      <c r="BC41" s="22">
        <v>1</v>
      </c>
      <c r="BD41" s="22">
        <v>0</v>
      </c>
      <c r="BE41" s="22">
        <v>0</v>
      </c>
      <c r="BF41" s="22">
        <v>0</v>
      </c>
      <c r="BG41" s="22">
        <v>1</v>
      </c>
      <c r="BH41" s="22">
        <f t="shared" si="7"/>
        <v>4.8484848484848486</v>
      </c>
    </row>
    <row r="42" spans="1:60" s="22" customFormat="1" ht="13">
      <c r="A42" s="21" t="s">
        <v>1622</v>
      </c>
      <c r="B42" s="22" t="s">
        <v>663</v>
      </c>
      <c r="C42" s="23" t="s">
        <v>822</v>
      </c>
      <c r="D42" s="23" t="s">
        <v>965</v>
      </c>
      <c r="E42" s="22" t="s">
        <v>62</v>
      </c>
      <c r="F42" s="22" t="s">
        <v>1424</v>
      </c>
      <c r="G42" s="23" t="s">
        <v>1553</v>
      </c>
      <c r="H42" s="23" t="s">
        <v>1554</v>
      </c>
      <c r="I42" s="22" t="s">
        <v>42</v>
      </c>
      <c r="J42" s="21" t="s">
        <v>1623</v>
      </c>
      <c r="K42" s="21"/>
      <c r="L42" s="21"/>
      <c r="N42" s="22" t="s">
        <v>413</v>
      </c>
      <c r="O42" s="22" t="s">
        <v>1430</v>
      </c>
      <c r="P42" s="21">
        <v>70290</v>
      </c>
      <c r="Q42" s="21">
        <v>20</v>
      </c>
      <c r="R42" s="21">
        <v>20</v>
      </c>
      <c r="S42" s="21">
        <v>5</v>
      </c>
      <c r="T42" s="21" t="s">
        <v>160</v>
      </c>
      <c r="U42" s="21">
        <v>1</v>
      </c>
      <c r="V42" s="22">
        <v>1</v>
      </c>
      <c r="W42" s="24">
        <f t="shared" si="15"/>
        <v>1295.25</v>
      </c>
      <c r="X42" s="25">
        <f t="shared" si="16"/>
        <v>6280</v>
      </c>
      <c r="Y42" s="21">
        <v>1</v>
      </c>
      <c r="Z42" s="24">
        <f t="shared" si="12"/>
        <v>1295.25</v>
      </c>
      <c r="AA42" s="24">
        <f t="shared" si="13"/>
        <v>6280</v>
      </c>
      <c r="AB42" s="21"/>
      <c r="AC42" s="21"/>
      <c r="AD42" s="21"/>
      <c r="AE42" s="21"/>
      <c r="AF42" s="21" t="s">
        <v>247</v>
      </c>
      <c r="AG42" s="21"/>
      <c r="AH42" s="24"/>
      <c r="AI42" s="24"/>
      <c r="AJ42" s="21">
        <v>1570.8</v>
      </c>
      <c r="AK42" s="21">
        <v>20</v>
      </c>
      <c r="AL42" s="22" t="s">
        <v>161</v>
      </c>
      <c r="AM42" s="22">
        <v>0.11</v>
      </c>
      <c r="AO42" s="22" t="s">
        <v>1505</v>
      </c>
      <c r="AP42" s="22" t="s">
        <v>1432</v>
      </c>
      <c r="AQ42" s="22" t="str">
        <f t="shared" si="14"/>
        <v>Microphytoplankton</v>
      </c>
      <c r="AR42" s="22">
        <v>0</v>
      </c>
      <c r="AS42" s="22">
        <v>0</v>
      </c>
      <c r="AT42" s="22">
        <v>0</v>
      </c>
      <c r="AU42" s="22">
        <v>0</v>
      </c>
      <c r="AV42" s="22">
        <v>0</v>
      </c>
      <c r="AW42" s="22">
        <v>0</v>
      </c>
      <c r="AX42" s="22">
        <v>1</v>
      </c>
      <c r="AY42" s="22">
        <v>0</v>
      </c>
      <c r="BF42" s="22">
        <v>0</v>
      </c>
      <c r="BG42" s="22">
        <v>1</v>
      </c>
      <c r="BH42" s="22">
        <f t="shared" si="7"/>
        <v>4.8484848484848486</v>
      </c>
    </row>
    <row r="43" spans="1:60" s="22" customFormat="1" ht="13">
      <c r="A43" s="46"/>
      <c r="C43" s="23"/>
      <c r="D43" s="23"/>
      <c r="G43" s="23"/>
      <c r="H43" s="23"/>
      <c r="J43" s="21"/>
      <c r="K43" s="21"/>
      <c r="L43" s="21"/>
      <c r="P43" s="21"/>
      <c r="Q43" s="21"/>
      <c r="R43" s="21"/>
      <c r="S43" s="21"/>
      <c r="T43" s="21"/>
      <c r="U43" s="21"/>
      <c r="W43" s="24"/>
      <c r="X43" s="25"/>
      <c r="Y43" s="21"/>
      <c r="Z43" s="24"/>
      <c r="AA43" s="24"/>
      <c r="AB43" s="21"/>
      <c r="AC43" s="21"/>
      <c r="AD43" s="21"/>
      <c r="AE43" s="21"/>
      <c r="AF43" s="21"/>
      <c r="AG43" s="21"/>
      <c r="AH43" s="24"/>
      <c r="AI43" s="24"/>
      <c r="AJ43" s="21"/>
      <c r="AK43" s="21"/>
    </row>
    <row r="44" spans="1:60" s="22" customFormat="1" ht="13">
      <c r="A44" s="21" t="s">
        <v>2018</v>
      </c>
      <c r="B44" s="22" t="s">
        <v>663</v>
      </c>
      <c r="C44" s="23" t="s">
        <v>822</v>
      </c>
      <c r="D44" s="23" t="s">
        <v>965</v>
      </c>
      <c r="E44" s="22" t="s">
        <v>62</v>
      </c>
      <c r="F44" s="23" t="s">
        <v>1434</v>
      </c>
      <c r="G44" s="23" t="s">
        <v>1719</v>
      </c>
      <c r="H44" s="23" t="s">
        <v>1720</v>
      </c>
      <c r="I44" s="22" t="s">
        <v>43</v>
      </c>
      <c r="J44" s="21" t="s">
        <v>564</v>
      </c>
      <c r="K44" s="21"/>
      <c r="L44" s="21"/>
      <c r="N44" s="22" t="s">
        <v>2019</v>
      </c>
      <c r="O44" s="22" t="s">
        <v>1430</v>
      </c>
      <c r="P44" s="21">
        <v>71910</v>
      </c>
      <c r="Q44" s="21">
        <v>45</v>
      </c>
      <c r="R44" s="21">
        <v>3</v>
      </c>
      <c r="S44" s="21">
        <v>3</v>
      </c>
      <c r="T44" s="22" t="s">
        <v>330</v>
      </c>
      <c r="U44" s="21">
        <v>0.7</v>
      </c>
      <c r="V44" s="21">
        <v>0.7</v>
      </c>
      <c r="W44" s="25">
        <f>(Q44*R44*2+Q44*S44*2+R44*S44*2)/V44</f>
        <v>797.14285714285722</v>
      </c>
      <c r="X44" s="25">
        <f>Q44*R44*S44*U44</f>
        <v>283.5</v>
      </c>
      <c r="Y44" s="21">
        <v>1</v>
      </c>
      <c r="Z44" s="24">
        <f t="shared" si="12"/>
        <v>797.14285714285722</v>
      </c>
      <c r="AA44" s="24">
        <f t="shared" si="13"/>
        <v>283.5</v>
      </c>
      <c r="AB44" s="21"/>
      <c r="AC44" s="21"/>
      <c r="AD44" s="21"/>
      <c r="AE44" s="21"/>
      <c r="AF44" s="21" t="s">
        <v>247</v>
      </c>
      <c r="AG44" s="21"/>
      <c r="AH44" s="24"/>
      <c r="AI44" s="24"/>
      <c r="AJ44" s="21">
        <v>283.5</v>
      </c>
      <c r="AK44" s="21">
        <v>45</v>
      </c>
      <c r="AL44" s="22" t="s">
        <v>161</v>
      </c>
      <c r="AM44" s="22">
        <v>0.11</v>
      </c>
      <c r="AN44" s="22" t="s">
        <v>1762</v>
      </c>
      <c r="AO44" s="22" t="s">
        <v>1762</v>
      </c>
      <c r="AP44" s="22" t="s">
        <v>1432</v>
      </c>
      <c r="AQ44" s="22" t="str">
        <f t="shared" si="14"/>
        <v>Microphytoplankton</v>
      </c>
      <c r="AR44" s="22">
        <v>1</v>
      </c>
      <c r="AS44" s="22">
        <v>0</v>
      </c>
      <c r="AT44" s="22">
        <v>1</v>
      </c>
      <c r="AU44" s="22">
        <v>0</v>
      </c>
      <c r="AV44" s="22">
        <v>0</v>
      </c>
      <c r="AW44" s="22">
        <v>0</v>
      </c>
      <c r="AX44" s="22">
        <v>1</v>
      </c>
      <c r="AY44" s="22">
        <v>0</v>
      </c>
      <c r="BF44" s="22">
        <v>0</v>
      </c>
      <c r="BG44" s="22">
        <v>1</v>
      </c>
      <c r="BH44" s="22">
        <f t="shared" si="7"/>
        <v>0.35564516129032253</v>
      </c>
    </row>
    <row r="45" spans="1:60" s="22" customFormat="1" ht="13">
      <c r="A45" s="21" t="s">
        <v>2074</v>
      </c>
      <c r="B45" s="22" t="s">
        <v>663</v>
      </c>
      <c r="C45" s="23" t="s">
        <v>822</v>
      </c>
      <c r="D45" s="23" t="s">
        <v>965</v>
      </c>
      <c r="E45" s="22" t="s">
        <v>62</v>
      </c>
      <c r="F45" s="23" t="s">
        <v>1434</v>
      </c>
      <c r="G45" s="23" t="s">
        <v>1719</v>
      </c>
      <c r="H45" s="23" t="s">
        <v>1720</v>
      </c>
      <c r="I45" s="22" t="s">
        <v>43</v>
      </c>
      <c r="J45" s="21" t="s">
        <v>2075</v>
      </c>
      <c r="K45" s="21"/>
      <c r="L45" s="21"/>
      <c r="N45" s="22" t="s">
        <v>2076</v>
      </c>
      <c r="O45" s="22" t="s">
        <v>1430</v>
      </c>
      <c r="P45" s="21">
        <v>71930</v>
      </c>
      <c r="Q45" s="21">
        <v>320</v>
      </c>
      <c r="R45" s="21">
        <v>11</v>
      </c>
      <c r="S45" s="21">
        <v>6</v>
      </c>
      <c r="T45" s="22" t="s">
        <v>330</v>
      </c>
      <c r="U45" s="21">
        <v>0.75</v>
      </c>
      <c r="V45" s="21">
        <v>0.75</v>
      </c>
      <c r="W45" s="25">
        <f t="shared" ref="W45:W50" si="17">(Q45*R45*2+Q45*S45*2+R45*S45*2)/V45</f>
        <v>14682.666666666666</v>
      </c>
      <c r="X45" s="25">
        <f t="shared" ref="X45:X50" si="18">Q45*R45*S45*U45</f>
        <v>15840</v>
      </c>
      <c r="Y45" s="21">
        <v>1</v>
      </c>
      <c r="Z45" s="24">
        <f t="shared" ref="Z45:Z55" si="19">Y45*W45</f>
        <v>14682.666666666666</v>
      </c>
      <c r="AA45" s="24">
        <f t="shared" ref="AA45:AA55" si="20">Y45*X45</f>
        <v>15840</v>
      </c>
      <c r="AB45" s="21"/>
      <c r="AC45" s="21"/>
      <c r="AD45" s="21"/>
      <c r="AE45" s="21"/>
      <c r="AF45" s="21" t="s">
        <v>247</v>
      </c>
      <c r="AG45" s="21"/>
      <c r="AH45" s="24"/>
      <c r="AI45" s="24"/>
      <c r="AJ45" s="21">
        <v>15840</v>
      </c>
      <c r="AK45" s="21">
        <v>320</v>
      </c>
      <c r="AL45" s="22" t="s">
        <v>161</v>
      </c>
      <c r="AM45" s="22">
        <v>0.11</v>
      </c>
      <c r="AN45" s="22" t="s">
        <v>1762</v>
      </c>
      <c r="AO45" s="22" t="s">
        <v>383</v>
      </c>
      <c r="AP45" s="22" t="s">
        <v>1432</v>
      </c>
      <c r="AQ45" s="22" t="str">
        <f t="shared" ref="AQ45:AQ55" si="21">IF(AND($AK45&lt;20,AJ45&lt;10000),"Nanophytoplankton","Microphytoplankton")</f>
        <v>Microphytoplankton</v>
      </c>
      <c r="AR45" s="22">
        <v>1</v>
      </c>
      <c r="AS45" s="22">
        <v>0</v>
      </c>
      <c r="AT45" s="22">
        <v>1</v>
      </c>
      <c r="AU45" s="22">
        <v>0</v>
      </c>
      <c r="AV45" s="22">
        <v>0</v>
      </c>
      <c r="AW45" s="22">
        <v>0</v>
      </c>
      <c r="AX45" s="22">
        <v>1</v>
      </c>
      <c r="AY45" s="22">
        <v>0</v>
      </c>
      <c r="BF45" s="22">
        <v>0</v>
      </c>
      <c r="BG45" s="22">
        <v>1</v>
      </c>
      <c r="BH45" s="22">
        <f t="shared" si="7"/>
        <v>1.0788231020704686</v>
      </c>
    </row>
    <row r="46" spans="1:60" s="22" customFormat="1" ht="13">
      <c r="A46" s="21" t="s">
        <v>2077</v>
      </c>
      <c r="B46" s="22" t="s">
        <v>663</v>
      </c>
      <c r="C46" s="23" t="s">
        <v>822</v>
      </c>
      <c r="D46" s="23" t="s">
        <v>965</v>
      </c>
      <c r="E46" s="22" t="s">
        <v>62</v>
      </c>
      <c r="F46" s="23" t="s">
        <v>1434</v>
      </c>
      <c r="G46" s="23" t="s">
        <v>1719</v>
      </c>
      <c r="H46" s="23" t="s">
        <v>1720</v>
      </c>
      <c r="I46" s="22" t="s">
        <v>43</v>
      </c>
      <c r="J46" s="21" t="s">
        <v>211</v>
      </c>
      <c r="K46" s="21"/>
      <c r="L46" s="21"/>
      <c r="M46" s="22" t="s">
        <v>1</v>
      </c>
      <c r="N46" s="22" t="s">
        <v>1935</v>
      </c>
      <c r="O46" s="22" t="s">
        <v>1430</v>
      </c>
      <c r="P46" s="21">
        <v>71900</v>
      </c>
      <c r="Q46" s="21">
        <v>49</v>
      </c>
      <c r="R46" s="21">
        <v>5</v>
      </c>
      <c r="S46" s="21">
        <v>4</v>
      </c>
      <c r="T46" s="22" t="s">
        <v>330</v>
      </c>
      <c r="U46" s="21">
        <v>0.8</v>
      </c>
      <c r="V46" s="21">
        <v>0.8</v>
      </c>
      <c r="W46" s="25">
        <f t="shared" si="17"/>
        <v>1152.5</v>
      </c>
      <c r="X46" s="25">
        <f t="shared" si="18"/>
        <v>784</v>
      </c>
      <c r="Y46" s="21">
        <v>1</v>
      </c>
      <c r="Z46" s="24">
        <f t="shared" si="19"/>
        <v>1152.5</v>
      </c>
      <c r="AA46" s="24">
        <f t="shared" si="20"/>
        <v>784</v>
      </c>
      <c r="AB46" s="21"/>
      <c r="AC46" s="21"/>
      <c r="AD46" s="21"/>
      <c r="AE46" s="21"/>
      <c r="AF46" s="21" t="s">
        <v>247</v>
      </c>
      <c r="AG46" s="21"/>
      <c r="AH46" s="24"/>
      <c r="AI46" s="24"/>
      <c r="AJ46" s="21">
        <v>784</v>
      </c>
      <c r="AK46" s="21">
        <v>49</v>
      </c>
      <c r="AL46" s="22" t="s">
        <v>161</v>
      </c>
      <c r="AM46" s="22">
        <v>0.11</v>
      </c>
      <c r="AN46" s="22" t="s">
        <v>1762</v>
      </c>
      <c r="AO46" s="22" t="s">
        <v>1447</v>
      </c>
      <c r="AP46" s="22" t="s">
        <v>1432</v>
      </c>
      <c r="AQ46" s="22" t="str">
        <f t="shared" si="21"/>
        <v>Microphytoplankton</v>
      </c>
      <c r="AR46" s="22">
        <v>1</v>
      </c>
      <c r="AS46" s="22">
        <v>0</v>
      </c>
      <c r="AT46" s="22">
        <v>1</v>
      </c>
      <c r="AU46" s="22">
        <v>0</v>
      </c>
      <c r="AV46" s="22">
        <v>0</v>
      </c>
      <c r="AW46" s="22">
        <v>0</v>
      </c>
      <c r="AX46" s="22">
        <v>1</v>
      </c>
      <c r="AY46" s="22">
        <v>0</v>
      </c>
      <c r="BF46" s="22">
        <v>0</v>
      </c>
      <c r="BG46" s="22">
        <v>1</v>
      </c>
      <c r="BH46" s="22">
        <f t="shared" si="7"/>
        <v>0.68026030368763557</v>
      </c>
    </row>
    <row r="47" spans="1:60" s="22" customFormat="1" ht="13">
      <c r="A47" s="43" t="s">
        <v>3510</v>
      </c>
      <c r="C47" s="23"/>
      <c r="D47" s="23"/>
      <c r="F47" s="23"/>
      <c r="G47" s="23"/>
      <c r="H47" s="23"/>
      <c r="J47" s="21"/>
      <c r="K47" s="21"/>
      <c r="L47" s="21"/>
      <c r="P47" s="21"/>
      <c r="Q47" s="21"/>
      <c r="R47" s="21"/>
      <c r="S47" s="21"/>
      <c r="U47" s="21"/>
      <c r="V47" s="21"/>
      <c r="W47" s="25"/>
      <c r="X47" s="25"/>
      <c r="Y47" s="21"/>
      <c r="Z47" s="24"/>
      <c r="AA47" s="24"/>
      <c r="AB47" s="21"/>
      <c r="AC47" s="21"/>
      <c r="AD47" s="21"/>
      <c r="AE47" s="21"/>
      <c r="AF47" s="21"/>
      <c r="AG47" s="21"/>
      <c r="AH47" s="24"/>
      <c r="AI47" s="24"/>
      <c r="AJ47" s="21"/>
      <c r="AK47" s="21"/>
    </row>
    <row r="48" spans="1:60" s="22" customFormat="1" ht="13">
      <c r="A48" s="43" t="s">
        <v>3511</v>
      </c>
      <c r="C48" s="23"/>
      <c r="D48" s="23"/>
      <c r="F48" s="23"/>
      <c r="G48" s="23"/>
      <c r="H48" s="23"/>
      <c r="J48" s="21"/>
      <c r="K48" s="21"/>
      <c r="L48" s="21"/>
      <c r="P48" s="21"/>
      <c r="Q48" s="21"/>
      <c r="R48" s="21"/>
      <c r="S48" s="21"/>
      <c r="U48" s="21"/>
      <c r="V48" s="21"/>
      <c r="W48" s="25"/>
      <c r="X48" s="25"/>
      <c r="Y48" s="21"/>
      <c r="Z48" s="24"/>
      <c r="AA48" s="24"/>
      <c r="AB48" s="21"/>
      <c r="AC48" s="21"/>
      <c r="AD48" s="21"/>
      <c r="AE48" s="21"/>
      <c r="AF48" s="21"/>
      <c r="AG48" s="21"/>
      <c r="AH48" s="24"/>
      <c r="AI48" s="24"/>
      <c r="AJ48" s="21"/>
      <c r="AK48" s="21"/>
    </row>
    <row r="49" spans="1:60" s="22" customFormat="1" ht="13">
      <c r="A49" s="43"/>
      <c r="C49" s="23"/>
      <c r="D49" s="23"/>
      <c r="F49" s="23"/>
      <c r="G49" s="23"/>
      <c r="H49" s="23"/>
      <c r="J49" s="21"/>
      <c r="K49" s="21"/>
      <c r="L49" s="21"/>
      <c r="P49" s="21"/>
      <c r="Q49" s="21"/>
      <c r="R49" s="21"/>
      <c r="S49" s="21"/>
      <c r="U49" s="21"/>
      <c r="V49" s="21"/>
      <c r="W49" s="25"/>
      <c r="X49" s="25"/>
      <c r="Y49" s="21"/>
      <c r="Z49" s="24"/>
      <c r="AA49" s="24"/>
      <c r="AB49" s="21"/>
      <c r="AC49" s="21"/>
      <c r="AD49" s="21"/>
      <c r="AE49" s="21"/>
      <c r="AF49" s="21"/>
      <c r="AG49" s="21"/>
      <c r="AH49" s="24"/>
      <c r="AI49" s="24"/>
      <c r="AJ49" s="21"/>
      <c r="AK49" s="21"/>
    </row>
    <row r="50" spans="1:60" s="22" customFormat="1" ht="13">
      <c r="A50" s="22" t="s">
        <v>2199</v>
      </c>
      <c r="B50" s="22" t="s">
        <v>663</v>
      </c>
      <c r="C50" s="23" t="s">
        <v>822</v>
      </c>
      <c r="D50" s="23" t="s">
        <v>965</v>
      </c>
      <c r="E50" s="22" t="s">
        <v>62</v>
      </c>
      <c r="F50" s="23" t="s">
        <v>1499</v>
      </c>
      <c r="G50" s="23" t="s">
        <v>1500</v>
      </c>
      <c r="H50" s="23" t="s">
        <v>1501</v>
      </c>
      <c r="I50" s="23" t="s">
        <v>44</v>
      </c>
      <c r="J50" s="22" t="s">
        <v>211</v>
      </c>
      <c r="M50" s="22" t="s">
        <v>1</v>
      </c>
      <c r="N50" s="22" t="s">
        <v>694</v>
      </c>
      <c r="O50" s="22" t="s">
        <v>1430</v>
      </c>
      <c r="P50" s="21">
        <v>70653</v>
      </c>
      <c r="Q50" s="22">
        <v>15</v>
      </c>
      <c r="R50" s="22">
        <v>4</v>
      </c>
      <c r="S50" s="22">
        <v>2</v>
      </c>
      <c r="T50" s="22" t="s">
        <v>330</v>
      </c>
      <c r="U50" s="22">
        <v>0.75</v>
      </c>
      <c r="V50" s="21">
        <v>0.75</v>
      </c>
      <c r="W50" s="25">
        <f t="shared" si="17"/>
        <v>261.33333333333331</v>
      </c>
      <c r="X50" s="25">
        <f t="shared" si="18"/>
        <v>90</v>
      </c>
      <c r="Y50" s="21">
        <v>1</v>
      </c>
      <c r="Z50" s="24">
        <f t="shared" si="19"/>
        <v>261.33333333333331</v>
      </c>
      <c r="AA50" s="24">
        <f t="shared" si="20"/>
        <v>90</v>
      </c>
      <c r="AE50" s="21"/>
      <c r="AF50" s="21" t="s">
        <v>247</v>
      </c>
      <c r="AH50" s="25"/>
      <c r="AI50" s="25"/>
      <c r="AJ50" s="21">
        <v>90</v>
      </c>
      <c r="AK50" s="21">
        <v>15</v>
      </c>
      <c r="AL50" s="22" t="s">
        <v>748</v>
      </c>
      <c r="AM50" s="22">
        <v>0.11</v>
      </c>
      <c r="AO50" s="22" t="s">
        <v>1762</v>
      </c>
      <c r="AP50" s="22" t="s">
        <v>1432</v>
      </c>
      <c r="AQ50" s="22" t="str">
        <f t="shared" si="21"/>
        <v>Nanophytoplankton</v>
      </c>
      <c r="AR50" s="22">
        <v>0</v>
      </c>
      <c r="AS50" s="22">
        <v>0</v>
      </c>
      <c r="AT50" s="22">
        <v>0</v>
      </c>
      <c r="AU50" s="22">
        <v>1</v>
      </c>
      <c r="AV50" s="22">
        <v>0</v>
      </c>
      <c r="AW50" s="22">
        <v>0</v>
      </c>
      <c r="AX50" s="22">
        <v>1</v>
      </c>
      <c r="AY50" s="22">
        <v>0</v>
      </c>
      <c r="BF50" s="22">
        <v>0</v>
      </c>
      <c r="BG50" s="22">
        <v>1</v>
      </c>
      <c r="BH50" s="22">
        <f t="shared" si="7"/>
        <v>0.34438775510204084</v>
      </c>
    </row>
    <row r="51" spans="1:60" s="22" customFormat="1" ht="13">
      <c r="C51" s="23"/>
      <c r="D51" s="23"/>
      <c r="F51" s="23"/>
      <c r="G51" s="23"/>
      <c r="H51" s="23"/>
      <c r="I51" s="23"/>
      <c r="P51" s="21"/>
      <c r="V51" s="21"/>
      <c r="W51" s="25"/>
      <c r="X51" s="25"/>
      <c r="Y51" s="21"/>
      <c r="Z51" s="24"/>
      <c r="AA51" s="24"/>
      <c r="AE51" s="21"/>
      <c r="AF51" s="21"/>
      <c r="AH51" s="25"/>
      <c r="AI51" s="25"/>
      <c r="AJ51" s="21"/>
      <c r="AK51" s="21"/>
    </row>
    <row r="52" spans="1:60" s="22" customFormat="1" ht="13">
      <c r="A52" s="21" t="s">
        <v>2355</v>
      </c>
      <c r="B52" s="22" t="s">
        <v>663</v>
      </c>
      <c r="C52" s="22" t="s">
        <v>2223</v>
      </c>
      <c r="D52" s="22" t="s">
        <v>2224</v>
      </c>
      <c r="E52" s="23" t="s">
        <v>63</v>
      </c>
      <c r="F52" s="23" t="s">
        <v>2225</v>
      </c>
      <c r="G52" s="23" t="s">
        <v>2284</v>
      </c>
      <c r="H52" s="23" t="s">
        <v>2285</v>
      </c>
      <c r="I52" s="22" t="s">
        <v>45</v>
      </c>
      <c r="J52" s="38" t="s">
        <v>211</v>
      </c>
      <c r="K52" s="38"/>
      <c r="L52" s="38"/>
      <c r="M52" s="22" t="s">
        <v>1</v>
      </c>
      <c r="N52" s="22" t="s">
        <v>694</v>
      </c>
      <c r="O52" s="22" t="s">
        <v>2229</v>
      </c>
      <c r="P52" s="21">
        <v>80100</v>
      </c>
      <c r="Q52" s="22">
        <v>18</v>
      </c>
      <c r="R52" s="22">
        <v>18</v>
      </c>
      <c r="S52" s="22">
        <v>18</v>
      </c>
      <c r="T52" s="22" t="s">
        <v>281</v>
      </c>
      <c r="U52" s="21">
        <v>1</v>
      </c>
      <c r="V52" s="22">
        <v>1</v>
      </c>
      <c r="W52" s="24">
        <f>(4*3.14*(((Q52^1.6*R52^1.6+Q52^1.6*S52^1.6+R52^1.6+S52^1.6)/3)^(1/1.6)))*(1/V52)</f>
        <v>3177.8015103260286</v>
      </c>
      <c r="X52" s="24">
        <f>3.14/6*Q52*R52*S52*U52</f>
        <v>3052.08</v>
      </c>
      <c r="Y52" s="21">
        <v>1</v>
      </c>
      <c r="Z52" s="24">
        <f t="shared" si="19"/>
        <v>3177.8015103260286</v>
      </c>
      <c r="AA52" s="24">
        <f t="shared" si="20"/>
        <v>3052.08</v>
      </c>
      <c r="AE52" s="21"/>
      <c r="AF52" s="21" t="s">
        <v>247</v>
      </c>
      <c r="AG52" s="21"/>
      <c r="AH52" s="24"/>
      <c r="AI52" s="24"/>
      <c r="AJ52" s="21">
        <v>3053.6</v>
      </c>
      <c r="AK52" s="21">
        <v>18</v>
      </c>
      <c r="AL52" s="22" t="s">
        <v>161</v>
      </c>
      <c r="AM52" s="22">
        <v>0.16</v>
      </c>
      <c r="AN52" s="38"/>
      <c r="AO52" s="22" t="s">
        <v>830</v>
      </c>
      <c r="AP52" s="22" t="s">
        <v>673</v>
      </c>
      <c r="AQ52" s="22" t="str">
        <f t="shared" si="21"/>
        <v>Nanophytoplankton</v>
      </c>
      <c r="AR52" s="22">
        <v>1</v>
      </c>
      <c r="AS52" s="22">
        <v>1</v>
      </c>
      <c r="AT52" s="22">
        <v>0</v>
      </c>
      <c r="AU52" s="22">
        <v>0</v>
      </c>
      <c r="AV52" s="22">
        <v>0</v>
      </c>
      <c r="AW52" s="22">
        <v>0</v>
      </c>
      <c r="AX52" s="22">
        <v>0</v>
      </c>
      <c r="AY52" s="22">
        <v>1</v>
      </c>
      <c r="BF52" s="22">
        <v>0</v>
      </c>
      <c r="BG52" s="22">
        <v>0</v>
      </c>
      <c r="BH52" s="22">
        <f t="shared" si="7"/>
        <v>0.96043758242372723</v>
      </c>
    </row>
    <row r="53" spans="1:60" s="22" customFormat="1" ht="13">
      <c r="A53" s="21" t="s">
        <v>2356</v>
      </c>
      <c r="B53" s="22" t="s">
        <v>663</v>
      </c>
      <c r="C53" s="22" t="s">
        <v>2223</v>
      </c>
      <c r="D53" s="22" t="s">
        <v>2224</v>
      </c>
      <c r="E53" s="23" t="s">
        <v>63</v>
      </c>
      <c r="F53" s="23" t="s">
        <v>2225</v>
      </c>
      <c r="G53" s="23" t="s">
        <v>2284</v>
      </c>
      <c r="H53" s="23" t="s">
        <v>2285</v>
      </c>
      <c r="I53" s="22" t="s">
        <v>45</v>
      </c>
      <c r="J53" s="38" t="s">
        <v>2357</v>
      </c>
      <c r="K53" s="38"/>
      <c r="L53" s="38"/>
      <c r="N53" s="22" t="s">
        <v>2358</v>
      </c>
      <c r="O53" s="22" t="s">
        <v>2229</v>
      </c>
      <c r="P53" s="21">
        <v>80101</v>
      </c>
      <c r="Q53" s="22">
        <v>8</v>
      </c>
      <c r="R53" s="22">
        <v>4</v>
      </c>
      <c r="S53" s="22">
        <v>4</v>
      </c>
      <c r="T53" s="22" t="s">
        <v>159</v>
      </c>
      <c r="U53" s="21">
        <v>1</v>
      </c>
      <c r="V53" s="22">
        <v>1</v>
      </c>
      <c r="W53" s="24">
        <f>(4*3.14*(((Q53^1.6*R53^1.6+Q53^1.6*S53^1.6+R53^1.6+S53^1.6)/3)^(1/1.6)))*(1/V53)</f>
        <v>318.9006424569489</v>
      </c>
      <c r="X53" s="24">
        <f>3.14/6*Q53*R53*S53*U53</f>
        <v>66.986666666666665</v>
      </c>
      <c r="Y53" s="22">
        <v>1</v>
      </c>
      <c r="Z53" s="24">
        <f t="shared" si="19"/>
        <v>318.9006424569489</v>
      </c>
      <c r="AA53" s="24">
        <f t="shared" si="20"/>
        <v>66.986666666666665</v>
      </c>
      <c r="AF53" s="21" t="s">
        <v>247</v>
      </c>
      <c r="AH53" s="25"/>
      <c r="AI53" s="25"/>
      <c r="AJ53" s="21">
        <v>66.986666666666665</v>
      </c>
      <c r="AK53" s="21">
        <v>8</v>
      </c>
      <c r="AL53" s="38" t="s">
        <v>2359</v>
      </c>
      <c r="AM53" s="22">
        <v>0.16</v>
      </c>
      <c r="AN53" s="38"/>
      <c r="AO53" s="22" t="s">
        <v>830</v>
      </c>
      <c r="AP53" s="22" t="s">
        <v>673</v>
      </c>
      <c r="AQ53" s="22" t="str">
        <f t="shared" si="21"/>
        <v>Nanophytoplankton</v>
      </c>
      <c r="AR53" s="22">
        <v>1</v>
      </c>
      <c r="AS53" s="22">
        <v>1</v>
      </c>
      <c r="AT53" s="22">
        <v>0</v>
      </c>
      <c r="AU53" s="22">
        <v>0</v>
      </c>
      <c r="AV53" s="22">
        <v>0</v>
      </c>
      <c r="AW53" s="22">
        <v>0</v>
      </c>
      <c r="AX53" s="22">
        <v>0</v>
      </c>
      <c r="AY53" s="22">
        <v>1</v>
      </c>
      <c r="BF53" s="22">
        <v>0</v>
      </c>
      <c r="BG53" s="22">
        <v>0</v>
      </c>
      <c r="BH53" s="22">
        <f t="shared" si="7"/>
        <v>0.21005497558917513</v>
      </c>
    </row>
    <row r="54" spans="1:60" s="22" customFormat="1" ht="13">
      <c r="A54" s="21"/>
      <c r="E54" s="23"/>
      <c r="F54" s="23"/>
      <c r="G54" s="23"/>
      <c r="H54" s="23"/>
      <c r="J54" s="38"/>
      <c r="K54" s="38"/>
      <c r="L54" s="38"/>
      <c r="P54" s="21"/>
      <c r="U54" s="21"/>
      <c r="W54" s="24"/>
      <c r="X54" s="24"/>
      <c r="Z54" s="24"/>
      <c r="AA54" s="24"/>
      <c r="AF54" s="21"/>
      <c r="AH54" s="25"/>
      <c r="AI54" s="25"/>
      <c r="AJ54" s="21"/>
      <c r="AK54" s="21"/>
      <c r="AL54" s="38"/>
      <c r="AN54" s="38"/>
    </row>
    <row r="55" spans="1:60" s="22" customFormat="1" ht="13">
      <c r="A55" s="21" t="s">
        <v>2366</v>
      </c>
      <c r="B55" s="22" t="s">
        <v>663</v>
      </c>
      <c r="C55" s="22" t="s">
        <v>2223</v>
      </c>
      <c r="D55" s="22" t="s">
        <v>2224</v>
      </c>
      <c r="E55" s="23" t="s">
        <v>63</v>
      </c>
      <c r="F55" s="23" t="s">
        <v>2225</v>
      </c>
      <c r="G55" s="23" t="s">
        <v>2226</v>
      </c>
      <c r="H55" s="22" t="s">
        <v>2253</v>
      </c>
      <c r="I55" s="22" t="s">
        <v>46</v>
      </c>
      <c r="J55" s="22" t="s">
        <v>1733</v>
      </c>
      <c r="N55" s="22" t="s">
        <v>2367</v>
      </c>
      <c r="O55" s="22" t="s">
        <v>2229</v>
      </c>
      <c r="P55" s="21">
        <v>83110</v>
      </c>
      <c r="Q55" s="21">
        <v>2</v>
      </c>
      <c r="R55" s="21">
        <v>2</v>
      </c>
      <c r="S55" s="21">
        <v>2</v>
      </c>
      <c r="T55" s="21" t="s">
        <v>281</v>
      </c>
      <c r="U55" s="21">
        <v>1</v>
      </c>
      <c r="V55" s="22">
        <v>1</v>
      </c>
      <c r="W55" s="24">
        <f>(4*3.14*(((Q55^1.6*R55^1.6+Q55^1.6*S55^1.6+R55^1.6+S55^1.6)/3)^(1/1.6)))*(1/V55)</f>
        <v>46.59880302207403</v>
      </c>
      <c r="X55" s="24">
        <f>3.14/6*Q55*R55*S55*U55</f>
        <v>4.1866666666666665</v>
      </c>
      <c r="Y55" s="22">
        <v>1</v>
      </c>
      <c r="Z55" s="24">
        <f t="shared" si="19"/>
        <v>46.59880302207403</v>
      </c>
      <c r="AA55" s="24">
        <f t="shared" si="20"/>
        <v>4.1866666666666665</v>
      </c>
      <c r="AB55" s="21"/>
      <c r="AC55" s="21"/>
      <c r="AD55" s="21"/>
      <c r="AF55" s="21" t="s">
        <v>247</v>
      </c>
      <c r="AH55" s="25"/>
      <c r="AI55" s="25"/>
      <c r="AJ55" s="21">
        <v>4.2</v>
      </c>
      <c r="AK55" s="21">
        <v>2</v>
      </c>
      <c r="AL55" s="22" t="s">
        <v>161</v>
      </c>
      <c r="AM55" s="22">
        <v>0.16</v>
      </c>
      <c r="AN55" s="22" t="s">
        <v>2257</v>
      </c>
      <c r="AO55" s="22" t="s">
        <v>2257</v>
      </c>
      <c r="AP55" s="22" t="s">
        <v>626</v>
      </c>
      <c r="AQ55" s="22" t="str">
        <f t="shared" si="21"/>
        <v>Nanophytoplankton</v>
      </c>
      <c r="AR55" s="22">
        <v>0</v>
      </c>
      <c r="AS55" s="22">
        <v>0</v>
      </c>
      <c r="AT55" s="22">
        <v>0</v>
      </c>
      <c r="AU55" s="22">
        <v>0</v>
      </c>
      <c r="AV55" s="22">
        <v>0</v>
      </c>
      <c r="AW55" s="22">
        <v>0</v>
      </c>
      <c r="AX55" s="22">
        <v>0</v>
      </c>
      <c r="AY55" s="22">
        <v>1</v>
      </c>
      <c r="AZ55" s="22">
        <v>0</v>
      </c>
      <c r="BA55" s="22">
        <v>0</v>
      </c>
      <c r="BB55" s="22">
        <v>0</v>
      </c>
      <c r="BC55" s="22">
        <v>0</v>
      </c>
      <c r="BD55" s="22">
        <v>2</v>
      </c>
      <c r="BE55" s="22">
        <v>8</v>
      </c>
      <c r="BF55" s="22">
        <v>0</v>
      </c>
      <c r="BG55" s="22">
        <v>0</v>
      </c>
      <c r="BH55" s="22">
        <f t="shared" si="7"/>
        <v>8.9844940108942853E-2</v>
      </c>
    </row>
    <row r="56" spans="1:60">
      <c r="A56" s="43" t="s">
        <v>3513</v>
      </c>
      <c r="BH56" s="22"/>
    </row>
    <row r="57" spans="1:60">
      <c r="A57" s="43"/>
      <c r="BH57" s="22"/>
    </row>
    <row r="58" spans="1:60" s="22" customFormat="1" ht="13">
      <c r="A58" s="21" t="s">
        <v>2651</v>
      </c>
      <c r="B58" s="22" t="s">
        <v>663</v>
      </c>
      <c r="C58" s="22" t="s">
        <v>2223</v>
      </c>
      <c r="D58" s="22" t="s">
        <v>2224</v>
      </c>
      <c r="E58" s="23" t="s">
        <v>63</v>
      </c>
      <c r="F58" s="23" t="s">
        <v>2225</v>
      </c>
      <c r="G58" s="23" t="s">
        <v>2226</v>
      </c>
      <c r="H58" s="38" t="s">
        <v>2239</v>
      </c>
      <c r="I58" s="22" t="s">
        <v>2644</v>
      </c>
      <c r="J58" s="21" t="s">
        <v>2652</v>
      </c>
      <c r="K58" s="21"/>
      <c r="L58" s="21"/>
      <c r="N58" s="22" t="s">
        <v>2653</v>
      </c>
      <c r="O58" s="22" t="s">
        <v>2229</v>
      </c>
      <c r="P58" s="21">
        <v>83620</v>
      </c>
      <c r="Q58" s="21">
        <v>22</v>
      </c>
      <c r="R58" s="21">
        <v>15</v>
      </c>
      <c r="S58" s="21">
        <v>15</v>
      </c>
      <c r="T58" s="21" t="s">
        <v>281</v>
      </c>
      <c r="U58" s="22">
        <v>1</v>
      </c>
      <c r="V58" s="22">
        <v>1</v>
      </c>
      <c r="W58" s="24">
        <f>(4*3.14*(((Q58^1.6*R58^1.6+Q58^1.6*S58^1.6+R58^1.6+S58^1.6)/3)^(1/1.6)))*(1/V58)</f>
        <v>3231.2512734485736</v>
      </c>
      <c r="X58" s="24">
        <f>3.14/6*Q58*R58*S58*U58</f>
        <v>2590.5000000000005</v>
      </c>
      <c r="Y58" s="22">
        <v>1</v>
      </c>
      <c r="Z58" s="24">
        <f t="shared" ref="Z58:Z78" si="22">Y58*W58</f>
        <v>3231.2512734485736</v>
      </c>
      <c r="AA58" s="24">
        <f t="shared" ref="AA58:AA78" si="23">Y58*X58</f>
        <v>2590.5000000000005</v>
      </c>
      <c r="AB58" s="21"/>
      <c r="AC58" s="21"/>
      <c r="AD58" s="21"/>
      <c r="AE58" s="21"/>
      <c r="AF58" s="21"/>
      <c r="AG58" s="21"/>
      <c r="AH58" s="24"/>
      <c r="AI58" s="24"/>
      <c r="AJ58" s="21">
        <v>2591.8000000000002</v>
      </c>
      <c r="AK58" s="21">
        <v>70</v>
      </c>
      <c r="AL58" s="22" t="s">
        <v>161</v>
      </c>
      <c r="AM58" s="22">
        <v>0.16</v>
      </c>
      <c r="AN58" s="38"/>
      <c r="AP58" s="22" t="s">
        <v>230</v>
      </c>
      <c r="AQ58" s="22" t="str">
        <f t="shared" ref="AQ58:AQ78" si="24">IF(AND($AK58&lt;20,AJ58&lt;10000),"Nanophytoplankton","Microphytoplankton")</f>
        <v>Microphytoplankton</v>
      </c>
      <c r="AR58" s="22">
        <v>0</v>
      </c>
      <c r="AS58" s="22">
        <v>0</v>
      </c>
      <c r="AT58" s="22">
        <v>0</v>
      </c>
      <c r="AU58" s="22">
        <v>0</v>
      </c>
      <c r="AV58" s="22">
        <v>0</v>
      </c>
      <c r="AW58" s="22">
        <v>0</v>
      </c>
      <c r="AX58" s="22">
        <v>0</v>
      </c>
      <c r="AY58" s="22">
        <v>1</v>
      </c>
      <c r="BF58" s="22">
        <v>0</v>
      </c>
      <c r="BG58" s="22">
        <v>0</v>
      </c>
      <c r="BH58" s="22">
        <f t="shared" si="7"/>
        <v>0.801701811705678</v>
      </c>
    </row>
    <row r="59" spans="1:60" s="22" customFormat="1" ht="13">
      <c r="A59" s="21" t="s">
        <v>2654</v>
      </c>
      <c r="B59" s="22" t="s">
        <v>663</v>
      </c>
      <c r="C59" s="22" t="s">
        <v>2223</v>
      </c>
      <c r="D59" s="22" t="s">
        <v>2224</v>
      </c>
      <c r="E59" s="23" t="s">
        <v>63</v>
      </c>
      <c r="F59" s="23" t="s">
        <v>2225</v>
      </c>
      <c r="G59" s="23" t="s">
        <v>2226</v>
      </c>
      <c r="H59" s="38" t="s">
        <v>2239</v>
      </c>
      <c r="I59" s="22" t="s">
        <v>2644</v>
      </c>
      <c r="J59" s="21" t="s">
        <v>2655</v>
      </c>
      <c r="K59" s="21"/>
      <c r="L59" s="21"/>
      <c r="N59" s="22" t="s">
        <v>2656</v>
      </c>
      <c r="O59" s="22" t="s">
        <v>2229</v>
      </c>
      <c r="P59" s="21">
        <v>83660</v>
      </c>
      <c r="Q59" s="21">
        <v>38</v>
      </c>
      <c r="R59" s="21">
        <v>30</v>
      </c>
      <c r="S59" s="21">
        <v>30</v>
      </c>
      <c r="T59" s="21" t="s">
        <v>281</v>
      </c>
      <c r="U59" s="22">
        <v>1</v>
      </c>
      <c r="V59" s="22">
        <v>1</v>
      </c>
      <c r="W59" s="24">
        <f>(4*3.14*(((Q59^1.6*R59^1.6+Q59^1.6*S59^1.6+R59^1.6+S59^1.6)/3)^(1/1.6)))*(1/V59)</f>
        <v>11133.754974131576</v>
      </c>
      <c r="X59" s="24">
        <f>3.14/6*Q59*R59*S59*U59</f>
        <v>17898</v>
      </c>
      <c r="Y59" s="22">
        <v>1</v>
      </c>
      <c r="Z59" s="24">
        <f t="shared" si="22"/>
        <v>11133.754974131576</v>
      </c>
      <c r="AA59" s="24">
        <f t="shared" si="23"/>
        <v>17898</v>
      </c>
      <c r="AB59" s="21"/>
      <c r="AC59" s="21"/>
      <c r="AD59" s="21"/>
      <c r="AE59" s="21"/>
      <c r="AF59" s="21"/>
      <c r="AG59" s="21"/>
      <c r="AH59" s="24"/>
      <c r="AI59" s="24"/>
      <c r="AJ59" s="21">
        <v>17907.099999999999</v>
      </c>
      <c r="AK59" s="21">
        <v>38</v>
      </c>
      <c r="AL59" s="22" t="s">
        <v>161</v>
      </c>
      <c r="AM59" s="22">
        <v>0.16</v>
      </c>
      <c r="AN59" s="38"/>
      <c r="AP59" s="22" t="s">
        <v>230</v>
      </c>
      <c r="AQ59" s="22" t="str">
        <f t="shared" si="24"/>
        <v>Microphytoplankton</v>
      </c>
      <c r="AR59" s="22">
        <v>0</v>
      </c>
      <c r="AS59" s="22">
        <v>0</v>
      </c>
      <c r="AT59" s="22">
        <v>0</v>
      </c>
      <c r="AU59" s="22">
        <v>0</v>
      </c>
      <c r="AV59" s="22">
        <v>0</v>
      </c>
      <c r="AW59" s="22">
        <v>0</v>
      </c>
      <c r="AX59" s="22">
        <v>0</v>
      </c>
      <c r="AY59" s="22">
        <v>1</v>
      </c>
      <c r="BF59" s="22" t="s">
        <v>3573</v>
      </c>
      <c r="BG59" s="22">
        <v>0</v>
      </c>
      <c r="BH59" s="22">
        <f t="shared" si="7"/>
        <v>1.6075439096319819</v>
      </c>
    </row>
    <row r="60" spans="1:60" s="22" customFormat="1" ht="13">
      <c r="A60" s="21" t="s">
        <v>2657</v>
      </c>
      <c r="B60" s="22" t="s">
        <v>663</v>
      </c>
      <c r="C60" s="22" t="s">
        <v>2223</v>
      </c>
      <c r="D60" s="22" t="s">
        <v>2224</v>
      </c>
      <c r="E60" s="23" t="s">
        <v>63</v>
      </c>
      <c r="F60" s="23" t="s">
        <v>2225</v>
      </c>
      <c r="G60" s="23" t="s">
        <v>2226</v>
      </c>
      <c r="H60" s="38" t="s">
        <v>2239</v>
      </c>
      <c r="I60" s="22" t="s">
        <v>2644</v>
      </c>
      <c r="J60" s="21" t="s">
        <v>1219</v>
      </c>
      <c r="K60" s="21"/>
      <c r="L60" s="21"/>
      <c r="N60" s="22" t="s">
        <v>409</v>
      </c>
      <c r="O60" s="22" t="s">
        <v>2229</v>
      </c>
      <c r="P60" s="21">
        <v>83630</v>
      </c>
      <c r="Q60" s="21">
        <v>10</v>
      </c>
      <c r="R60" s="21">
        <v>5</v>
      </c>
      <c r="S60" s="21">
        <v>5</v>
      </c>
      <c r="T60" s="21" t="s">
        <v>281</v>
      </c>
      <c r="U60" s="22">
        <v>1</v>
      </c>
      <c r="V60" s="22">
        <v>1</v>
      </c>
      <c r="W60" s="24">
        <f>(4*3.14*(((Q60^1.6*R60^1.6+Q60^1.6*S60^1.6+R60^1.6+S60^1.6)/3)^(1/1.6)))*(1/V60)</f>
        <v>495.03567506413054</v>
      </c>
      <c r="X60" s="24">
        <f>3.14/6*Q60*R60*S60*U60</f>
        <v>130.83333333333334</v>
      </c>
      <c r="Y60" s="22">
        <v>1</v>
      </c>
      <c r="Z60" s="24">
        <f t="shared" si="22"/>
        <v>495.03567506413054</v>
      </c>
      <c r="AA60" s="24">
        <f t="shared" si="23"/>
        <v>130.83333333333334</v>
      </c>
      <c r="AB60" s="21"/>
      <c r="AC60" s="21"/>
      <c r="AD60" s="21"/>
      <c r="AE60" s="21"/>
      <c r="AF60" s="21"/>
      <c r="AG60" s="21"/>
      <c r="AH60" s="24"/>
      <c r="AI60" s="24"/>
      <c r="AJ60" s="21">
        <v>130.9</v>
      </c>
      <c r="AK60" s="21">
        <v>60</v>
      </c>
      <c r="AL60" s="22" t="s">
        <v>161</v>
      </c>
      <c r="AM60" s="22">
        <v>0.16</v>
      </c>
      <c r="AN60" s="38"/>
      <c r="AP60" s="22" t="s">
        <v>162</v>
      </c>
      <c r="AQ60" s="22" t="str">
        <f t="shared" si="24"/>
        <v>Microphytoplankton</v>
      </c>
      <c r="AR60" s="22">
        <v>0</v>
      </c>
      <c r="AS60" s="22">
        <v>0</v>
      </c>
      <c r="AT60" s="22">
        <v>0</v>
      </c>
      <c r="AU60" s="22">
        <v>0</v>
      </c>
      <c r="AV60" s="22">
        <v>0</v>
      </c>
      <c r="AW60" s="22">
        <v>0</v>
      </c>
      <c r="AX60" s="22">
        <v>0</v>
      </c>
      <c r="AY60" s="22">
        <v>1</v>
      </c>
      <c r="BF60" s="22">
        <v>0</v>
      </c>
      <c r="BG60" s="22">
        <v>0</v>
      </c>
      <c r="BH60" s="22">
        <f t="shared" si="7"/>
        <v>0.26429071665670206</v>
      </c>
    </row>
    <row r="61" spans="1:60" s="22" customFormat="1" ht="13">
      <c r="A61" s="43" t="s">
        <v>2658</v>
      </c>
      <c r="E61" s="23"/>
      <c r="F61" s="23"/>
      <c r="G61" s="23"/>
      <c r="H61" s="38"/>
      <c r="J61" s="21"/>
      <c r="K61" s="21"/>
      <c r="L61" s="21"/>
      <c r="P61" s="21"/>
      <c r="Q61" s="21"/>
      <c r="R61" s="21"/>
      <c r="S61" s="21"/>
      <c r="T61" s="21"/>
      <c r="W61" s="24"/>
      <c r="X61" s="24"/>
      <c r="Z61" s="24"/>
      <c r="AA61" s="24"/>
      <c r="AB61" s="21"/>
      <c r="AC61" s="21"/>
      <c r="AD61" s="21"/>
      <c r="AE61" s="21"/>
      <c r="AF61" s="21"/>
      <c r="AG61" s="21"/>
      <c r="AH61" s="24"/>
      <c r="AI61" s="24"/>
      <c r="AJ61" s="21"/>
      <c r="AK61" s="21"/>
      <c r="AN61" s="38"/>
    </row>
    <row r="62" spans="1:60" s="22" customFormat="1" ht="13">
      <c r="A62" s="21"/>
      <c r="E62" s="23"/>
      <c r="F62" s="23"/>
      <c r="G62" s="23"/>
      <c r="H62" s="38"/>
      <c r="J62" s="21"/>
      <c r="K62" s="21"/>
      <c r="L62" s="21"/>
      <c r="P62" s="21"/>
      <c r="Q62" s="21"/>
      <c r="R62" s="21"/>
      <c r="S62" s="21"/>
      <c r="T62" s="21"/>
      <c r="W62" s="24"/>
      <c r="X62" s="24"/>
      <c r="Z62" s="24"/>
      <c r="AA62" s="24"/>
      <c r="AB62" s="21"/>
      <c r="AC62" s="21"/>
      <c r="AD62" s="21"/>
      <c r="AE62" s="21"/>
      <c r="AF62" s="21"/>
      <c r="AG62" s="21"/>
      <c r="AH62" s="24"/>
      <c r="AI62" s="24"/>
      <c r="AJ62" s="21"/>
      <c r="AK62" s="21"/>
      <c r="AN62" s="38"/>
    </row>
    <row r="63" spans="1:60" s="22" customFormat="1" ht="13">
      <c r="A63" s="21" t="s">
        <v>3203</v>
      </c>
      <c r="B63" s="22" t="s">
        <v>663</v>
      </c>
      <c r="C63" s="23" t="s">
        <v>2223</v>
      </c>
      <c r="D63" s="22" t="s">
        <v>3188</v>
      </c>
      <c r="E63" s="23" t="s">
        <v>3189</v>
      </c>
      <c r="F63" s="23" t="s">
        <v>3190</v>
      </c>
      <c r="G63" s="23" t="s">
        <v>3191</v>
      </c>
      <c r="H63" s="23" t="s">
        <v>3200</v>
      </c>
      <c r="I63" s="22" t="s">
        <v>48</v>
      </c>
      <c r="J63" s="21" t="s">
        <v>2237</v>
      </c>
      <c r="K63" s="21"/>
      <c r="L63" s="21"/>
      <c r="N63" s="22" t="s">
        <v>3204</v>
      </c>
      <c r="O63" s="22" t="s">
        <v>3196</v>
      </c>
      <c r="P63" s="21">
        <v>90310</v>
      </c>
      <c r="Q63" s="21">
        <v>500</v>
      </c>
      <c r="R63" s="21">
        <v>5</v>
      </c>
      <c r="S63" s="21">
        <v>5</v>
      </c>
      <c r="T63" s="21" t="s">
        <v>160</v>
      </c>
      <c r="U63" s="21">
        <v>0.75</v>
      </c>
      <c r="V63" s="21">
        <v>0.75</v>
      </c>
      <c r="W63" s="24">
        <f>3.14*R63*Q63+2*3.14*(S63/2)^2/V63</f>
        <v>7902.3333333333339</v>
      </c>
      <c r="X63" s="25">
        <f>(3.14/4*R63^2*Q63)*U63</f>
        <v>7359.375</v>
      </c>
      <c r="Y63" s="21">
        <v>1</v>
      </c>
      <c r="Z63" s="24">
        <f t="shared" si="22"/>
        <v>7902.3333333333339</v>
      </c>
      <c r="AA63" s="24">
        <f t="shared" si="23"/>
        <v>7359.375</v>
      </c>
      <c r="AB63" s="21"/>
      <c r="AC63" s="21"/>
      <c r="AD63" s="21"/>
      <c r="AE63" s="21"/>
      <c r="AF63" s="21"/>
      <c r="AG63" s="21"/>
      <c r="AH63" s="24"/>
      <c r="AI63" s="24"/>
      <c r="AJ63" s="21">
        <v>7363.1</v>
      </c>
      <c r="AK63" s="21">
        <v>500</v>
      </c>
      <c r="AL63" s="22" t="s">
        <v>161</v>
      </c>
      <c r="AM63" s="22">
        <v>0.11</v>
      </c>
      <c r="AN63" s="22" t="s">
        <v>1517</v>
      </c>
      <c r="AO63" s="22" t="s">
        <v>1517</v>
      </c>
      <c r="AP63" s="22" t="s">
        <v>162</v>
      </c>
      <c r="AQ63" s="22" t="str">
        <f t="shared" si="24"/>
        <v>Microphytoplankton</v>
      </c>
      <c r="AR63" s="22">
        <v>0</v>
      </c>
      <c r="AS63" s="22">
        <v>0</v>
      </c>
      <c r="AT63" s="22">
        <v>0</v>
      </c>
      <c r="AU63" s="22">
        <v>0</v>
      </c>
      <c r="AV63" s="22">
        <v>0</v>
      </c>
      <c r="AW63" s="22">
        <v>0</v>
      </c>
      <c r="AX63" s="22">
        <v>0</v>
      </c>
      <c r="AY63" s="22">
        <v>1</v>
      </c>
      <c r="AZ63" s="22">
        <v>0</v>
      </c>
      <c r="BA63" s="22">
        <v>0</v>
      </c>
      <c r="BB63" s="22">
        <v>0</v>
      </c>
      <c r="BC63" s="22">
        <v>1</v>
      </c>
      <c r="BD63" s="22">
        <v>3</v>
      </c>
      <c r="BE63" s="22">
        <v>6</v>
      </c>
      <c r="BF63" s="22">
        <v>0</v>
      </c>
      <c r="BG63" s="22">
        <v>0</v>
      </c>
      <c r="BH63" s="22">
        <f t="shared" si="7"/>
        <v>0.93129139072847678</v>
      </c>
    </row>
    <row r="64" spans="1:60" s="22" customFormat="1" ht="12" customHeight="1">
      <c r="A64" s="22" t="s">
        <v>3205</v>
      </c>
      <c r="B64" s="22" t="s">
        <v>663</v>
      </c>
      <c r="C64" s="23" t="s">
        <v>2223</v>
      </c>
      <c r="D64" s="22" t="s">
        <v>3188</v>
      </c>
      <c r="E64" s="23" t="s">
        <v>3189</v>
      </c>
      <c r="F64" s="23" t="s">
        <v>3190</v>
      </c>
      <c r="G64" s="23" t="s">
        <v>3191</v>
      </c>
      <c r="H64" s="23" t="s">
        <v>3200</v>
      </c>
      <c r="I64" s="22" t="s">
        <v>48</v>
      </c>
      <c r="J64" s="22" t="s">
        <v>3206</v>
      </c>
      <c r="N64" s="22" t="s">
        <v>3207</v>
      </c>
      <c r="O64" s="22" t="s">
        <v>3196</v>
      </c>
      <c r="P64" s="21">
        <v>90314</v>
      </c>
      <c r="Q64" s="22">
        <v>115</v>
      </c>
      <c r="R64" s="22">
        <v>5</v>
      </c>
      <c r="S64" s="22">
        <v>5</v>
      </c>
      <c r="T64" s="22" t="s">
        <v>874</v>
      </c>
      <c r="U64" s="22">
        <v>1</v>
      </c>
      <c r="V64" s="22">
        <v>1</v>
      </c>
      <c r="W64" s="24">
        <f>(4*3.14*(((Q64^1.6*R64^1.6+Q64^1.6*S64^1.6+R64^1.6+S64^1.6)/3)^(1/1.6)))*(1/V64)</f>
        <v>5607.0878192437012</v>
      </c>
      <c r="X64" s="24">
        <f>3.14/12*R64*S64*Q64*U64</f>
        <v>752.29166666666674</v>
      </c>
      <c r="Y64" s="21">
        <v>1</v>
      </c>
      <c r="Z64" s="24">
        <f t="shared" si="22"/>
        <v>5607.0878192437012</v>
      </c>
      <c r="AA64" s="24">
        <f t="shared" si="23"/>
        <v>752.29166666666674</v>
      </c>
      <c r="AH64" s="25"/>
      <c r="AI64" s="25"/>
      <c r="AJ64" s="21">
        <v>752.29166666666663</v>
      </c>
      <c r="AK64" s="21">
        <v>115</v>
      </c>
      <c r="AL64" s="22" t="s">
        <v>161</v>
      </c>
      <c r="AM64" s="22">
        <v>0.11</v>
      </c>
      <c r="AN64" s="22" t="s">
        <v>1517</v>
      </c>
      <c r="AO64" s="22" t="s">
        <v>1517</v>
      </c>
      <c r="AP64" s="22" t="s">
        <v>162</v>
      </c>
      <c r="AQ64" s="22" t="str">
        <f t="shared" si="24"/>
        <v>Microphytoplankton</v>
      </c>
      <c r="AR64" s="22">
        <v>0</v>
      </c>
      <c r="AS64" s="22">
        <v>0</v>
      </c>
      <c r="AT64" s="22">
        <v>0</v>
      </c>
      <c r="AU64" s="22">
        <v>0</v>
      </c>
      <c r="AV64" s="22">
        <v>0</v>
      </c>
      <c r="AW64" s="22">
        <v>0</v>
      </c>
      <c r="AX64" s="22">
        <v>0</v>
      </c>
      <c r="AY64" s="22">
        <v>1</v>
      </c>
      <c r="BF64" s="22">
        <v>0</v>
      </c>
      <c r="BG64" s="22">
        <v>0</v>
      </c>
      <c r="BH64" s="22">
        <f t="shared" si="7"/>
        <v>0.13416798361616133</v>
      </c>
    </row>
    <row r="65" spans="1:60" s="22" customFormat="1" ht="13">
      <c r="A65" s="21" t="s">
        <v>3208</v>
      </c>
      <c r="B65" s="22" t="s">
        <v>663</v>
      </c>
      <c r="C65" s="23" t="s">
        <v>2223</v>
      </c>
      <c r="D65" s="22" t="s">
        <v>3188</v>
      </c>
      <c r="E65" s="23" t="s">
        <v>3189</v>
      </c>
      <c r="F65" s="23" t="s">
        <v>3190</v>
      </c>
      <c r="G65" s="23" t="s">
        <v>3191</v>
      </c>
      <c r="H65" s="23" t="s">
        <v>3200</v>
      </c>
      <c r="I65" s="22" t="s">
        <v>48</v>
      </c>
      <c r="J65" s="21" t="s">
        <v>3206</v>
      </c>
      <c r="K65" s="21" t="s">
        <v>175</v>
      </c>
      <c r="L65" s="21" t="s">
        <v>3209</v>
      </c>
      <c r="N65" s="22" t="s">
        <v>3210</v>
      </c>
      <c r="O65" s="22" t="s">
        <v>3196</v>
      </c>
      <c r="P65" s="21">
        <v>90370</v>
      </c>
      <c r="Q65" s="21">
        <v>140</v>
      </c>
      <c r="R65" s="21">
        <v>9</v>
      </c>
      <c r="S65" s="21">
        <v>9</v>
      </c>
      <c r="T65" s="21" t="s">
        <v>160</v>
      </c>
      <c r="U65" s="21">
        <v>0.7</v>
      </c>
      <c r="V65" s="21">
        <v>0.7</v>
      </c>
      <c r="W65" s="24">
        <f>3.14*R65*Q65+2*3.14*(S65/2)^2/V65</f>
        <v>4138.0714285714284</v>
      </c>
      <c r="X65" s="25">
        <f>(3.14/4*R65^2*Q65)*U65</f>
        <v>6231.329999999999</v>
      </c>
      <c r="Y65" s="21">
        <v>1</v>
      </c>
      <c r="Z65" s="24">
        <f t="shared" si="22"/>
        <v>4138.0714285714284</v>
      </c>
      <c r="AA65" s="24">
        <f t="shared" si="23"/>
        <v>6231.329999999999</v>
      </c>
      <c r="AB65" s="21"/>
      <c r="AC65" s="21"/>
      <c r="AD65" s="21"/>
      <c r="AE65" s="21"/>
      <c r="AF65" s="21"/>
      <c r="AG65" s="21"/>
      <c r="AH65" s="24"/>
      <c r="AI65" s="24"/>
      <c r="AJ65" s="21">
        <v>6234.5</v>
      </c>
      <c r="AK65" s="21">
        <v>140</v>
      </c>
      <c r="AL65" s="22" t="s">
        <v>161</v>
      </c>
      <c r="AM65" s="22">
        <v>0.11</v>
      </c>
      <c r="AN65" s="22" t="s">
        <v>1517</v>
      </c>
      <c r="AO65" s="22" t="s">
        <v>1517</v>
      </c>
      <c r="AP65" s="22" t="s">
        <v>162</v>
      </c>
      <c r="AQ65" s="22" t="str">
        <f t="shared" si="24"/>
        <v>Microphytoplankton</v>
      </c>
      <c r="AR65" s="22">
        <v>0</v>
      </c>
      <c r="AS65" s="22">
        <v>0</v>
      </c>
      <c r="AT65" s="22">
        <v>0</v>
      </c>
      <c r="AU65" s="22">
        <v>0</v>
      </c>
      <c r="AV65" s="22">
        <v>0</v>
      </c>
      <c r="AW65" s="22">
        <v>0</v>
      </c>
      <c r="AX65" s="22">
        <v>0</v>
      </c>
      <c r="AY65" s="22">
        <v>1</v>
      </c>
      <c r="AZ65" s="22">
        <v>0</v>
      </c>
      <c r="BA65" s="22">
        <v>0</v>
      </c>
      <c r="BB65" s="22">
        <v>1</v>
      </c>
      <c r="BC65" s="22">
        <v>1</v>
      </c>
      <c r="BD65" s="22">
        <v>3</v>
      </c>
      <c r="BE65" s="22">
        <v>5</v>
      </c>
      <c r="BF65" s="22">
        <v>0</v>
      </c>
      <c r="BG65" s="22">
        <v>0</v>
      </c>
      <c r="BH65" s="22">
        <f t="shared" si="7"/>
        <v>1.5058536585365851</v>
      </c>
    </row>
    <row r="66" spans="1:60" s="22" customFormat="1" ht="13">
      <c r="A66" s="21" t="s">
        <v>3211</v>
      </c>
      <c r="B66" s="22" t="s">
        <v>663</v>
      </c>
      <c r="C66" s="23" t="s">
        <v>2223</v>
      </c>
      <c r="D66" s="22" t="s">
        <v>3188</v>
      </c>
      <c r="E66" s="23" t="s">
        <v>3189</v>
      </c>
      <c r="F66" s="23" t="s">
        <v>3190</v>
      </c>
      <c r="G66" s="23" t="s">
        <v>3191</v>
      </c>
      <c r="H66" s="23" t="s">
        <v>3200</v>
      </c>
      <c r="I66" s="22" t="s">
        <v>48</v>
      </c>
      <c r="J66" s="21" t="s">
        <v>3206</v>
      </c>
      <c r="K66" s="21" t="s">
        <v>175</v>
      </c>
      <c r="L66" s="21" t="s">
        <v>3212</v>
      </c>
      <c r="N66" s="22" t="s">
        <v>3213</v>
      </c>
      <c r="O66" s="22" t="s">
        <v>3196</v>
      </c>
      <c r="P66" s="21">
        <v>90321</v>
      </c>
      <c r="Q66" s="22">
        <v>100</v>
      </c>
      <c r="R66" s="22">
        <v>3.5</v>
      </c>
      <c r="S66" s="22">
        <v>3.5</v>
      </c>
      <c r="T66" s="21" t="s">
        <v>160</v>
      </c>
      <c r="U66" s="22">
        <v>0.75</v>
      </c>
      <c r="V66" s="22">
        <v>0.75</v>
      </c>
      <c r="W66" s="24">
        <f>3.14*R66*Q66+2*3.14*(S66/2)^2/V66</f>
        <v>1124.6433333333334</v>
      </c>
      <c r="X66" s="25">
        <f>(3.14/4*R66^2*Q66)*U66</f>
        <v>721.21875000000011</v>
      </c>
      <c r="Y66" s="21">
        <v>1</v>
      </c>
      <c r="Z66" s="24">
        <f t="shared" si="22"/>
        <v>1124.6433333333334</v>
      </c>
      <c r="AA66" s="24">
        <f t="shared" si="23"/>
        <v>721.21875000000011</v>
      </c>
      <c r="AH66" s="25"/>
      <c r="AI66" s="25"/>
      <c r="AJ66" s="21">
        <v>721.6</v>
      </c>
      <c r="AK66" s="21">
        <v>100</v>
      </c>
      <c r="AL66" s="22" t="s">
        <v>161</v>
      </c>
      <c r="AM66" s="22">
        <v>0.11</v>
      </c>
      <c r="AN66" s="22" t="s">
        <v>1517</v>
      </c>
      <c r="AO66" s="22" t="s">
        <v>1517</v>
      </c>
      <c r="AP66" s="22" t="s">
        <v>162</v>
      </c>
      <c r="AQ66" s="22" t="str">
        <f t="shared" si="24"/>
        <v>Microphytoplankton</v>
      </c>
      <c r="AR66" s="22">
        <v>0</v>
      </c>
      <c r="AS66" s="22">
        <v>0</v>
      </c>
      <c r="AT66" s="22">
        <v>0</v>
      </c>
      <c r="AU66" s="22">
        <v>0</v>
      </c>
      <c r="AV66" s="22">
        <v>0</v>
      </c>
      <c r="AW66" s="22">
        <v>0</v>
      </c>
      <c r="AX66" s="22">
        <v>0</v>
      </c>
      <c r="AY66" s="22">
        <v>1</v>
      </c>
      <c r="BF66" s="22">
        <v>0</v>
      </c>
      <c r="BG66" s="22">
        <v>0</v>
      </c>
      <c r="BH66" s="22">
        <f t="shared" si="7"/>
        <v>0.64128664495114007</v>
      </c>
    </row>
    <row r="67" spans="1:60" s="22" customFormat="1" ht="13">
      <c r="A67" s="21" t="s">
        <v>3214</v>
      </c>
      <c r="B67" s="22" t="s">
        <v>663</v>
      </c>
      <c r="C67" s="23" t="s">
        <v>2223</v>
      </c>
      <c r="D67" s="22" t="s">
        <v>3188</v>
      </c>
      <c r="E67" s="23" t="s">
        <v>3189</v>
      </c>
      <c r="F67" s="23" t="s">
        <v>3190</v>
      </c>
      <c r="G67" s="23" t="s">
        <v>3191</v>
      </c>
      <c r="H67" s="23" t="s">
        <v>3200</v>
      </c>
      <c r="I67" s="22" t="s">
        <v>48</v>
      </c>
      <c r="J67" s="21" t="s">
        <v>3206</v>
      </c>
      <c r="K67" s="21" t="s">
        <v>175</v>
      </c>
      <c r="L67" s="21" t="s">
        <v>3215</v>
      </c>
      <c r="N67" s="22" t="s">
        <v>3216</v>
      </c>
      <c r="O67" s="22" t="s">
        <v>3196</v>
      </c>
      <c r="P67" s="21">
        <v>90320</v>
      </c>
      <c r="Q67" s="21">
        <v>130</v>
      </c>
      <c r="R67" s="21">
        <v>3.5</v>
      </c>
      <c r="S67" s="21">
        <v>3.5</v>
      </c>
      <c r="T67" s="21" t="s">
        <v>160</v>
      </c>
      <c r="U67" s="21">
        <v>0.75</v>
      </c>
      <c r="V67" s="21">
        <v>0.75</v>
      </c>
      <c r="W67" s="24">
        <f>3.14*R67*Q67+2*3.14*(S67/2)^2/V67</f>
        <v>1454.3433333333335</v>
      </c>
      <c r="X67" s="25">
        <f>(3.14/4*R67^2*Q67)*U67</f>
        <v>937.58437500000014</v>
      </c>
      <c r="Y67" s="21">
        <v>1</v>
      </c>
      <c r="Z67" s="24">
        <f t="shared" si="22"/>
        <v>1454.3433333333335</v>
      </c>
      <c r="AA67" s="24">
        <f t="shared" si="23"/>
        <v>937.58437500000014</v>
      </c>
      <c r="AB67" s="21"/>
      <c r="AC67" s="21"/>
      <c r="AD67" s="21"/>
      <c r="AE67" s="21"/>
      <c r="AF67" s="21"/>
      <c r="AG67" s="21"/>
      <c r="AH67" s="24"/>
      <c r="AI67" s="24"/>
      <c r="AJ67" s="21">
        <v>938.1</v>
      </c>
      <c r="AK67" s="21">
        <v>130</v>
      </c>
      <c r="AL67" s="22" t="s">
        <v>161</v>
      </c>
      <c r="AM67" s="22">
        <v>0.11</v>
      </c>
      <c r="AN67" s="22" t="s">
        <v>1517</v>
      </c>
      <c r="AO67" s="22" t="s">
        <v>1517</v>
      </c>
      <c r="AP67" s="22" t="s">
        <v>162</v>
      </c>
      <c r="AQ67" s="22" t="str">
        <f t="shared" si="24"/>
        <v>Microphytoplankton</v>
      </c>
      <c r="AR67" s="22">
        <v>0</v>
      </c>
      <c r="AS67" s="22">
        <v>0</v>
      </c>
      <c r="AT67" s="22">
        <v>0</v>
      </c>
      <c r="AU67" s="22">
        <v>0</v>
      </c>
      <c r="AV67" s="22">
        <v>0</v>
      </c>
      <c r="AW67" s="22">
        <v>0</v>
      </c>
      <c r="AX67" s="22">
        <v>0</v>
      </c>
      <c r="AY67" s="22">
        <v>1</v>
      </c>
      <c r="AZ67" s="22">
        <v>0</v>
      </c>
      <c r="BA67" s="22">
        <v>0</v>
      </c>
      <c r="BB67" s="22">
        <v>0</v>
      </c>
      <c r="BC67" s="22">
        <v>1</v>
      </c>
      <c r="BD67" s="22">
        <v>7</v>
      </c>
      <c r="BE67" s="22">
        <v>2</v>
      </c>
      <c r="BF67" s="22">
        <v>0</v>
      </c>
      <c r="BG67" s="22">
        <v>0</v>
      </c>
      <c r="BH67" s="22">
        <f t="shared" ref="BH67:BH130" si="25">X67/W67</f>
        <v>0.64467884130982367</v>
      </c>
    </row>
    <row r="68" spans="1:60" s="22" customFormat="1" ht="13">
      <c r="A68" s="21" t="s">
        <v>3240</v>
      </c>
      <c r="B68" s="22" t="s">
        <v>663</v>
      </c>
      <c r="C68" s="23" t="s">
        <v>2223</v>
      </c>
      <c r="D68" s="22" t="s">
        <v>3188</v>
      </c>
      <c r="E68" s="23" t="s">
        <v>3189</v>
      </c>
      <c r="F68" s="23" t="s">
        <v>3190</v>
      </c>
      <c r="G68" s="23" t="s">
        <v>3191</v>
      </c>
      <c r="H68" s="23" t="s">
        <v>3200</v>
      </c>
      <c r="I68" s="22" t="s">
        <v>48</v>
      </c>
      <c r="J68" s="21" t="s">
        <v>211</v>
      </c>
      <c r="K68" s="21"/>
      <c r="L68" s="21"/>
      <c r="M68" s="22" t="s">
        <v>1</v>
      </c>
      <c r="N68" s="22" t="s">
        <v>3241</v>
      </c>
      <c r="O68" s="22" t="s">
        <v>3196</v>
      </c>
      <c r="P68" s="21">
        <v>90300</v>
      </c>
      <c r="Q68" s="21">
        <v>175</v>
      </c>
      <c r="R68" s="21">
        <v>28</v>
      </c>
      <c r="S68" s="21">
        <v>28</v>
      </c>
      <c r="T68" s="21" t="s">
        <v>160</v>
      </c>
      <c r="U68" s="21">
        <v>1</v>
      </c>
      <c r="V68" s="21">
        <v>1</v>
      </c>
      <c r="W68" s="24">
        <f>3.14*R68*Q68+2*3.14*(S68/2)^2/V68</f>
        <v>16616.88</v>
      </c>
      <c r="X68" s="25">
        <f>(3.14/4*R68^2*Q68)*U68</f>
        <v>107702.00000000001</v>
      </c>
      <c r="Y68" s="21">
        <v>1</v>
      </c>
      <c r="Z68" s="24">
        <f t="shared" si="22"/>
        <v>16616.88</v>
      </c>
      <c r="AA68" s="24">
        <f t="shared" si="23"/>
        <v>107702.00000000001</v>
      </c>
      <c r="AB68" s="21"/>
      <c r="AC68" s="21"/>
      <c r="AD68" s="21"/>
      <c r="AE68" s="21"/>
      <c r="AF68" s="21"/>
      <c r="AG68" s="21"/>
      <c r="AH68" s="24"/>
      <c r="AI68" s="24"/>
      <c r="AJ68" s="21">
        <v>71837.8</v>
      </c>
      <c r="AK68" s="21">
        <v>175</v>
      </c>
      <c r="AL68" s="22" t="s">
        <v>161</v>
      </c>
      <c r="AM68" s="22">
        <v>0.11</v>
      </c>
      <c r="AO68" s="22" t="s">
        <v>1517</v>
      </c>
      <c r="AP68" s="22" t="s">
        <v>162</v>
      </c>
      <c r="AQ68" s="22" t="str">
        <f t="shared" si="24"/>
        <v>Microphytoplankton</v>
      </c>
      <c r="AR68" s="22">
        <v>0</v>
      </c>
      <c r="AS68" s="22">
        <v>0</v>
      </c>
      <c r="AT68" s="22">
        <v>0</v>
      </c>
      <c r="AU68" s="22">
        <v>0</v>
      </c>
      <c r="AV68" s="22">
        <v>0</v>
      </c>
      <c r="AW68" s="22">
        <v>0</v>
      </c>
      <c r="AX68" s="22">
        <v>0</v>
      </c>
      <c r="AY68" s="22">
        <v>1</v>
      </c>
      <c r="BF68" s="22">
        <v>0</v>
      </c>
      <c r="BG68" s="22">
        <v>0</v>
      </c>
      <c r="BH68" s="22">
        <f t="shared" si="25"/>
        <v>6.4814814814814818</v>
      </c>
    </row>
    <row r="69" spans="1:60" s="22" customFormat="1" ht="13">
      <c r="A69" s="21" t="s">
        <v>3242</v>
      </c>
      <c r="B69" s="22" t="s">
        <v>663</v>
      </c>
      <c r="C69" s="23" t="s">
        <v>2223</v>
      </c>
      <c r="D69" s="22" t="s">
        <v>3188</v>
      </c>
      <c r="E69" s="23" t="s">
        <v>3189</v>
      </c>
      <c r="F69" s="23" t="s">
        <v>3190</v>
      </c>
      <c r="G69" s="23" t="s">
        <v>3191</v>
      </c>
      <c r="H69" s="23" t="s">
        <v>3200</v>
      </c>
      <c r="I69" s="22" t="s">
        <v>48</v>
      </c>
      <c r="J69" s="21" t="s">
        <v>1175</v>
      </c>
      <c r="K69" s="21"/>
      <c r="L69" s="21"/>
      <c r="M69" s="22" t="s">
        <v>1</v>
      </c>
      <c r="N69" s="22" t="s">
        <v>3243</v>
      </c>
      <c r="O69" s="22" t="s">
        <v>3196</v>
      </c>
      <c r="P69" s="21">
        <v>90350</v>
      </c>
      <c r="Q69" s="21">
        <v>19.399999999999999</v>
      </c>
      <c r="R69" s="21">
        <v>5.4</v>
      </c>
      <c r="S69" s="21">
        <v>4</v>
      </c>
      <c r="T69" s="21" t="s">
        <v>160</v>
      </c>
      <c r="U69" s="21">
        <v>0.9</v>
      </c>
      <c r="V69" s="21">
        <v>0.9</v>
      </c>
      <c r="W69" s="24">
        <f>3.14*R69*Q69+2*3.14*(S69/2)^2/V69</f>
        <v>356.85751111111114</v>
      </c>
      <c r="X69" s="25">
        <f>(3.14/4*R69^2*Q69)*U69</f>
        <v>399.66987600000004</v>
      </c>
      <c r="Y69" s="21">
        <v>1</v>
      </c>
      <c r="Z69" s="24">
        <f t="shared" si="22"/>
        <v>356.85751111111114</v>
      </c>
      <c r="AA69" s="24">
        <f t="shared" si="23"/>
        <v>399.66987600000004</v>
      </c>
      <c r="AB69" s="21"/>
      <c r="AC69" s="21"/>
      <c r="AD69" s="21"/>
      <c r="AE69" s="21"/>
      <c r="AF69" s="21"/>
      <c r="AG69" s="21"/>
      <c r="AH69" s="24"/>
      <c r="AI69" s="24"/>
      <c r="AJ69" s="21">
        <v>377</v>
      </c>
      <c r="AK69" s="21">
        <v>19.399999999999999</v>
      </c>
      <c r="AL69" s="22" t="s">
        <v>161</v>
      </c>
      <c r="AM69" s="22">
        <v>0.11</v>
      </c>
      <c r="AO69" s="22" t="s">
        <v>1517</v>
      </c>
      <c r="AP69" s="22" t="s">
        <v>162</v>
      </c>
      <c r="AQ69" s="22" t="str">
        <f t="shared" si="24"/>
        <v>Nanophytoplankton</v>
      </c>
      <c r="AR69" s="22">
        <v>0</v>
      </c>
      <c r="AS69" s="22">
        <v>0</v>
      </c>
      <c r="AT69" s="22">
        <v>0</v>
      </c>
      <c r="AU69" s="22">
        <v>0</v>
      </c>
      <c r="AV69" s="22">
        <v>0</v>
      </c>
      <c r="AW69" s="22">
        <v>0</v>
      </c>
      <c r="AX69" s="22">
        <v>0</v>
      </c>
      <c r="AY69" s="22">
        <v>1</v>
      </c>
      <c r="BF69" s="22">
        <v>0</v>
      </c>
      <c r="BG69" s="22">
        <v>0</v>
      </c>
      <c r="BH69" s="22">
        <f t="shared" si="25"/>
        <v>1.1199704743654921</v>
      </c>
    </row>
    <row r="70" spans="1:60" s="22" customFormat="1" ht="13">
      <c r="A70" s="43"/>
      <c r="C70" s="23"/>
      <c r="E70" s="23"/>
      <c r="F70" s="23"/>
      <c r="G70" s="23"/>
      <c r="H70" s="23"/>
      <c r="J70" s="21"/>
      <c r="K70" s="21"/>
      <c r="L70" s="21"/>
      <c r="P70" s="21"/>
      <c r="Q70" s="21"/>
      <c r="R70" s="21"/>
      <c r="S70" s="21"/>
      <c r="T70" s="21"/>
      <c r="U70" s="21"/>
      <c r="V70" s="21"/>
      <c r="W70" s="24"/>
      <c r="X70" s="25"/>
      <c r="Y70" s="21"/>
      <c r="Z70" s="24"/>
      <c r="AA70" s="24"/>
      <c r="AB70" s="21"/>
      <c r="AC70" s="21"/>
      <c r="AD70" s="21"/>
      <c r="AE70" s="21"/>
      <c r="AF70" s="21"/>
      <c r="AG70" s="21"/>
      <c r="AH70" s="24"/>
      <c r="AI70" s="24"/>
      <c r="AJ70" s="21"/>
      <c r="AK70" s="21"/>
    </row>
    <row r="71" spans="1:60" s="22" customFormat="1" ht="13">
      <c r="A71" s="21" t="s">
        <v>2427</v>
      </c>
      <c r="B71" s="22" t="s">
        <v>663</v>
      </c>
      <c r="C71" s="22" t="s">
        <v>2223</v>
      </c>
      <c r="D71" s="22" t="s">
        <v>2224</v>
      </c>
      <c r="E71" s="23" t="s">
        <v>63</v>
      </c>
      <c r="F71" s="23" t="s">
        <v>2225</v>
      </c>
      <c r="G71" s="23" t="s">
        <v>2226</v>
      </c>
      <c r="H71" s="38" t="s">
        <v>2231</v>
      </c>
      <c r="I71" s="22" t="s">
        <v>49</v>
      </c>
      <c r="J71" s="21" t="s">
        <v>2428</v>
      </c>
      <c r="K71" s="21"/>
      <c r="L71" s="21"/>
      <c r="N71" s="22" t="s">
        <v>2429</v>
      </c>
      <c r="O71" s="22" t="s">
        <v>2229</v>
      </c>
      <c r="P71" s="21">
        <v>82220</v>
      </c>
      <c r="Q71" s="21">
        <v>7</v>
      </c>
      <c r="R71" s="21">
        <v>7</v>
      </c>
      <c r="S71" s="21">
        <v>7</v>
      </c>
      <c r="T71" s="21" t="s">
        <v>281</v>
      </c>
      <c r="U71" s="21">
        <v>1</v>
      </c>
      <c r="V71" s="21">
        <v>1</v>
      </c>
      <c r="W71" s="24">
        <f>(4*3.14*(((Q71^1.6*R71^1.6+Q71^1.6*S71^1.6+R71^1.6+S71^1.6)/3)^(1/1.6)))*(1/V71)</f>
        <v>490.83181458055361</v>
      </c>
      <c r="X71" s="24">
        <f>3.14/6*Q71*R71*S71*U71</f>
        <v>179.50333333333333</v>
      </c>
      <c r="Y71" s="21">
        <v>16</v>
      </c>
      <c r="Z71" s="24">
        <f t="shared" si="22"/>
        <v>7853.3090332888578</v>
      </c>
      <c r="AA71" s="24">
        <f t="shared" si="23"/>
        <v>2872.0533333333333</v>
      </c>
      <c r="AB71" s="21">
        <v>21</v>
      </c>
      <c r="AC71" s="21">
        <v>21</v>
      </c>
      <c r="AD71" s="21">
        <v>21</v>
      </c>
      <c r="AE71" s="21" t="s">
        <v>246</v>
      </c>
      <c r="AF71" s="21">
        <v>0.8</v>
      </c>
      <c r="AG71" s="21">
        <v>1.5</v>
      </c>
      <c r="AH71" s="25">
        <f>4*3.14*(AC71/2)*(AB71/2)/AG71</f>
        <v>923.16</v>
      </c>
      <c r="AI71" s="25">
        <f>(3.14/6*(AD71*AB71*AC71))*AF71</f>
        <v>3877.2720000000004</v>
      </c>
      <c r="AJ71" s="21">
        <v>2973.5</v>
      </c>
      <c r="AK71" s="21">
        <v>40</v>
      </c>
      <c r="AL71" s="22" t="s">
        <v>161</v>
      </c>
      <c r="AM71" s="22">
        <v>0.16</v>
      </c>
      <c r="AN71" s="38" t="s">
        <v>1364</v>
      </c>
      <c r="AO71" s="38" t="s">
        <v>1364</v>
      </c>
      <c r="AP71" s="22" t="s">
        <v>162</v>
      </c>
      <c r="AQ71" s="22" t="str">
        <f t="shared" si="24"/>
        <v>Microphytoplankton</v>
      </c>
      <c r="AR71" s="22">
        <v>0</v>
      </c>
      <c r="AS71" s="22">
        <v>0</v>
      </c>
      <c r="AT71" s="22">
        <v>0</v>
      </c>
      <c r="AU71" s="22">
        <v>1</v>
      </c>
      <c r="AV71" s="22">
        <v>0</v>
      </c>
      <c r="AW71" s="22">
        <v>0</v>
      </c>
      <c r="AX71" s="22">
        <v>0</v>
      </c>
      <c r="AY71" s="22">
        <v>1</v>
      </c>
      <c r="AZ71" s="22">
        <v>0</v>
      </c>
      <c r="BA71" s="22">
        <v>0</v>
      </c>
      <c r="BB71" s="22">
        <v>4</v>
      </c>
      <c r="BC71" s="22">
        <v>2</v>
      </c>
      <c r="BD71" s="22">
        <v>2</v>
      </c>
      <c r="BE71" s="22">
        <v>2</v>
      </c>
      <c r="BF71" s="22">
        <v>0</v>
      </c>
      <c r="BG71" s="22">
        <v>0</v>
      </c>
      <c r="BH71" s="22">
        <f t="shared" si="25"/>
        <v>0.36571250681199247</v>
      </c>
    </row>
    <row r="72" spans="1:60" s="22" customFormat="1" ht="13">
      <c r="A72" s="22" t="s">
        <v>2430</v>
      </c>
      <c r="B72" s="22" t="s">
        <v>663</v>
      </c>
      <c r="C72" s="22" t="s">
        <v>2223</v>
      </c>
      <c r="D72" s="22" t="s">
        <v>2224</v>
      </c>
      <c r="E72" s="23" t="s">
        <v>63</v>
      </c>
      <c r="F72" s="23" t="s">
        <v>2225</v>
      </c>
      <c r="G72" s="23" t="s">
        <v>2226</v>
      </c>
      <c r="H72" s="38" t="s">
        <v>2231</v>
      </c>
      <c r="I72" s="22" t="s">
        <v>49</v>
      </c>
      <c r="J72" s="22" t="s">
        <v>2428</v>
      </c>
      <c r="K72" s="22" t="s">
        <v>184</v>
      </c>
      <c r="L72" s="22" t="s">
        <v>2431</v>
      </c>
      <c r="N72" s="22" t="s">
        <v>2432</v>
      </c>
      <c r="O72" s="22" t="s">
        <v>2229</v>
      </c>
      <c r="P72" s="21">
        <v>82221</v>
      </c>
      <c r="Q72" s="22">
        <v>3</v>
      </c>
      <c r="R72" s="22">
        <v>3</v>
      </c>
      <c r="S72" s="22">
        <v>3</v>
      </c>
      <c r="T72" s="22" t="s">
        <v>246</v>
      </c>
      <c r="U72" s="21">
        <v>1</v>
      </c>
      <c r="V72" s="21">
        <v>1</v>
      </c>
      <c r="W72" s="25">
        <f>4*3.14*(R72/2)*(Q72/2)/V72</f>
        <v>28.259999999999998</v>
      </c>
      <c r="X72" s="25">
        <f>(3.14/6*(Q72*S72*R72))*U72</f>
        <v>14.129999999999999</v>
      </c>
      <c r="Y72" s="21">
        <v>3</v>
      </c>
      <c r="Z72" s="24">
        <f t="shared" si="22"/>
        <v>84.78</v>
      </c>
      <c r="AA72" s="24">
        <f t="shared" si="23"/>
        <v>42.39</v>
      </c>
      <c r="AB72" s="22">
        <v>6</v>
      </c>
      <c r="AC72" s="22">
        <v>6</v>
      </c>
      <c r="AD72" s="22">
        <v>6</v>
      </c>
      <c r="AE72" s="21" t="s">
        <v>246</v>
      </c>
      <c r="AF72" s="21">
        <v>0.8</v>
      </c>
      <c r="AG72" s="21">
        <v>2</v>
      </c>
      <c r="AH72" s="25">
        <f>4*3.14*(AC72/2)*(AB72/2)/AG72</f>
        <v>56.519999999999996</v>
      </c>
      <c r="AI72" s="25">
        <f>(3.14/6*(AD72*AB72*AC72))*AF72</f>
        <v>90.432000000000002</v>
      </c>
      <c r="AJ72" s="21">
        <v>42.39</v>
      </c>
      <c r="AK72" s="21">
        <v>6</v>
      </c>
      <c r="AL72" s="22" t="s">
        <v>2433</v>
      </c>
      <c r="AM72" s="22">
        <v>0.16</v>
      </c>
      <c r="AN72" s="22" t="s">
        <v>1364</v>
      </c>
      <c r="AO72" s="22" t="s">
        <v>1364</v>
      </c>
      <c r="AP72" s="22" t="s">
        <v>162</v>
      </c>
      <c r="AQ72" s="22" t="str">
        <f t="shared" si="24"/>
        <v>Nanophytoplankton</v>
      </c>
      <c r="AR72" s="22">
        <v>0</v>
      </c>
      <c r="AS72" s="22">
        <v>0</v>
      </c>
      <c r="AT72" s="22">
        <v>0</v>
      </c>
      <c r="AU72" s="22">
        <v>1</v>
      </c>
      <c r="AV72" s="22">
        <v>0</v>
      </c>
      <c r="AW72" s="22">
        <v>0</v>
      </c>
      <c r="AX72" s="22">
        <v>0</v>
      </c>
      <c r="AY72" s="22">
        <v>1</v>
      </c>
      <c r="BF72" s="22">
        <v>0</v>
      </c>
      <c r="BG72" s="22">
        <v>0</v>
      </c>
      <c r="BH72" s="22">
        <f t="shared" si="25"/>
        <v>0.5</v>
      </c>
    </row>
    <row r="73" spans="1:60" s="22" customFormat="1" ht="13">
      <c r="A73" s="21" t="s">
        <v>2420</v>
      </c>
      <c r="B73" s="22" t="s">
        <v>663</v>
      </c>
      <c r="C73" s="22" t="s">
        <v>2223</v>
      </c>
      <c r="D73" s="22" t="s">
        <v>2224</v>
      </c>
      <c r="E73" s="23" t="s">
        <v>63</v>
      </c>
      <c r="F73" s="23" t="s">
        <v>2225</v>
      </c>
      <c r="G73" s="23" t="s">
        <v>2226</v>
      </c>
      <c r="H73" s="38" t="s">
        <v>2231</v>
      </c>
      <c r="I73" s="22" t="s">
        <v>49</v>
      </c>
      <c r="J73" s="21" t="s">
        <v>2421</v>
      </c>
      <c r="K73" s="21"/>
      <c r="L73" s="21"/>
      <c r="N73" s="22" t="s">
        <v>2422</v>
      </c>
      <c r="O73" s="22" t="s">
        <v>2229</v>
      </c>
      <c r="P73" s="21">
        <v>82210</v>
      </c>
      <c r="Q73" s="21">
        <v>13</v>
      </c>
      <c r="R73" s="21">
        <v>13</v>
      </c>
      <c r="S73" s="21">
        <v>13</v>
      </c>
      <c r="T73" s="21" t="s">
        <v>281</v>
      </c>
      <c r="U73" s="21">
        <v>1</v>
      </c>
      <c r="V73" s="21">
        <v>1</v>
      </c>
      <c r="W73" s="24">
        <f>(4*3.14*(((Q73^1.6*R73^1.6+Q73^1.6*S73^1.6+R73^1.6+S73^1.6)/3)^(1/1.6)))*(1/V73)</f>
        <v>1664.4222732199528</v>
      </c>
      <c r="X73" s="24">
        <f>3.14/6*Q73*R73*S73*U73</f>
        <v>1149.7633333333333</v>
      </c>
      <c r="Y73" s="21">
        <v>16</v>
      </c>
      <c r="Z73" s="24">
        <f t="shared" si="22"/>
        <v>26630.756371519245</v>
      </c>
      <c r="AA73" s="24">
        <f t="shared" si="23"/>
        <v>18396.213333333333</v>
      </c>
      <c r="AB73" s="21">
        <v>39</v>
      </c>
      <c r="AC73" s="21">
        <v>39</v>
      </c>
      <c r="AD73" s="21">
        <v>39</v>
      </c>
      <c r="AE73" s="21" t="s">
        <v>246</v>
      </c>
      <c r="AF73" s="21">
        <v>0.8</v>
      </c>
      <c r="AG73" s="21">
        <v>1.5</v>
      </c>
      <c r="AH73" s="25">
        <f>4*3.14*(AC73/2)*(AB73/2)/AG73</f>
        <v>3183.9600000000005</v>
      </c>
      <c r="AI73" s="25">
        <f>(3.14/6*(AD73*AB73*AC73))*AF73</f>
        <v>24834.888000000003</v>
      </c>
      <c r="AJ73" s="21">
        <v>18405.2</v>
      </c>
      <c r="AK73" s="21">
        <v>50</v>
      </c>
      <c r="AL73" s="22" t="s">
        <v>161</v>
      </c>
      <c r="AM73" s="22">
        <v>0.16</v>
      </c>
      <c r="AN73" s="38" t="s">
        <v>1364</v>
      </c>
      <c r="AO73" s="38" t="s">
        <v>1364</v>
      </c>
      <c r="AP73" s="22" t="s">
        <v>162</v>
      </c>
      <c r="AQ73" s="22" t="str">
        <f t="shared" si="24"/>
        <v>Microphytoplankton</v>
      </c>
      <c r="AR73" s="22">
        <v>0</v>
      </c>
      <c r="AS73" s="22">
        <v>0</v>
      </c>
      <c r="AT73" s="22">
        <v>0</v>
      </c>
      <c r="AU73" s="22">
        <v>1</v>
      </c>
      <c r="AV73" s="22">
        <v>0</v>
      </c>
      <c r="AW73" s="22">
        <v>0</v>
      </c>
      <c r="AX73" s="22">
        <v>0</v>
      </c>
      <c r="AY73" s="22">
        <v>1</v>
      </c>
      <c r="AZ73" s="22">
        <v>0</v>
      </c>
      <c r="BA73" s="22">
        <v>0</v>
      </c>
      <c r="BB73" s="22">
        <v>1</v>
      </c>
      <c r="BC73" s="22">
        <v>2</v>
      </c>
      <c r="BD73" s="22">
        <v>2</v>
      </c>
      <c r="BE73" s="22">
        <v>5</v>
      </c>
      <c r="BF73" s="22">
        <v>0</v>
      </c>
      <c r="BG73" s="22">
        <v>0</v>
      </c>
      <c r="BH73" s="22">
        <f t="shared" si="25"/>
        <v>0.69078824035983832</v>
      </c>
    </row>
    <row r="74" spans="1:60" s="22" customFormat="1" ht="13">
      <c r="E74" s="23"/>
      <c r="F74" s="23"/>
      <c r="G74" s="23"/>
      <c r="H74" s="38"/>
      <c r="P74" s="21"/>
      <c r="U74" s="21"/>
      <c r="V74" s="21"/>
      <c r="W74" s="25"/>
      <c r="X74" s="25"/>
      <c r="Y74" s="21"/>
      <c r="Z74" s="24"/>
      <c r="AA74" s="24"/>
      <c r="AE74" s="21"/>
      <c r="AF74" s="21"/>
      <c r="AG74" s="21"/>
      <c r="AH74" s="25"/>
      <c r="AI74" s="25"/>
      <c r="AJ74" s="21"/>
      <c r="AK74" s="21"/>
    </row>
    <row r="75" spans="1:60" s="22" customFormat="1" ht="13">
      <c r="A75" s="21" t="s">
        <v>3395</v>
      </c>
      <c r="B75" s="22" t="s">
        <v>663</v>
      </c>
      <c r="C75" s="23" t="s">
        <v>2223</v>
      </c>
      <c r="D75" s="22" t="s">
        <v>3188</v>
      </c>
      <c r="E75" s="23" t="s">
        <v>3189</v>
      </c>
      <c r="F75" s="23" t="s">
        <v>3190</v>
      </c>
      <c r="G75" s="23" t="s">
        <v>3191</v>
      </c>
      <c r="H75" s="23" t="s">
        <v>3392</v>
      </c>
      <c r="I75" s="22" t="s">
        <v>50</v>
      </c>
      <c r="J75" s="22" t="s">
        <v>211</v>
      </c>
      <c r="M75" s="22" t="s">
        <v>1</v>
      </c>
      <c r="N75" s="22" t="s">
        <v>475</v>
      </c>
      <c r="O75" s="22" t="s">
        <v>3196</v>
      </c>
      <c r="P75" s="21">
        <v>90210</v>
      </c>
      <c r="Q75" s="21">
        <v>40</v>
      </c>
      <c r="R75" s="21">
        <v>9</v>
      </c>
      <c r="S75" s="21">
        <v>9</v>
      </c>
      <c r="T75" s="21" t="s">
        <v>160</v>
      </c>
      <c r="U75" s="21">
        <v>1</v>
      </c>
      <c r="V75" s="21">
        <v>1</v>
      </c>
      <c r="W75" s="24">
        <f>3.14*R75*Q75+2*3.14*(S75/2)^2/V75</f>
        <v>1257.5700000000002</v>
      </c>
      <c r="X75" s="25">
        <f>(3.14/4*R75^2*Q75)*U75</f>
        <v>2543.4</v>
      </c>
      <c r="Y75" s="21">
        <v>1</v>
      </c>
      <c r="Z75" s="24">
        <f t="shared" si="22"/>
        <v>1257.5700000000002</v>
      </c>
      <c r="AA75" s="24">
        <f t="shared" si="23"/>
        <v>2543.4</v>
      </c>
      <c r="AB75" s="21"/>
      <c r="AC75" s="21"/>
      <c r="AD75" s="21"/>
      <c r="AE75" s="21"/>
      <c r="AF75" s="21"/>
      <c r="AG75" s="21"/>
      <c r="AH75" s="24"/>
      <c r="AI75" s="24"/>
      <c r="AJ75" s="21">
        <v>2544.6999999999998</v>
      </c>
      <c r="AK75" s="21">
        <v>100</v>
      </c>
      <c r="AL75" s="22" t="s">
        <v>161</v>
      </c>
      <c r="AM75" s="22">
        <v>0.11</v>
      </c>
      <c r="AN75" s="22" t="s">
        <v>1357</v>
      </c>
      <c r="AO75" s="22" t="s">
        <v>1357</v>
      </c>
      <c r="AP75" s="22" t="s">
        <v>162</v>
      </c>
      <c r="AQ75" s="22" t="str">
        <f t="shared" si="24"/>
        <v>Microphytoplankton</v>
      </c>
      <c r="AR75" s="22">
        <v>0</v>
      </c>
      <c r="AS75" s="22">
        <v>0</v>
      </c>
      <c r="AT75" s="22">
        <v>0</v>
      </c>
      <c r="AU75" s="22">
        <v>1</v>
      </c>
      <c r="AV75" s="22">
        <v>1</v>
      </c>
      <c r="AW75" s="22">
        <v>0</v>
      </c>
      <c r="AX75" s="22">
        <v>0</v>
      </c>
      <c r="AY75" s="22">
        <v>1</v>
      </c>
      <c r="BF75" s="22">
        <v>0</v>
      </c>
      <c r="BG75" s="22">
        <v>0</v>
      </c>
      <c r="BH75" s="22">
        <f t="shared" si="25"/>
        <v>2.0224719101123592</v>
      </c>
    </row>
    <row r="76" spans="1:60" s="22" customFormat="1" ht="13">
      <c r="A76" s="21" t="s">
        <v>3396</v>
      </c>
      <c r="B76" s="22" t="s">
        <v>663</v>
      </c>
      <c r="C76" s="23" t="s">
        <v>2223</v>
      </c>
      <c r="D76" s="22" t="s">
        <v>3188</v>
      </c>
      <c r="E76" s="23" t="s">
        <v>3189</v>
      </c>
      <c r="F76" s="23" t="s">
        <v>3190</v>
      </c>
      <c r="G76" s="23" t="s">
        <v>3191</v>
      </c>
      <c r="H76" s="23" t="s">
        <v>3392</v>
      </c>
      <c r="I76" s="22" t="s">
        <v>50</v>
      </c>
      <c r="J76" s="22" t="s">
        <v>3397</v>
      </c>
      <c r="M76" s="22" t="s">
        <v>1</v>
      </c>
      <c r="N76" s="22" t="s">
        <v>475</v>
      </c>
      <c r="O76" s="22" t="s">
        <v>3196</v>
      </c>
      <c r="P76" s="21">
        <v>90211</v>
      </c>
      <c r="Q76" s="21">
        <v>21</v>
      </c>
      <c r="R76" s="21">
        <v>12</v>
      </c>
      <c r="S76" s="21">
        <v>12</v>
      </c>
      <c r="T76" s="21" t="s">
        <v>160</v>
      </c>
      <c r="U76" s="21">
        <v>1</v>
      </c>
      <c r="V76" s="21">
        <v>1</v>
      </c>
      <c r="W76" s="24">
        <f>3.14*R76*Q76+2*3.14*(S76/2)^2/V76</f>
        <v>1017.36</v>
      </c>
      <c r="X76" s="25">
        <f>(3.14/4*R76^2*Q76)*U76</f>
        <v>2373.84</v>
      </c>
      <c r="Y76" s="21">
        <v>10</v>
      </c>
      <c r="Z76" s="24">
        <f t="shared" si="22"/>
        <v>10173.6</v>
      </c>
      <c r="AA76" s="24">
        <f t="shared" si="23"/>
        <v>23738.400000000001</v>
      </c>
      <c r="AB76" s="21">
        <v>207</v>
      </c>
      <c r="AC76" s="21">
        <v>12</v>
      </c>
      <c r="AD76" s="21">
        <v>12</v>
      </c>
      <c r="AE76" s="21" t="s">
        <v>160</v>
      </c>
      <c r="AF76" s="21">
        <v>1</v>
      </c>
      <c r="AG76" s="21">
        <v>1</v>
      </c>
      <c r="AH76" s="24">
        <f>3.14*AC76*AB76+2*3.14*(AD76/2)^2/AG76</f>
        <v>8025.84</v>
      </c>
      <c r="AI76" s="25">
        <f>(3.14/4*AC76^2*AB76)*AF76</f>
        <v>23399.280000000002</v>
      </c>
      <c r="AJ76" s="21">
        <v>23399.200000000001</v>
      </c>
      <c r="AK76" s="21">
        <v>207</v>
      </c>
      <c r="AL76" s="22" t="s">
        <v>161</v>
      </c>
      <c r="AM76" s="22">
        <v>0.11</v>
      </c>
      <c r="AN76" s="22" t="s">
        <v>1357</v>
      </c>
      <c r="AO76" s="22" t="s">
        <v>1357</v>
      </c>
      <c r="AP76" s="22" t="s">
        <v>162</v>
      </c>
      <c r="AQ76" s="22" t="str">
        <f t="shared" si="24"/>
        <v>Microphytoplankton</v>
      </c>
      <c r="AR76" s="22">
        <v>0</v>
      </c>
      <c r="AS76" s="22">
        <v>0</v>
      </c>
      <c r="AT76" s="22">
        <v>0</v>
      </c>
      <c r="AU76" s="22">
        <v>1</v>
      </c>
      <c r="AV76" s="22">
        <v>1</v>
      </c>
      <c r="AW76" s="22">
        <v>0</v>
      </c>
      <c r="AX76" s="22">
        <v>0</v>
      </c>
      <c r="AY76" s="22">
        <v>1</v>
      </c>
      <c r="BF76" s="22">
        <v>0</v>
      </c>
      <c r="BG76" s="22">
        <v>0</v>
      </c>
    </row>
    <row r="77" spans="1:60" s="22" customFormat="1" ht="13">
      <c r="A77" s="21" t="s">
        <v>3398</v>
      </c>
      <c r="B77" s="22" t="s">
        <v>663</v>
      </c>
      <c r="C77" s="23" t="s">
        <v>2223</v>
      </c>
      <c r="D77" s="22" t="s">
        <v>3188</v>
      </c>
      <c r="E77" s="23" t="s">
        <v>3189</v>
      </c>
      <c r="F77" s="23" t="s">
        <v>3190</v>
      </c>
      <c r="G77" s="23" t="s">
        <v>3191</v>
      </c>
      <c r="H77" s="23" t="s">
        <v>3392</v>
      </c>
      <c r="I77" s="22" t="s">
        <v>50</v>
      </c>
      <c r="J77" s="22" t="s">
        <v>3399</v>
      </c>
      <c r="M77" s="22" t="s">
        <v>1</v>
      </c>
      <c r="N77" s="22" t="s">
        <v>475</v>
      </c>
      <c r="O77" s="22" t="s">
        <v>3196</v>
      </c>
      <c r="P77" s="22">
        <v>90220</v>
      </c>
      <c r="Q77" s="21">
        <v>14</v>
      </c>
      <c r="R77" s="21">
        <v>7</v>
      </c>
      <c r="S77" s="21">
        <v>7</v>
      </c>
      <c r="T77" s="21" t="s">
        <v>160</v>
      </c>
      <c r="U77" s="21">
        <v>1</v>
      </c>
      <c r="V77" s="21">
        <v>1</v>
      </c>
      <c r="W77" s="24">
        <f>3.14*R77*Q77+2*3.14*(S77/2)^2/V77</f>
        <v>384.65000000000003</v>
      </c>
      <c r="X77" s="25">
        <f>(3.14/4*R77^2*Q77)*U77</f>
        <v>538.51</v>
      </c>
      <c r="Y77" s="21">
        <v>10</v>
      </c>
      <c r="Z77" s="24">
        <f t="shared" si="22"/>
        <v>3846.5000000000005</v>
      </c>
      <c r="AA77" s="24">
        <f t="shared" si="23"/>
        <v>5385.1</v>
      </c>
      <c r="AB77" s="21">
        <v>142</v>
      </c>
      <c r="AC77" s="21">
        <v>7</v>
      </c>
      <c r="AD77" s="21">
        <v>7</v>
      </c>
      <c r="AE77" s="21" t="s">
        <v>160</v>
      </c>
      <c r="AF77" s="21">
        <v>1</v>
      </c>
      <c r="AG77" s="21">
        <v>1</v>
      </c>
      <c r="AH77" s="24">
        <f>3.14*AC77*AB77+2*3.14*(AD77/2)^2/AG77</f>
        <v>3198.0899999999997</v>
      </c>
      <c r="AI77" s="25">
        <f>(3.14/4*AC77^2*AB77)*AF77</f>
        <v>5462.0300000000007</v>
      </c>
      <c r="AJ77" s="21">
        <v>5464.8</v>
      </c>
      <c r="AK77" s="21">
        <v>142</v>
      </c>
      <c r="AL77" s="22" t="s">
        <v>161</v>
      </c>
      <c r="AM77" s="22">
        <v>0.11</v>
      </c>
      <c r="AN77" s="22" t="s">
        <v>1357</v>
      </c>
      <c r="AO77" s="22" t="s">
        <v>1357</v>
      </c>
      <c r="AP77" s="22" t="s">
        <v>162</v>
      </c>
      <c r="AQ77" s="22" t="str">
        <f t="shared" si="24"/>
        <v>Microphytoplankton</v>
      </c>
      <c r="AR77" s="22">
        <v>0</v>
      </c>
      <c r="AS77" s="22">
        <v>0</v>
      </c>
      <c r="AT77" s="22">
        <v>0</v>
      </c>
      <c r="AU77" s="22">
        <v>1</v>
      </c>
      <c r="AV77" s="22">
        <v>1</v>
      </c>
      <c r="AW77" s="22">
        <v>0</v>
      </c>
      <c r="AX77" s="22">
        <v>0</v>
      </c>
      <c r="AY77" s="22">
        <v>1</v>
      </c>
      <c r="AZ77" s="22">
        <v>0</v>
      </c>
      <c r="BA77" s="22">
        <v>0</v>
      </c>
      <c r="BB77" s="22">
        <v>0</v>
      </c>
      <c r="BC77" s="22">
        <v>3</v>
      </c>
      <c r="BD77" s="22">
        <v>5</v>
      </c>
      <c r="BE77" s="22">
        <v>2</v>
      </c>
      <c r="BF77" s="22">
        <v>0</v>
      </c>
      <c r="BG77" s="22">
        <v>0</v>
      </c>
      <c r="BH77" s="22">
        <f t="shared" si="25"/>
        <v>1.4</v>
      </c>
    </row>
    <row r="78" spans="1:60" s="22" customFormat="1" ht="13">
      <c r="A78" s="21" t="s">
        <v>3400</v>
      </c>
      <c r="B78" s="22" t="s">
        <v>663</v>
      </c>
      <c r="C78" s="23" t="s">
        <v>2223</v>
      </c>
      <c r="D78" s="22" t="s">
        <v>3188</v>
      </c>
      <c r="E78" s="23" t="s">
        <v>3189</v>
      </c>
      <c r="F78" s="23" t="s">
        <v>3190</v>
      </c>
      <c r="G78" s="23" t="s">
        <v>3191</v>
      </c>
      <c r="H78" s="23" t="s">
        <v>3392</v>
      </c>
      <c r="I78" s="22" t="s">
        <v>50</v>
      </c>
      <c r="J78" s="22" t="s">
        <v>3401</v>
      </c>
      <c r="M78" s="22" t="s">
        <v>1</v>
      </c>
      <c r="N78" s="22" t="s">
        <v>475</v>
      </c>
      <c r="O78" s="22" t="s">
        <v>3196</v>
      </c>
      <c r="P78" s="22">
        <v>90230</v>
      </c>
      <c r="Q78" s="21">
        <v>50</v>
      </c>
      <c r="R78" s="21">
        <v>27</v>
      </c>
      <c r="S78" s="21">
        <v>27</v>
      </c>
      <c r="T78" s="21" t="s">
        <v>160</v>
      </c>
      <c r="U78" s="21">
        <v>1</v>
      </c>
      <c r="V78" s="21">
        <v>1</v>
      </c>
      <c r="W78" s="24">
        <f>3.14*R78*Q78+2*3.14*(S78/2)^2/V78</f>
        <v>5383.53</v>
      </c>
      <c r="X78" s="25">
        <f>(3.14/4*R78^2*Q78)*U78</f>
        <v>28613.25</v>
      </c>
      <c r="Y78" s="21">
        <v>7</v>
      </c>
      <c r="Z78" s="24">
        <f t="shared" si="22"/>
        <v>37684.71</v>
      </c>
      <c r="AA78" s="24">
        <f t="shared" si="23"/>
        <v>200292.75</v>
      </c>
      <c r="AB78" s="21">
        <v>350</v>
      </c>
      <c r="AC78" s="21">
        <v>27</v>
      </c>
      <c r="AD78" s="21">
        <v>27</v>
      </c>
      <c r="AE78" s="21" t="s">
        <v>160</v>
      </c>
      <c r="AF78" s="21">
        <v>1</v>
      </c>
      <c r="AG78" s="21">
        <v>1</v>
      </c>
      <c r="AH78" s="24">
        <f>3.14*AC78*AB78+2*3.14*(AD78/2)^2/AG78</f>
        <v>30817.53</v>
      </c>
      <c r="AI78" s="25">
        <f>(3.14/4*AC78^2*AB78)*AF78</f>
        <v>200292.75</v>
      </c>
      <c r="AJ78" s="21">
        <v>200395</v>
      </c>
      <c r="AK78" s="21">
        <v>350</v>
      </c>
      <c r="AL78" s="22" t="s">
        <v>161</v>
      </c>
      <c r="AM78" s="22">
        <v>0.11</v>
      </c>
      <c r="AN78" s="22" t="s">
        <v>1357</v>
      </c>
      <c r="AO78" s="22" t="s">
        <v>1357</v>
      </c>
      <c r="AP78" s="22" t="s">
        <v>162</v>
      </c>
      <c r="AQ78" s="22" t="str">
        <f t="shared" si="24"/>
        <v>Microphytoplankton</v>
      </c>
      <c r="AR78" s="22">
        <v>0</v>
      </c>
      <c r="AS78" s="22">
        <v>0</v>
      </c>
      <c r="AT78" s="22">
        <v>0</v>
      </c>
      <c r="AU78" s="22">
        <v>1</v>
      </c>
      <c r="AV78" s="22">
        <v>1</v>
      </c>
      <c r="AW78" s="22">
        <v>0</v>
      </c>
      <c r="AX78" s="22">
        <v>0</v>
      </c>
      <c r="AY78" s="22">
        <v>1</v>
      </c>
      <c r="AZ78" s="22">
        <v>0</v>
      </c>
      <c r="BA78" s="22">
        <v>0</v>
      </c>
      <c r="BB78" s="22">
        <v>0</v>
      </c>
      <c r="BC78" s="22">
        <v>3</v>
      </c>
      <c r="BD78" s="22">
        <v>5</v>
      </c>
      <c r="BE78" s="22">
        <v>2</v>
      </c>
      <c r="BF78" s="22">
        <v>0</v>
      </c>
      <c r="BG78" s="22">
        <v>0</v>
      </c>
      <c r="BH78" s="22">
        <f t="shared" si="25"/>
        <v>5.3149606299212602</v>
      </c>
    </row>
    <row r="79" spans="1:60">
      <c r="BH79" s="22"/>
    </row>
    <row r="80" spans="1:60" s="22" customFormat="1" ht="13">
      <c r="A80" s="21" t="s">
        <v>2766</v>
      </c>
      <c r="B80" s="22" t="s">
        <v>663</v>
      </c>
      <c r="C80" s="22" t="s">
        <v>2223</v>
      </c>
      <c r="D80" s="22" t="s">
        <v>2224</v>
      </c>
      <c r="E80" s="23" t="s">
        <v>63</v>
      </c>
      <c r="F80" s="23" t="s">
        <v>2225</v>
      </c>
      <c r="G80" s="23" t="s">
        <v>2226</v>
      </c>
      <c r="H80" s="22" t="s">
        <v>2239</v>
      </c>
      <c r="I80" s="22" t="s">
        <v>51</v>
      </c>
      <c r="J80" s="38" t="s">
        <v>408</v>
      </c>
      <c r="K80" s="38"/>
      <c r="L80" s="38"/>
      <c r="N80" s="22" t="s">
        <v>409</v>
      </c>
      <c r="O80" s="22" t="s">
        <v>2229</v>
      </c>
      <c r="P80" s="21">
        <v>81210</v>
      </c>
      <c r="Q80" s="22">
        <v>8.5</v>
      </c>
      <c r="R80" s="22">
        <v>4</v>
      </c>
      <c r="S80" s="22">
        <v>4</v>
      </c>
      <c r="T80" s="21" t="s">
        <v>159</v>
      </c>
      <c r="U80" s="21">
        <v>1</v>
      </c>
      <c r="V80" s="21">
        <v>1</v>
      </c>
      <c r="W80" s="24">
        <f>(4*3.14*(((Q80^1.6*R80^1.6+Q80^1.6*S80^1.6+R80^1.6+S80^1.6)/3)^(1/1.6)))*(1/V80)</f>
        <v>338.15313367704772</v>
      </c>
      <c r="X80" s="24">
        <f>3.14/6*Q80*R80*S80*U80</f>
        <v>71.173333333333332</v>
      </c>
      <c r="Y80" s="22">
        <v>4</v>
      </c>
      <c r="Z80" s="24">
        <f>Y80*W80</f>
        <v>1352.6125347081909</v>
      </c>
      <c r="AA80" s="24">
        <f>Y80*X80</f>
        <v>284.69333333333333</v>
      </c>
      <c r="AB80" s="22">
        <v>30</v>
      </c>
      <c r="AC80" s="22">
        <v>8</v>
      </c>
      <c r="AD80" s="22">
        <v>8</v>
      </c>
      <c r="AE80" s="22" t="s">
        <v>159</v>
      </c>
      <c r="AF80" s="22">
        <v>0.7</v>
      </c>
      <c r="AG80" s="22">
        <v>1</v>
      </c>
      <c r="AH80" s="24">
        <f>(4*3.14*(((AB80^1.6*AC80^1.6+AB80^1.6*AD80^1.6+AC80^1.6+AD80^1.6)/3)^(1/1.6)))*(1/AG80)</f>
        <v>2345.940185399169</v>
      </c>
      <c r="AI80" s="24">
        <f>3.14/6*AB80*AC80*AD80*AF80</f>
        <v>703.3599999999999</v>
      </c>
      <c r="AJ80" s="21">
        <v>284.60000000000002</v>
      </c>
      <c r="AK80" s="21">
        <v>30</v>
      </c>
      <c r="AL80" s="22" t="s">
        <v>161</v>
      </c>
      <c r="AM80" s="22">
        <v>0.16</v>
      </c>
      <c r="AN80" s="22" t="s">
        <v>2282</v>
      </c>
      <c r="AO80" s="22" t="s">
        <v>2282</v>
      </c>
      <c r="AP80" s="22" t="s">
        <v>230</v>
      </c>
      <c r="AQ80" s="22" t="str">
        <f>IF(AND($AK80&lt;20,AJ80&lt;10000),"Nanophytoplankton","Microphytoplankton")</f>
        <v>Microphytoplankton</v>
      </c>
      <c r="AR80" s="22">
        <v>0</v>
      </c>
      <c r="AS80" s="22">
        <v>0</v>
      </c>
      <c r="AT80" s="22">
        <v>0</v>
      </c>
      <c r="AU80" s="22">
        <v>0</v>
      </c>
      <c r="AV80" s="22">
        <v>0</v>
      </c>
      <c r="AW80" s="22">
        <v>0</v>
      </c>
      <c r="AX80" s="22">
        <v>0</v>
      </c>
      <c r="AY80" s="22">
        <v>1</v>
      </c>
      <c r="AZ80" s="22">
        <v>0</v>
      </c>
      <c r="BA80" s="22">
        <v>0</v>
      </c>
      <c r="BB80" s="22">
        <v>0</v>
      </c>
      <c r="BC80" s="22">
        <v>1</v>
      </c>
      <c r="BD80" s="22">
        <v>6</v>
      </c>
      <c r="BE80" s="22">
        <v>3</v>
      </c>
      <c r="BF80" s="22">
        <v>0</v>
      </c>
      <c r="BG80" s="22">
        <v>0</v>
      </c>
      <c r="BH80" s="22">
        <f t="shared" si="25"/>
        <v>0.21047663394214539</v>
      </c>
    </row>
    <row r="81" spans="1:60" s="22" customFormat="1" ht="13">
      <c r="A81" s="21" t="s">
        <v>2774</v>
      </c>
      <c r="B81" s="22" t="s">
        <v>663</v>
      </c>
      <c r="C81" s="22" t="s">
        <v>2223</v>
      </c>
      <c r="D81" s="22" t="s">
        <v>2224</v>
      </c>
      <c r="E81" s="23" t="s">
        <v>63</v>
      </c>
      <c r="F81" s="23" t="s">
        <v>2225</v>
      </c>
      <c r="G81" s="23" t="s">
        <v>2226</v>
      </c>
      <c r="H81" s="22" t="s">
        <v>2239</v>
      </c>
      <c r="I81" s="22" t="s">
        <v>51</v>
      </c>
      <c r="J81" s="22" t="s">
        <v>207</v>
      </c>
      <c r="N81" s="22" t="s">
        <v>2775</v>
      </c>
      <c r="O81" s="22" t="s">
        <v>2229</v>
      </c>
      <c r="P81" s="21">
        <v>81220</v>
      </c>
      <c r="Q81" s="21">
        <v>20</v>
      </c>
      <c r="R81" s="21">
        <v>10</v>
      </c>
      <c r="S81" s="21">
        <v>10</v>
      </c>
      <c r="T81" s="21" t="s">
        <v>159</v>
      </c>
      <c r="U81" s="21">
        <v>1</v>
      </c>
      <c r="V81" s="21">
        <v>1</v>
      </c>
      <c r="W81" s="24">
        <f>(4*3.14*(((Q81^1.6*R81^1.6+Q81^1.6*S81^1.6+R81^1.6+S81^1.6)/3)^(1/1.6)))*(1/V81)</f>
        <v>1959.7581092422138</v>
      </c>
      <c r="X81" s="24">
        <f>3.14/6*Q81*R81*S81*U81</f>
        <v>1046.6666666666667</v>
      </c>
      <c r="Y81" s="21">
        <v>1</v>
      </c>
      <c r="Z81" s="24">
        <f>Y81*W81</f>
        <v>1959.7581092422138</v>
      </c>
      <c r="AA81" s="24">
        <f>Y81*X81</f>
        <v>1046.6666666666667</v>
      </c>
      <c r="AB81" s="21"/>
      <c r="AC81" s="21"/>
      <c r="AD81" s="21"/>
      <c r="AE81" s="21"/>
      <c r="AF81" s="21"/>
      <c r="AG81" s="21"/>
      <c r="AH81" s="24"/>
      <c r="AI81" s="24"/>
      <c r="AJ81" s="21">
        <v>1047.2</v>
      </c>
      <c r="AK81" s="21">
        <v>20</v>
      </c>
      <c r="AL81" s="22" t="s">
        <v>161</v>
      </c>
      <c r="AM81" s="22">
        <v>0.16</v>
      </c>
      <c r="AN81" s="22" t="s">
        <v>2282</v>
      </c>
      <c r="AO81" s="22" t="s">
        <v>2282</v>
      </c>
      <c r="AP81" s="22" t="s">
        <v>230</v>
      </c>
      <c r="AQ81" s="22" t="str">
        <f>IF(AND($AK81&lt;20,AJ81&lt;10000),"Nanophytoplankton","Microphytoplankton")</f>
        <v>Microphytoplankton</v>
      </c>
      <c r="AR81" s="22">
        <v>0</v>
      </c>
      <c r="AS81" s="22">
        <v>0</v>
      </c>
      <c r="AT81" s="22">
        <v>0</v>
      </c>
      <c r="AU81" s="22">
        <v>0</v>
      </c>
      <c r="AV81" s="22">
        <v>0</v>
      </c>
      <c r="AW81" s="22">
        <v>0</v>
      </c>
      <c r="AX81" s="22">
        <v>0</v>
      </c>
      <c r="AY81" s="22">
        <v>1</v>
      </c>
      <c r="AZ81" s="22">
        <v>0</v>
      </c>
      <c r="BA81" s="22">
        <v>0</v>
      </c>
      <c r="BB81" s="22">
        <v>0</v>
      </c>
      <c r="BC81" s="22">
        <v>1</v>
      </c>
      <c r="BD81" s="22">
        <v>6</v>
      </c>
      <c r="BE81" s="22">
        <v>3</v>
      </c>
      <c r="BF81" s="22">
        <v>0</v>
      </c>
      <c r="BG81" s="22">
        <v>0</v>
      </c>
      <c r="BH81" s="22">
        <f t="shared" si="25"/>
        <v>0.53407951814593324</v>
      </c>
    </row>
    <row r="82" spans="1:60" s="22" customFormat="1" ht="13">
      <c r="A82" s="43" t="s">
        <v>3514</v>
      </c>
      <c r="E82" s="23"/>
      <c r="F82" s="23"/>
      <c r="G82" s="23"/>
      <c r="P82" s="21"/>
      <c r="Q82" s="21"/>
      <c r="R82" s="21"/>
      <c r="S82" s="21"/>
      <c r="T82" s="21"/>
      <c r="U82" s="21"/>
      <c r="V82" s="21"/>
      <c r="W82" s="24"/>
      <c r="X82" s="24"/>
      <c r="Y82" s="21"/>
      <c r="Z82" s="24"/>
      <c r="AA82" s="24"/>
      <c r="AB82" s="21"/>
      <c r="AC82" s="21"/>
      <c r="AD82" s="21"/>
      <c r="AE82" s="21"/>
      <c r="AF82" s="21"/>
      <c r="AG82" s="21"/>
      <c r="AH82" s="24"/>
      <c r="AI82" s="24"/>
      <c r="AJ82" s="21"/>
      <c r="AK82" s="21"/>
    </row>
    <row r="83" spans="1:60" s="22" customFormat="1" ht="13">
      <c r="A83" s="43" t="s">
        <v>3515</v>
      </c>
      <c r="E83" s="23"/>
      <c r="F83" s="23"/>
      <c r="G83" s="23"/>
      <c r="P83" s="21"/>
      <c r="Q83" s="21"/>
      <c r="R83" s="21"/>
      <c r="S83" s="21"/>
      <c r="T83" s="21"/>
      <c r="U83" s="21"/>
      <c r="V83" s="21"/>
      <c r="W83" s="24"/>
      <c r="X83" s="24"/>
      <c r="Y83" s="21"/>
      <c r="Z83" s="24"/>
      <c r="AA83" s="24"/>
      <c r="AB83" s="21"/>
      <c r="AC83" s="21"/>
      <c r="AD83" s="21"/>
      <c r="AE83" s="21"/>
      <c r="AF83" s="21"/>
      <c r="AG83" s="21"/>
      <c r="AH83" s="24"/>
      <c r="AI83" s="24"/>
      <c r="AJ83" s="21"/>
      <c r="AK83" s="21"/>
    </row>
    <row r="84" spans="1:60" s="22" customFormat="1" ht="13">
      <c r="A84" s="43" t="s">
        <v>3516</v>
      </c>
      <c r="E84" s="23"/>
      <c r="F84" s="23"/>
      <c r="G84" s="23"/>
      <c r="P84" s="21"/>
      <c r="Q84" s="21"/>
      <c r="R84" s="21"/>
      <c r="S84" s="21"/>
      <c r="T84" s="21"/>
      <c r="U84" s="21"/>
      <c r="V84" s="21"/>
      <c r="W84" s="24"/>
      <c r="X84" s="24"/>
      <c r="Y84" s="21"/>
      <c r="Z84" s="24"/>
      <c r="AA84" s="24"/>
      <c r="AB84" s="21"/>
      <c r="AC84" s="21"/>
      <c r="AD84" s="21"/>
      <c r="AE84" s="21"/>
      <c r="AF84" s="21"/>
      <c r="AG84" s="21"/>
      <c r="AH84" s="24"/>
      <c r="AI84" s="24"/>
      <c r="AJ84" s="21"/>
      <c r="AK84" s="21"/>
    </row>
    <row r="85" spans="1:60">
      <c r="BH85" s="22"/>
    </row>
    <row r="86" spans="1:60" s="22" customFormat="1" ht="13">
      <c r="A86" s="21" t="s">
        <v>2813</v>
      </c>
      <c r="B86" s="22" t="s">
        <v>663</v>
      </c>
      <c r="C86" s="22" t="s">
        <v>2223</v>
      </c>
      <c r="D86" s="22" t="s">
        <v>2224</v>
      </c>
      <c r="E86" s="23" t="s">
        <v>63</v>
      </c>
      <c r="F86" s="23" t="s">
        <v>2225</v>
      </c>
      <c r="G86" s="23" t="s">
        <v>2226</v>
      </c>
      <c r="H86" s="22" t="s">
        <v>2319</v>
      </c>
      <c r="I86" s="22" t="s">
        <v>52</v>
      </c>
      <c r="J86" s="21" t="s">
        <v>2814</v>
      </c>
      <c r="K86" s="21"/>
      <c r="L86" s="21"/>
      <c r="N86" s="22" t="s">
        <v>501</v>
      </c>
      <c r="O86" s="22" t="s">
        <v>2229</v>
      </c>
      <c r="P86" s="21">
        <v>82740</v>
      </c>
      <c r="Q86" s="21">
        <v>15</v>
      </c>
      <c r="R86" s="21">
        <v>10</v>
      </c>
      <c r="S86" s="22">
        <v>4</v>
      </c>
      <c r="T86" s="22" t="s">
        <v>281</v>
      </c>
      <c r="U86" s="22">
        <v>0.4</v>
      </c>
      <c r="V86" s="22">
        <v>0.4</v>
      </c>
      <c r="W86" s="24">
        <f>(4*3.14*(((Q86^1.6*R86^1.6+Q86^1.6*S86^1.6+R86^1.6+S86^1.6)/3)^(1/1.6)))*(1/V86)</f>
        <v>2721.0404887055779</v>
      </c>
      <c r="X86" s="24">
        <f>3.14/6*Q86*R86*S86*U86</f>
        <v>125.60000000000001</v>
      </c>
      <c r="Y86" s="21">
        <v>64</v>
      </c>
      <c r="Z86" s="24">
        <f>Y86*W86</f>
        <v>174146.59127715699</v>
      </c>
      <c r="AA86" s="24">
        <f>Y86*X86</f>
        <v>8038.4000000000005</v>
      </c>
      <c r="AB86" s="21">
        <v>100</v>
      </c>
      <c r="AC86" s="21">
        <v>100</v>
      </c>
      <c r="AD86" s="21">
        <v>4</v>
      </c>
      <c r="AE86" s="21" t="s">
        <v>160</v>
      </c>
      <c r="AF86" s="22">
        <v>0.3</v>
      </c>
      <c r="AG86" s="22">
        <v>1</v>
      </c>
      <c r="AH86" s="24">
        <f>3.14*AC86*AB86+2*3.14*(AD86/2)^2/AG86</f>
        <v>31425.119999999999</v>
      </c>
      <c r="AI86" s="25">
        <f>(3.14/4*AC86^2*AB86)*AF86</f>
        <v>235500</v>
      </c>
      <c r="AJ86" s="21">
        <v>23550</v>
      </c>
      <c r="AK86" s="21">
        <v>100</v>
      </c>
      <c r="AL86" s="22" t="s">
        <v>161</v>
      </c>
      <c r="AM86" s="22">
        <v>0.16</v>
      </c>
      <c r="AN86" s="22" t="s">
        <v>1364</v>
      </c>
      <c r="AO86" s="22" t="s">
        <v>1364</v>
      </c>
      <c r="AP86" s="22" t="s">
        <v>162</v>
      </c>
      <c r="AQ86" s="22" t="str">
        <f>IF(AND($AK86&lt;20,AJ86&lt;10000),"Nanophytoplankton","Microphytoplankton")</f>
        <v>Microphytoplankton</v>
      </c>
      <c r="AR86" s="22">
        <v>0</v>
      </c>
      <c r="AS86" s="22">
        <v>0</v>
      </c>
      <c r="AT86" s="22">
        <v>0</v>
      </c>
      <c r="AU86" s="22">
        <v>1</v>
      </c>
      <c r="AV86" s="22">
        <v>0</v>
      </c>
      <c r="AW86" s="22">
        <v>0</v>
      </c>
      <c r="AX86" s="22">
        <v>0</v>
      </c>
      <c r="AY86" s="22">
        <v>1</v>
      </c>
      <c r="AZ86" s="22">
        <v>0</v>
      </c>
      <c r="BA86" s="22">
        <v>0</v>
      </c>
      <c r="BB86" s="22">
        <v>0</v>
      </c>
      <c r="BC86" s="22">
        <v>1</v>
      </c>
      <c r="BD86" s="22">
        <v>6</v>
      </c>
      <c r="BE86" s="22">
        <v>3</v>
      </c>
      <c r="BF86" s="22">
        <v>0</v>
      </c>
      <c r="BG86" s="22">
        <v>0</v>
      </c>
      <c r="BH86" s="22">
        <f t="shared" si="25"/>
        <v>4.6158813336786841E-2</v>
      </c>
    </row>
    <row r="87" spans="1:60" s="22" customFormat="1" ht="13">
      <c r="A87" s="22" t="s">
        <v>2815</v>
      </c>
      <c r="B87" s="22" t="s">
        <v>663</v>
      </c>
      <c r="C87" s="22" t="s">
        <v>2223</v>
      </c>
      <c r="D87" s="22" t="s">
        <v>2224</v>
      </c>
      <c r="E87" s="23" t="s">
        <v>63</v>
      </c>
      <c r="F87" s="23" t="s">
        <v>2225</v>
      </c>
      <c r="G87" s="23" t="s">
        <v>2226</v>
      </c>
      <c r="H87" s="22" t="s">
        <v>2319</v>
      </c>
      <c r="I87" s="22" t="s">
        <v>52</v>
      </c>
      <c r="J87" s="22" t="s">
        <v>2816</v>
      </c>
      <c r="K87" s="22" t="s">
        <v>175</v>
      </c>
      <c r="L87" s="22" t="s">
        <v>2817</v>
      </c>
      <c r="N87" s="22" t="s">
        <v>2818</v>
      </c>
      <c r="O87" s="22" t="s">
        <v>2229</v>
      </c>
      <c r="P87" s="21">
        <v>82741</v>
      </c>
      <c r="Q87" s="22">
        <v>23</v>
      </c>
      <c r="R87" s="22">
        <v>21</v>
      </c>
      <c r="S87" s="22">
        <v>4</v>
      </c>
      <c r="T87" s="22" t="s">
        <v>281</v>
      </c>
      <c r="U87" s="22">
        <v>0.4</v>
      </c>
      <c r="V87" s="22">
        <v>0.4</v>
      </c>
      <c r="W87" s="24">
        <f>(4*3.14*(((Q87^1.6*R87^1.6+Q87^1.6*S87^1.6+R87^1.6+S87^1.6)/3)^(1/1.6)))*(1/V87)</f>
        <v>7997.2730012965421</v>
      </c>
      <c r="X87" s="24">
        <f>3.14/6*Q87*R87*S87*U87</f>
        <v>404.43200000000002</v>
      </c>
      <c r="Y87" s="22">
        <v>16</v>
      </c>
      <c r="Z87" s="24">
        <f>Y87*W87</f>
        <v>127956.36802074467</v>
      </c>
      <c r="AA87" s="24">
        <f>Y87*X87</f>
        <v>6470.9120000000003</v>
      </c>
      <c r="AB87" s="22">
        <v>92</v>
      </c>
      <c r="AC87" s="22">
        <v>92</v>
      </c>
      <c r="AD87" s="22">
        <v>4</v>
      </c>
      <c r="AE87" s="21" t="s">
        <v>160</v>
      </c>
      <c r="AF87" s="22">
        <v>0.3</v>
      </c>
      <c r="AG87" s="22">
        <v>1</v>
      </c>
      <c r="AH87" s="24">
        <f>3.14*AC87*AB87+2*3.14*(AD87/2)^2/AG87</f>
        <v>26602.079999999998</v>
      </c>
      <c r="AI87" s="25">
        <f>(3.14/4*AC87^2*AB87)*AF87</f>
        <v>183381.024</v>
      </c>
      <c r="AJ87" s="21">
        <v>16177.279999999999</v>
      </c>
      <c r="AK87" s="21">
        <v>92</v>
      </c>
      <c r="AL87" s="22" t="s">
        <v>161</v>
      </c>
      <c r="AM87" s="22">
        <v>0.16</v>
      </c>
      <c r="AN87" s="22" t="s">
        <v>1364</v>
      </c>
      <c r="AO87" s="22" t="s">
        <v>1364</v>
      </c>
      <c r="AP87" s="22" t="s">
        <v>162</v>
      </c>
      <c r="AQ87" s="22" t="str">
        <f>IF(AND($AK87&lt;20,AJ87&lt;10000),"Nanophytoplankton","Microphytoplankton")</f>
        <v>Microphytoplankton</v>
      </c>
      <c r="AR87" s="22">
        <v>0</v>
      </c>
      <c r="AS87" s="22">
        <v>0</v>
      </c>
      <c r="AT87" s="22">
        <v>0</v>
      </c>
      <c r="AU87" s="22">
        <v>1</v>
      </c>
      <c r="AV87" s="22">
        <v>0</v>
      </c>
      <c r="AW87" s="22">
        <v>0</v>
      </c>
      <c r="AX87" s="22">
        <v>0</v>
      </c>
      <c r="AY87" s="22">
        <v>1</v>
      </c>
      <c r="BF87" s="22">
        <v>0</v>
      </c>
      <c r="BG87" s="22">
        <v>0</v>
      </c>
      <c r="BH87" s="22">
        <f t="shared" si="25"/>
        <v>5.057123846271501E-2</v>
      </c>
    </row>
    <row r="88" spans="1:60" s="22" customFormat="1" ht="13">
      <c r="A88" s="21" t="s">
        <v>2819</v>
      </c>
      <c r="B88" s="22" t="s">
        <v>663</v>
      </c>
      <c r="C88" s="22" t="s">
        <v>2223</v>
      </c>
      <c r="D88" s="22" t="s">
        <v>2224</v>
      </c>
      <c r="E88" s="23" t="s">
        <v>63</v>
      </c>
      <c r="F88" s="23" t="s">
        <v>2225</v>
      </c>
      <c r="G88" s="23" t="s">
        <v>2226</v>
      </c>
      <c r="H88" s="22" t="s">
        <v>2319</v>
      </c>
      <c r="I88" s="22" t="s">
        <v>52</v>
      </c>
      <c r="J88" s="21" t="s">
        <v>2820</v>
      </c>
      <c r="K88" s="21"/>
      <c r="L88" s="21"/>
      <c r="N88" s="22" t="s">
        <v>2821</v>
      </c>
      <c r="O88" s="22" t="s">
        <v>2229</v>
      </c>
      <c r="P88" s="21">
        <v>82730</v>
      </c>
      <c r="Q88" s="21">
        <v>20</v>
      </c>
      <c r="R88" s="21">
        <v>20</v>
      </c>
      <c r="S88" s="21">
        <v>5</v>
      </c>
      <c r="T88" s="22" t="s">
        <v>281</v>
      </c>
      <c r="U88" s="22">
        <v>0.4</v>
      </c>
      <c r="V88" s="22">
        <v>0.4</v>
      </c>
      <c r="W88" s="24">
        <f>(4*3.14*(((Q88^1.6*R88^1.6+Q88^1.6*S88^1.6+R88^1.6+S88^1.6)/3)^(1/1.6)))*(1/V88)</f>
        <v>6777.4542590359179</v>
      </c>
      <c r="X88" s="24">
        <f>3.14/6*Q88*R88*S88*U88</f>
        <v>418.66666666666674</v>
      </c>
      <c r="Y88" s="21">
        <v>8</v>
      </c>
      <c r="Z88" s="24">
        <f>Y88*W88</f>
        <v>54219.634072287343</v>
      </c>
      <c r="AA88" s="24">
        <f>Y88*X88</f>
        <v>3349.3333333333339</v>
      </c>
      <c r="AB88" s="21">
        <v>20</v>
      </c>
      <c r="AC88" s="21">
        <v>20</v>
      </c>
      <c r="AD88" s="21">
        <v>5</v>
      </c>
      <c r="AE88" s="21" t="s">
        <v>160</v>
      </c>
      <c r="AF88" s="22">
        <v>0.3</v>
      </c>
      <c r="AG88" s="22">
        <v>1</v>
      </c>
      <c r="AH88" s="24">
        <f>3.14*AC88*AB88+2*3.14*(AD88/2)^2/AG88</f>
        <v>1295.25</v>
      </c>
      <c r="AI88" s="25">
        <f>(3.14/4*AC88^2*AB88)*AF88</f>
        <v>1884</v>
      </c>
      <c r="AJ88" s="21">
        <v>732.66666666666663</v>
      </c>
      <c r="AK88" s="21">
        <v>20</v>
      </c>
      <c r="AL88" s="22" t="s">
        <v>161</v>
      </c>
      <c r="AM88" s="22">
        <v>0.16</v>
      </c>
      <c r="AN88" s="22" t="s">
        <v>1364</v>
      </c>
      <c r="AO88" s="22" t="s">
        <v>1364</v>
      </c>
      <c r="AP88" s="22" t="s">
        <v>162</v>
      </c>
      <c r="AQ88" s="22" t="str">
        <f>IF(AND($AK88&lt;20,AJ88&lt;10000),"Nanophytoplankton","Microphytoplankton")</f>
        <v>Microphytoplankton</v>
      </c>
      <c r="AR88" s="22">
        <v>0</v>
      </c>
      <c r="AS88" s="22">
        <v>0</v>
      </c>
      <c r="AT88" s="22">
        <v>0</v>
      </c>
      <c r="AU88" s="22">
        <v>1</v>
      </c>
      <c r="AV88" s="22">
        <v>0</v>
      </c>
      <c r="AW88" s="22">
        <v>0</v>
      </c>
      <c r="AX88" s="22">
        <v>0</v>
      </c>
      <c r="AY88" s="22">
        <v>1</v>
      </c>
      <c r="AZ88" s="22">
        <v>0</v>
      </c>
      <c r="BA88" s="22">
        <v>0</v>
      </c>
      <c r="BB88" s="22">
        <v>0</v>
      </c>
      <c r="BC88" s="22">
        <v>1</v>
      </c>
      <c r="BD88" s="22">
        <v>6</v>
      </c>
      <c r="BE88" s="22">
        <v>3</v>
      </c>
      <c r="BF88" s="22">
        <v>0</v>
      </c>
      <c r="BG88" s="22">
        <v>0</v>
      </c>
      <c r="BH88" s="22">
        <f t="shared" si="25"/>
        <v>6.1773440390023589E-2</v>
      </c>
    </row>
    <row r="89" spans="1:60">
      <c r="A89" s="43"/>
      <c r="BH89" s="22"/>
    </row>
    <row r="90" spans="1:60" s="22" customFormat="1" ht="13">
      <c r="A90" s="21" t="s">
        <v>2895</v>
      </c>
      <c r="B90" s="22" t="s">
        <v>663</v>
      </c>
      <c r="C90" s="22" t="s">
        <v>2223</v>
      </c>
      <c r="D90" s="22" t="s">
        <v>2224</v>
      </c>
      <c r="E90" s="23" t="s">
        <v>63</v>
      </c>
      <c r="F90" s="23" t="s">
        <v>2225</v>
      </c>
      <c r="G90" s="23" t="s">
        <v>2226</v>
      </c>
      <c r="H90" s="22" t="s">
        <v>2457</v>
      </c>
      <c r="I90" s="22" t="s">
        <v>53</v>
      </c>
      <c r="J90" s="21" t="s">
        <v>2896</v>
      </c>
      <c r="K90" s="21"/>
      <c r="L90" s="21"/>
      <c r="N90" s="22" t="s">
        <v>2653</v>
      </c>
      <c r="O90" s="22" t="s">
        <v>2229</v>
      </c>
      <c r="P90" s="21">
        <v>82550</v>
      </c>
      <c r="Q90" s="21">
        <v>14</v>
      </c>
      <c r="R90" s="21">
        <v>5</v>
      </c>
      <c r="S90" s="21">
        <v>5</v>
      </c>
      <c r="T90" s="21" t="s">
        <v>159</v>
      </c>
      <c r="U90" s="21">
        <v>1</v>
      </c>
      <c r="V90" s="21">
        <v>1</v>
      </c>
      <c r="W90" s="24">
        <f t="shared" ref="W90:W95" si="26">(4*3.14*(((Q90^1.6*R90^1.6+Q90^1.6*S90^1.6+R90^1.6+S90^1.6)/3)^(1/1.6)))*(1/V90)</f>
        <v>688.62301324089731</v>
      </c>
      <c r="X90" s="24">
        <f t="shared" ref="X90:X95" si="27">3.14/6*Q90*R90*S90*U90</f>
        <v>183.16666666666666</v>
      </c>
      <c r="Y90" s="21">
        <v>4</v>
      </c>
      <c r="Z90" s="24">
        <f t="shared" ref="Z90:Z95" si="28">Y90*W90</f>
        <v>2754.4920529635892</v>
      </c>
      <c r="AA90" s="24">
        <f t="shared" ref="AA90:AA95" si="29">Y90*X90</f>
        <v>732.66666666666663</v>
      </c>
      <c r="AB90" s="21">
        <v>14</v>
      </c>
      <c r="AC90" s="22">
        <f>R90*Y90</f>
        <v>20</v>
      </c>
      <c r="AD90" s="21">
        <v>5</v>
      </c>
      <c r="AE90" s="22" t="s">
        <v>330</v>
      </c>
      <c r="AF90" s="22">
        <v>0.7</v>
      </c>
      <c r="AG90" s="22">
        <v>0.7</v>
      </c>
      <c r="AH90" s="25">
        <f t="shared" ref="AH90:AH95" si="30">(AB90*AC90*2+AB90*AD90*2+AC90*AD90*2)/AG90</f>
        <v>1285.7142857142858</v>
      </c>
      <c r="AI90" s="25">
        <f t="shared" ref="AI90:AI95" si="31">AB90*AC90*AD90*AF90</f>
        <v>979.99999999999989</v>
      </c>
      <c r="AJ90" s="21">
        <v>1099.5999999999999</v>
      </c>
      <c r="AK90" s="21">
        <v>20</v>
      </c>
      <c r="AL90" s="22" t="s">
        <v>161</v>
      </c>
      <c r="AM90" s="22">
        <v>0.16</v>
      </c>
      <c r="AN90" s="22" t="s">
        <v>1364</v>
      </c>
      <c r="AO90" s="22" t="s">
        <v>1364</v>
      </c>
      <c r="AP90" s="22" t="s">
        <v>162</v>
      </c>
      <c r="AQ90" s="22" t="str">
        <f t="shared" ref="AQ90:AQ95" si="32">IF(AND($AK90&lt;20,AJ90&lt;10000),"Nanophytoplankton","Microphytoplankton")</f>
        <v>Microphytoplankton</v>
      </c>
      <c r="AR90" s="22">
        <v>0</v>
      </c>
      <c r="AS90" s="22">
        <v>0</v>
      </c>
      <c r="AT90" s="22">
        <v>0</v>
      </c>
      <c r="AU90" s="22">
        <v>1</v>
      </c>
      <c r="AV90" s="22">
        <v>0</v>
      </c>
      <c r="AW90" s="22">
        <v>0</v>
      </c>
      <c r="AX90" s="22">
        <v>0</v>
      </c>
      <c r="AY90" s="22">
        <v>1</v>
      </c>
      <c r="AZ90" s="22">
        <v>0</v>
      </c>
      <c r="BA90" s="22">
        <v>0</v>
      </c>
      <c r="BB90" s="22">
        <v>0</v>
      </c>
      <c r="BC90" s="22">
        <v>2</v>
      </c>
      <c r="BD90" s="22">
        <v>6</v>
      </c>
      <c r="BE90" s="22">
        <v>2</v>
      </c>
      <c r="BF90" s="22">
        <v>0</v>
      </c>
      <c r="BG90" s="22">
        <v>0</v>
      </c>
      <c r="BH90" s="22">
        <f t="shared" si="25"/>
        <v>0.26598975512685985</v>
      </c>
    </row>
    <row r="91" spans="1:60" s="22" customFormat="1" ht="13">
      <c r="A91" s="22" t="s">
        <v>2900</v>
      </c>
      <c r="B91" s="22" t="s">
        <v>663</v>
      </c>
      <c r="C91" s="22" t="s">
        <v>2223</v>
      </c>
      <c r="D91" s="22" t="s">
        <v>2224</v>
      </c>
      <c r="E91" s="23" t="s">
        <v>63</v>
      </c>
      <c r="F91" s="23" t="s">
        <v>2225</v>
      </c>
      <c r="G91" s="23" t="s">
        <v>2226</v>
      </c>
      <c r="H91" s="22" t="s">
        <v>2457</v>
      </c>
      <c r="I91" s="22" t="s">
        <v>53</v>
      </c>
      <c r="J91" s="22" t="s">
        <v>2901</v>
      </c>
      <c r="N91" s="22" t="s">
        <v>2902</v>
      </c>
      <c r="O91" s="22" t="s">
        <v>2229</v>
      </c>
      <c r="P91" s="21">
        <v>82552</v>
      </c>
      <c r="Q91" s="22">
        <v>16</v>
      </c>
      <c r="R91" s="22">
        <v>5</v>
      </c>
      <c r="S91" s="22">
        <v>5</v>
      </c>
      <c r="T91" s="21" t="s">
        <v>159</v>
      </c>
      <c r="U91" s="21">
        <v>1</v>
      </c>
      <c r="V91" s="21">
        <v>1</v>
      </c>
      <c r="W91" s="24">
        <f t="shared" si="26"/>
        <v>785.62971935531857</v>
      </c>
      <c r="X91" s="24">
        <f t="shared" si="27"/>
        <v>209.33333333333334</v>
      </c>
      <c r="Y91" s="22">
        <v>4</v>
      </c>
      <c r="Z91" s="24">
        <f t="shared" si="28"/>
        <v>3142.5188774212743</v>
      </c>
      <c r="AA91" s="24">
        <f t="shared" si="29"/>
        <v>837.33333333333337</v>
      </c>
      <c r="AB91" s="22">
        <v>16</v>
      </c>
      <c r="AC91" s="22">
        <f>R91*Y91</f>
        <v>20</v>
      </c>
      <c r="AD91" s="22">
        <v>5</v>
      </c>
      <c r="AE91" s="22" t="s">
        <v>330</v>
      </c>
      <c r="AF91" s="22">
        <v>0.9</v>
      </c>
      <c r="AG91" s="22">
        <v>0.9</v>
      </c>
      <c r="AH91" s="25">
        <f t="shared" si="30"/>
        <v>1111.1111111111111</v>
      </c>
      <c r="AI91" s="25">
        <f t="shared" si="31"/>
        <v>1440</v>
      </c>
      <c r="AJ91" s="21">
        <v>837.33333333333326</v>
      </c>
      <c r="AK91" s="21">
        <v>20</v>
      </c>
      <c r="AL91" s="22" t="s">
        <v>161</v>
      </c>
      <c r="AM91" s="22">
        <v>0.16</v>
      </c>
      <c r="AN91" s="22" t="s">
        <v>1364</v>
      </c>
      <c r="AO91" s="22" t="s">
        <v>1364</v>
      </c>
      <c r="AP91" s="22" t="s">
        <v>162</v>
      </c>
      <c r="AQ91" s="22" t="str">
        <f t="shared" si="32"/>
        <v>Microphytoplankton</v>
      </c>
      <c r="AR91" s="22">
        <v>0</v>
      </c>
      <c r="AS91" s="22">
        <v>0</v>
      </c>
      <c r="AT91" s="22">
        <v>0</v>
      </c>
      <c r="AU91" s="22">
        <v>1</v>
      </c>
      <c r="AV91" s="22">
        <v>0</v>
      </c>
      <c r="AW91" s="22">
        <v>0</v>
      </c>
      <c r="AX91" s="22">
        <v>0</v>
      </c>
      <c r="AY91" s="22">
        <v>1</v>
      </c>
      <c r="BF91" s="22">
        <v>0</v>
      </c>
      <c r="BG91" s="22">
        <v>0</v>
      </c>
      <c r="BH91" s="22">
        <f t="shared" si="25"/>
        <v>0.26645292072849613</v>
      </c>
    </row>
    <row r="92" spans="1:60" s="22" customFormat="1" ht="13">
      <c r="A92" s="21" t="s">
        <v>2903</v>
      </c>
      <c r="B92" s="22" t="s">
        <v>663</v>
      </c>
      <c r="C92" s="22" t="s">
        <v>2223</v>
      </c>
      <c r="D92" s="22" t="s">
        <v>2224</v>
      </c>
      <c r="E92" s="23" t="s">
        <v>63</v>
      </c>
      <c r="F92" s="23" t="s">
        <v>2225</v>
      </c>
      <c r="G92" s="23" t="s">
        <v>2226</v>
      </c>
      <c r="H92" s="22" t="s">
        <v>2457</v>
      </c>
      <c r="I92" s="22" t="s">
        <v>53</v>
      </c>
      <c r="J92" s="21" t="s">
        <v>2904</v>
      </c>
      <c r="K92" s="21"/>
      <c r="L92" s="21"/>
      <c r="N92" s="22" t="s">
        <v>2811</v>
      </c>
      <c r="O92" s="22" t="s">
        <v>2229</v>
      </c>
      <c r="P92" s="21">
        <v>82570</v>
      </c>
      <c r="Q92" s="21">
        <v>13</v>
      </c>
      <c r="R92" s="21">
        <v>4</v>
      </c>
      <c r="S92" s="21">
        <v>4</v>
      </c>
      <c r="T92" s="21" t="s">
        <v>159</v>
      </c>
      <c r="U92" s="21">
        <v>1</v>
      </c>
      <c r="V92" s="21">
        <v>1</v>
      </c>
      <c r="W92" s="24">
        <f t="shared" si="26"/>
        <v>512.12993022152386</v>
      </c>
      <c r="X92" s="24">
        <f t="shared" si="27"/>
        <v>108.85333333333332</v>
      </c>
      <c r="Y92" s="21">
        <v>4</v>
      </c>
      <c r="Z92" s="24">
        <f t="shared" si="28"/>
        <v>2048.5197208860955</v>
      </c>
      <c r="AA92" s="24">
        <f t="shared" si="29"/>
        <v>435.4133333333333</v>
      </c>
      <c r="AB92" s="21">
        <v>13</v>
      </c>
      <c r="AC92" s="22">
        <f>R92*Y92</f>
        <v>16</v>
      </c>
      <c r="AD92" s="21">
        <v>4</v>
      </c>
      <c r="AE92" s="22" t="s">
        <v>330</v>
      </c>
      <c r="AF92" s="22">
        <v>0.7</v>
      </c>
      <c r="AG92" s="22">
        <v>0.7</v>
      </c>
      <c r="AH92" s="25">
        <f t="shared" si="30"/>
        <v>925.71428571428578</v>
      </c>
      <c r="AI92" s="25">
        <f t="shared" si="31"/>
        <v>582.4</v>
      </c>
      <c r="AJ92" s="21">
        <v>653.5</v>
      </c>
      <c r="AK92" s="21">
        <v>16</v>
      </c>
      <c r="AL92" s="22" t="s">
        <v>161</v>
      </c>
      <c r="AM92" s="22">
        <v>0.16</v>
      </c>
      <c r="AN92" s="22" t="s">
        <v>1364</v>
      </c>
      <c r="AO92" s="22" t="s">
        <v>1364</v>
      </c>
      <c r="AP92" s="22" t="s">
        <v>162</v>
      </c>
      <c r="AQ92" s="22" t="str">
        <f t="shared" si="32"/>
        <v>Nanophytoplankton</v>
      </c>
      <c r="AR92" s="22">
        <v>0</v>
      </c>
      <c r="AS92" s="22">
        <v>0</v>
      </c>
      <c r="AT92" s="22">
        <v>0</v>
      </c>
      <c r="AU92" s="22">
        <v>1</v>
      </c>
      <c r="AV92" s="22">
        <v>0</v>
      </c>
      <c r="AW92" s="22">
        <v>0</v>
      </c>
      <c r="AX92" s="22">
        <v>0</v>
      </c>
      <c r="AY92" s="22">
        <v>1</v>
      </c>
      <c r="AZ92" s="22">
        <v>0</v>
      </c>
      <c r="BA92" s="22">
        <v>0</v>
      </c>
      <c r="BB92" s="22">
        <v>0</v>
      </c>
      <c r="BC92" s="22">
        <v>2</v>
      </c>
      <c r="BD92" s="22">
        <v>6</v>
      </c>
      <c r="BE92" s="22">
        <v>2</v>
      </c>
      <c r="BF92" s="22">
        <v>0</v>
      </c>
      <c r="BG92" s="22">
        <v>0</v>
      </c>
      <c r="BH92" s="22">
        <f t="shared" si="25"/>
        <v>0.21255022780302721</v>
      </c>
    </row>
    <row r="93" spans="1:60" s="22" customFormat="1" ht="13">
      <c r="A93" s="21" t="s">
        <v>2905</v>
      </c>
      <c r="B93" s="22" t="s">
        <v>663</v>
      </c>
      <c r="C93" s="22" t="s">
        <v>2223</v>
      </c>
      <c r="D93" s="22" t="s">
        <v>2224</v>
      </c>
      <c r="E93" s="23" t="s">
        <v>63</v>
      </c>
      <c r="F93" s="23" t="s">
        <v>2225</v>
      </c>
      <c r="G93" s="23" t="s">
        <v>2226</v>
      </c>
      <c r="H93" s="22" t="s">
        <v>2457</v>
      </c>
      <c r="I93" s="22" t="s">
        <v>53</v>
      </c>
      <c r="J93" s="21" t="s">
        <v>2904</v>
      </c>
      <c r="K93" s="21" t="s">
        <v>2906</v>
      </c>
      <c r="L93" s="21" t="s">
        <v>2907</v>
      </c>
      <c r="N93" s="22" t="s">
        <v>2908</v>
      </c>
      <c r="O93" s="22" t="s">
        <v>2229</v>
      </c>
      <c r="P93" s="21">
        <v>82569</v>
      </c>
      <c r="Q93" s="21">
        <v>13</v>
      </c>
      <c r="R93" s="21">
        <v>4</v>
      </c>
      <c r="S93" s="21">
        <v>4</v>
      </c>
      <c r="T93" s="21" t="s">
        <v>159</v>
      </c>
      <c r="U93" s="21">
        <v>1</v>
      </c>
      <c r="V93" s="21">
        <v>1</v>
      </c>
      <c r="W93" s="24">
        <f t="shared" si="26"/>
        <v>512.12993022152386</v>
      </c>
      <c r="X93" s="24">
        <f t="shared" si="27"/>
        <v>108.85333333333332</v>
      </c>
      <c r="Y93" s="21">
        <v>1</v>
      </c>
      <c r="Z93" s="24">
        <f t="shared" si="28"/>
        <v>512.12993022152386</v>
      </c>
      <c r="AA93" s="24">
        <f t="shared" si="29"/>
        <v>108.85333333333332</v>
      </c>
      <c r="AB93" s="21">
        <v>13</v>
      </c>
      <c r="AC93" s="22">
        <f>R93*Y93</f>
        <v>4</v>
      </c>
      <c r="AD93" s="21">
        <v>4</v>
      </c>
      <c r="AE93" s="22" t="s">
        <v>330</v>
      </c>
      <c r="AF93" s="22">
        <v>0.7</v>
      </c>
      <c r="AG93" s="22">
        <v>0.7</v>
      </c>
      <c r="AH93" s="25">
        <f t="shared" si="30"/>
        <v>342.85714285714289</v>
      </c>
      <c r="AI93" s="25">
        <f t="shared" si="31"/>
        <v>145.6</v>
      </c>
      <c r="AJ93" s="21">
        <v>108.85333333333332</v>
      </c>
      <c r="AK93" s="21">
        <v>13</v>
      </c>
      <c r="AL93" s="22" t="s">
        <v>161</v>
      </c>
      <c r="AM93" s="22">
        <v>0.16</v>
      </c>
      <c r="AN93" s="22" t="s">
        <v>1364</v>
      </c>
      <c r="AO93" s="22" t="s">
        <v>1364</v>
      </c>
      <c r="AP93" s="22" t="s">
        <v>162</v>
      </c>
      <c r="AQ93" s="22" t="str">
        <f t="shared" si="32"/>
        <v>Nanophytoplankton</v>
      </c>
      <c r="AR93" s="22">
        <v>0</v>
      </c>
      <c r="AS93" s="22">
        <v>0</v>
      </c>
      <c r="AT93" s="22">
        <v>0</v>
      </c>
      <c r="AU93" s="22">
        <v>1</v>
      </c>
      <c r="AV93" s="22">
        <v>0</v>
      </c>
      <c r="AW93" s="22">
        <v>0</v>
      </c>
      <c r="AX93" s="22">
        <v>0</v>
      </c>
      <c r="AY93" s="22">
        <v>1</v>
      </c>
      <c r="AZ93" s="22">
        <v>0</v>
      </c>
      <c r="BA93" s="22">
        <v>0</v>
      </c>
      <c r="BB93" s="22">
        <v>0</v>
      </c>
      <c r="BC93" s="22">
        <v>2</v>
      </c>
      <c r="BD93" s="22">
        <v>6</v>
      </c>
      <c r="BE93" s="22">
        <v>2</v>
      </c>
      <c r="BF93" s="22">
        <v>0</v>
      </c>
      <c r="BG93" s="22">
        <v>0</v>
      </c>
      <c r="BH93" s="22">
        <f t="shared" si="25"/>
        <v>0.21255022780302721</v>
      </c>
    </row>
    <row r="94" spans="1:60" s="22" customFormat="1" ht="13">
      <c r="A94" s="22" t="s">
        <v>2909</v>
      </c>
      <c r="B94" s="22" t="s">
        <v>663</v>
      </c>
      <c r="C94" s="22" t="s">
        <v>2223</v>
      </c>
      <c r="D94" s="22" t="s">
        <v>2224</v>
      </c>
      <c r="E94" s="23" t="s">
        <v>63</v>
      </c>
      <c r="F94" s="23" t="s">
        <v>2225</v>
      </c>
      <c r="G94" s="23" t="s">
        <v>2226</v>
      </c>
      <c r="H94" s="22" t="s">
        <v>2457</v>
      </c>
      <c r="I94" s="22" t="s">
        <v>53</v>
      </c>
      <c r="J94" s="22" t="s">
        <v>2904</v>
      </c>
      <c r="K94" s="22" t="s">
        <v>175</v>
      </c>
      <c r="L94" s="22" t="s">
        <v>2904</v>
      </c>
      <c r="N94" s="22" t="s">
        <v>1056</v>
      </c>
      <c r="O94" s="22" t="s">
        <v>2229</v>
      </c>
      <c r="P94" s="21">
        <v>82571</v>
      </c>
      <c r="Q94" s="22">
        <v>13</v>
      </c>
      <c r="R94" s="22">
        <v>4</v>
      </c>
      <c r="S94" s="22">
        <v>4</v>
      </c>
      <c r="T94" s="21" t="s">
        <v>159</v>
      </c>
      <c r="U94" s="21">
        <v>1</v>
      </c>
      <c r="V94" s="21">
        <v>1</v>
      </c>
      <c r="W94" s="24">
        <f t="shared" si="26"/>
        <v>512.12993022152386</v>
      </c>
      <c r="X94" s="24">
        <f t="shared" si="27"/>
        <v>108.85333333333332</v>
      </c>
      <c r="Y94" s="22">
        <v>4</v>
      </c>
      <c r="Z94" s="24">
        <f t="shared" si="28"/>
        <v>2048.5197208860955</v>
      </c>
      <c r="AA94" s="24">
        <f t="shared" si="29"/>
        <v>435.4133333333333</v>
      </c>
      <c r="AB94" s="22">
        <v>13</v>
      </c>
      <c r="AC94" s="22">
        <f>R94*Y94</f>
        <v>16</v>
      </c>
      <c r="AD94" s="22">
        <v>4</v>
      </c>
      <c r="AE94" s="22" t="s">
        <v>330</v>
      </c>
      <c r="AF94" s="22">
        <v>0.7</v>
      </c>
      <c r="AG94" s="22">
        <v>0.7</v>
      </c>
      <c r="AH94" s="25">
        <f t="shared" si="30"/>
        <v>925.71428571428578</v>
      </c>
      <c r="AI94" s="25">
        <f t="shared" si="31"/>
        <v>582.4</v>
      </c>
      <c r="AJ94" s="21">
        <v>435.4133333333333</v>
      </c>
      <c r="AK94" s="21">
        <v>16</v>
      </c>
      <c r="AL94" s="22" t="s">
        <v>161</v>
      </c>
      <c r="AM94" s="22">
        <v>0.16</v>
      </c>
      <c r="AN94" s="22" t="s">
        <v>1364</v>
      </c>
      <c r="AO94" s="22" t="s">
        <v>1364</v>
      </c>
      <c r="AP94" s="22" t="s">
        <v>162</v>
      </c>
      <c r="AQ94" s="22" t="str">
        <f t="shared" si="32"/>
        <v>Nanophytoplankton</v>
      </c>
      <c r="AR94" s="22">
        <v>0</v>
      </c>
      <c r="AS94" s="22">
        <v>0</v>
      </c>
      <c r="AT94" s="22">
        <v>0</v>
      </c>
      <c r="AU94" s="22">
        <v>1</v>
      </c>
      <c r="AV94" s="22">
        <v>0</v>
      </c>
      <c r="AW94" s="22">
        <v>0</v>
      </c>
      <c r="AX94" s="22">
        <v>0</v>
      </c>
      <c r="AY94" s="22">
        <v>1</v>
      </c>
      <c r="BF94" s="22">
        <v>0</v>
      </c>
      <c r="BG94" s="22">
        <v>0</v>
      </c>
      <c r="BH94" s="22">
        <f t="shared" si="25"/>
        <v>0.21255022780302721</v>
      </c>
    </row>
    <row r="95" spans="1:60" s="22" customFormat="1" ht="13">
      <c r="A95" s="22" t="s">
        <v>2910</v>
      </c>
      <c r="B95" s="22" t="s">
        <v>663</v>
      </c>
      <c r="C95" s="22" t="s">
        <v>2223</v>
      </c>
      <c r="D95" s="22" t="s">
        <v>2224</v>
      </c>
      <c r="E95" s="23" t="s">
        <v>63</v>
      </c>
      <c r="F95" s="23" t="s">
        <v>2225</v>
      </c>
      <c r="G95" s="23" t="s">
        <v>2226</v>
      </c>
      <c r="H95" s="22" t="s">
        <v>2457</v>
      </c>
      <c r="I95" s="22" t="s">
        <v>53</v>
      </c>
      <c r="J95" s="22" t="s">
        <v>2904</v>
      </c>
      <c r="K95" s="22" t="s">
        <v>175</v>
      </c>
      <c r="L95" s="22" t="s">
        <v>1402</v>
      </c>
      <c r="N95" s="22" t="s">
        <v>2684</v>
      </c>
      <c r="O95" s="22" t="s">
        <v>2229</v>
      </c>
      <c r="P95" s="21">
        <v>82572</v>
      </c>
      <c r="Q95" s="22">
        <v>18.5</v>
      </c>
      <c r="R95" s="22">
        <v>5.5</v>
      </c>
      <c r="S95" s="22">
        <v>5.5</v>
      </c>
      <c r="T95" s="21" t="s">
        <v>159</v>
      </c>
      <c r="U95" s="21">
        <v>1</v>
      </c>
      <c r="V95" s="21">
        <v>1</v>
      </c>
      <c r="W95" s="24">
        <f t="shared" si="26"/>
        <v>997.7071352019492</v>
      </c>
      <c r="X95" s="24">
        <f t="shared" si="27"/>
        <v>292.87041666666664</v>
      </c>
      <c r="Y95" s="22">
        <v>4</v>
      </c>
      <c r="Z95" s="24">
        <f t="shared" si="28"/>
        <v>3990.8285408077968</v>
      </c>
      <c r="AA95" s="24">
        <f t="shared" si="29"/>
        <v>1171.4816666666666</v>
      </c>
      <c r="AB95" s="22">
        <v>18.5</v>
      </c>
      <c r="AC95" s="22">
        <v>26</v>
      </c>
      <c r="AD95" s="22">
        <v>5.5</v>
      </c>
      <c r="AE95" s="22" t="s">
        <v>330</v>
      </c>
      <c r="AF95" s="22">
        <v>0.6</v>
      </c>
      <c r="AG95" s="22">
        <v>0.6</v>
      </c>
      <c r="AH95" s="25">
        <f t="shared" si="30"/>
        <v>2419.166666666667</v>
      </c>
      <c r="AI95" s="25">
        <f t="shared" si="31"/>
        <v>1587.3</v>
      </c>
      <c r="AJ95" s="21">
        <v>1171.4816666666666</v>
      </c>
      <c r="AK95" s="21">
        <v>22</v>
      </c>
      <c r="AL95" s="22" t="s">
        <v>161</v>
      </c>
      <c r="AM95" s="22">
        <v>0.16</v>
      </c>
      <c r="AN95" s="22" t="s">
        <v>1364</v>
      </c>
      <c r="AO95" s="22" t="s">
        <v>1364</v>
      </c>
      <c r="AP95" s="22" t="s">
        <v>162</v>
      </c>
      <c r="AQ95" s="22" t="str">
        <f t="shared" si="32"/>
        <v>Microphytoplankton</v>
      </c>
      <c r="AR95" s="22">
        <v>0</v>
      </c>
      <c r="AS95" s="22">
        <v>0</v>
      </c>
      <c r="AT95" s="22">
        <v>0</v>
      </c>
      <c r="AU95" s="22">
        <v>1</v>
      </c>
      <c r="AV95" s="22">
        <v>0</v>
      </c>
      <c r="AW95" s="22">
        <v>0</v>
      </c>
      <c r="AX95" s="22">
        <v>0</v>
      </c>
      <c r="AY95" s="22">
        <v>1</v>
      </c>
      <c r="BF95" s="22">
        <v>0</v>
      </c>
      <c r="BG95" s="22">
        <v>0</v>
      </c>
      <c r="BH95" s="22">
        <f t="shared" si="25"/>
        <v>0.2935434721606815</v>
      </c>
    </row>
    <row r="96" spans="1:60" s="22" customFormat="1" ht="13">
      <c r="A96" s="22" t="s">
        <v>2953</v>
      </c>
      <c r="B96" s="22" t="s">
        <v>663</v>
      </c>
      <c r="C96" s="22" t="s">
        <v>2223</v>
      </c>
      <c r="D96" s="22" t="s">
        <v>2224</v>
      </c>
      <c r="E96" s="23" t="s">
        <v>63</v>
      </c>
      <c r="F96" s="23" t="s">
        <v>2225</v>
      </c>
      <c r="G96" s="23" t="s">
        <v>2226</v>
      </c>
      <c r="H96" s="22" t="s">
        <v>2457</v>
      </c>
      <c r="I96" s="22" t="s">
        <v>53</v>
      </c>
      <c r="J96" s="22" t="s">
        <v>2954</v>
      </c>
      <c r="N96" s="22" t="s">
        <v>2955</v>
      </c>
      <c r="O96" s="22" t="s">
        <v>2229</v>
      </c>
      <c r="P96" s="22">
        <v>82456</v>
      </c>
      <c r="Q96" s="22">
        <v>10.5</v>
      </c>
      <c r="R96" s="22">
        <v>7</v>
      </c>
      <c r="S96" s="22">
        <v>5</v>
      </c>
      <c r="T96" s="21" t="s">
        <v>159</v>
      </c>
      <c r="U96" s="21">
        <v>1</v>
      </c>
      <c r="V96" s="21">
        <v>1</v>
      </c>
      <c r="W96" s="24">
        <f t="shared" ref="W96:W116" si="33">(4*3.14*(((Q96^1.6*R96^1.6+Q96^1.6*S96^1.6+R96^1.6+S96^1.6)/3)^(1/1.6)))*(1/V96)</f>
        <v>628.21310646924132</v>
      </c>
      <c r="X96" s="24">
        <f t="shared" ref="X96:X116" si="34">3.14/6*Q96*R96*S96*U96</f>
        <v>192.32500000000002</v>
      </c>
      <c r="Y96" s="22">
        <v>4</v>
      </c>
      <c r="Z96" s="24">
        <f t="shared" ref="Z96:Z120" si="35">Y96*W96</f>
        <v>2512.8524258769653</v>
      </c>
      <c r="AA96" s="24">
        <f t="shared" ref="AA96:AA120" si="36">Y96*X96</f>
        <v>769.30000000000007</v>
      </c>
      <c r="AB96" s="22">
        <v>15</v>
      </c>
      <c r="AC96" s="22">
        <f>R96*Y96</f>
        <v>28</v>
      </c>
      <c r="AD96" s="22">
        <v>5</v>
      </c>
      <c r="AE96" s="22" t="s">
        <v>330</v>
      </c>
      <c r="AF96" s="22">
        <v>0.6</v>
      </c>
      <c r="AG96" s="22">
        <v>0.6</v>
      </c>
      <c r="AH96" s="25">
        <f>(AB96*AC96*2+AB96*AD96*2+AC96*AD96*2)/AG96</f>
        <v>2116.666666666667</v>
      </c>
      <c r="AI96" s="25">
        <f>AB96*AC96*AD96*AF96</f>
        <v>1260</v>
      </c>
      <c r="AJ96" s="21">
        <v>1077.02</v>
      </c>
      <c r="AK96" s="21">
        <v>16</v>
      </c>
      <c r="AL96" s="22" t="s">
        <v>161</v>
      </c>
      <c r="AM96" s="22">
        <v>0.16</v>
      </c>
      <c r="AN96" s="22" t="s">
        <v>1364</v>
      </c>
      <c r="AO96" s="22" t="s">
        <v>1364</v>
      </c>
      <c r="AP96" s="22" t="s">
        <v>162</v>
      </c>
      <c r="AQ96" s="22" t="str">
        <f t="shared" ref="AQ96:AQ120" si="37">IF(AND($AK96&lt;20,AJ96&lt;10000),"Nanophytoplankton","Microphytoplankton")</f>
        <v>Nanophytoplankton</v>
      </c>
      <c r="AR96" s="22">
        <v>0</v>
      </c>
      <c r="AS96" s="22">
        <v>0</v>
      </c>
      <c r="AT96" s="22">
        <v>0</v>
      </c>
      <c r="AU96" s="22">
        <v>1</v>
      </c>
      <c r="AV96" s="22">
        <v>0</v>
      </c>
      <c r="AW96" s="22">
        <v>0</v>
      </c>
      <c r="AX96" s="22">
        <v>0</v>
      </c>
      <c r="AY96" s="22">
        <v>1</v>
      </c>
      <c r="BF96" s="22">
        <v>0</v>
      </c>
      <c r="BG96" s="22">
        <v>0</v>
      </c>
      <c r="BH96" s="22">
        <f t="shared" si="25"/>
        <v>0.30614611191563329</v>
      </c>
    </row>
    <row r="97" spans="1:60" s="22" customFormat="1" ht="13">
      <c r="A97" s="22" t="s">
        <v>2956</v>
      </c>
      <c r="B97" s="22" t="s">
        <v>663</v>
      </c>
      <c r="C97" s="22" t="s">
        <v>2223</v>
      </c>
      <c r="D97" s="22" t="s">
        <v>2224</v>
      </c>
      <c r="E97" s="23" t="s">
        <v>63</v>
      </c>
      <c r="F97" s="23" t="s">
        <v>2225</v>
      </c>
      <c r="G97" s="23" t="s">
        <v>2226</v>
      </c>
      <c r="H97" s="22" t="s">
        <v>2457</v>
      </c>
      <c r="I97" s="22" t="s">
        <v>53</v>
      </c>
      <c r="J97" s="22" t="s">
        <v>2954</v>
      </c>
      <c r="K97" s="22" t="s">
        <v>175</v>
      </c>
      <c r="L97" s="22" t="s">
        <v>2928</v>
      </c>
      <c r="N97" s="22" t="s">
        <v>2957</v>
      </c>
      <c r="O97" s="22" t="s">
        <v>2229</v>
      </c>
      <c r="P97" s="22">
        <v>82457</v>
      </c>
      <c r="Q97" s="22">
        <v>9</v>
      </c>
      <c r="R97" s="22">
        <v>5</v>
      </c>
      <c r="S97" s="22">
        <v>5</v>
      </c>
      <c r="T97" s="21" t="s">
        <v>159</v>
      </c>
      <c r="U97" s="21">
        <v>1</v>
      </c>
      <c r="V97" s="21">
        <v>1</v>
      </c>
      <c r="W97" s="24">
        <f t="shared" si="33"/>
        <v>446.78391348897986</v>
      </c>
      <c r="X97" s="24">
        <f t="shared" si="34"/>
        <v>117.75</v>
      </c>
      <c r="Y97" s="22">
        <v>4</v>
      </c>
      <c r="Z97" s="24">
        <f t="shared" si="35"/>
        <v>1787.1356539559195</v>
      </c>
      <c r="AA97" s="24">
        <f t="shared" si="36"/>
        <v>471</v>
      </c>
      <c r="AB97" s="22">
        <v>13</v>
      </c>
      <c r="AC97" s="22">
        <f>R97*Y97</f>
        <v>20</v>
      </c>
      <c r="AD97" s="22">
        <v>5</v>
      </c>
      <c r="AE97" s="22" t="s">
        <v>330</v>
      </c>
      <c r="AF97" s="22">
        <v>0.6</v>
      </c>
      <c r="AG97" s="22">
        <v>0.6</v>
      </c>
      <c r="AH97" s="25">
        <f>(AB97*AC97*2+AB97*AD97*2+AC97*AD97*2)/AG97</f>
        <v>1416.6666666666667</v>
      </c>
      <c r="AI97" s="25">
        <f>AB97*AC97*AD97*AF97</f>
        <v>780</v>
      </c>
      <c r="AJ97" s="21">
        <v>470.99999999999994</v>
      </c>
      <c r="AK97" s="21">
        <v>20</v>
      </c>
      <c r="AL97" s="22" t="s">
        <v>161</v>
      </c>
      <c r="AM97" s="22">
        <v>0.16</v>
      </c>
      <c r="AN97" s="22" t="s">
        <v>1364</v>
      </c>
      <c r="AO97" s="22" t="s">
        <v>1364</v>
      </c>
      <c r="AP97" s="22" t="s">
        <v>162</v>
      </c>
      <c r="AQ97" s="22" t="str">
        <f t="shared" si="37"/>
        <v>Microphytoplankton</v>
      </c>
      <c r="AR97" s="22">
        <v>0</v>
      </c>
      <c r="AS97" s="22">
        <v>0</v>
      </c>
      <c r="AT97" s="22">
        <v>0</v>
      </c>
      <c r="AU97" s="22">
        <v>1</v>
      </c>
      <c r="AV97" s="22">
        <v>0</v>
      </c>
      <c r="AW97" s="22">
        <v>0</v>
      </c>
      <c r="AX97" s="22">
        <v>0</v>
      </c>
      <c r="AY97" s="22">
        <v>1</v>
      </c>
      <c r="BF97" s="22">
        <v>0</v>
      </c>
      <c r="BG97" s="22">
        <v>0</v>
      </c>
      <c r="BH97" s="22">
        <f t="shared" si="25"/>
        <v>0.26355022292651181</v>
      </c>
    </row>
    <row r="98" spans="1:60" s="22" customFormat="1" ht="13">
      <c r="A98" s="21" t="s">
        <v>2968</v>
      </c>
      <c r="B98" s="22" t="s">
        <v>663</v>
      </c>
      <c r="C98" s="22" t="s">
        <v>2223</v>
      </c>
      <c r="D98" s="22" t="s">
        <v>2224</v>
      </c>
      <c r="E98" s="23" t="s">
        <v>63</v>
      </c>
      <c r="F98" s="23" t="s">
        <v>2225</v>
      </c>
      <c r="G98" s="23" t="s">
        <v>2226</v>
      </c>
      <c r="H98" s="22" t="s">
        <v>2457</v>
      </c>
      <c r="I98" s="22" t="s">
        <v>53</v>
      </c>
      <c r="J98" s="21" t="s">
        <v>2969</v>
      </c>
      <c r="K98" s="21"/>
      <c r="L98" s="21"/>
      <c r="N98" s="22" t="s">
        <v>2970</v>
      </c>
      <c r="O98" s="22" t="s">
        <v>2229</v>
      </c>
      <c r="P98" s="21">
        <v>82520</v>
      </c>
      <c r="Q98" s="21">
        <v>14</v>
      </c>
      <c r="R98" s="21">
        <v>5</v>
      </c>
      <c r="S98" s="21">
        <v>5</v>
      </c>
      <c r="T98" s="21" t="s">
        <v>159</v>
      </c>
      <c r="U98" s="21">
        <v>1</v>
      </c>
      <c r="V98" s="21">
        <v>1</v>
      </c>
      <c r="W98" s="24">
        <f t="shared" si="33"/>
        <v>688.62301324089731</v>
      </c>
      <c r="X98" s="24">
        <f t="shared" si="34"/>
        <v>183.16666666666666</v>
      </c>
      <c r="Y98" s="21">
        <v>4</v>
      </c>
      <c r="Z98" s="24">
        <f t="shared" si="35"/>
        <v>2754.4920529635892</v>
      </c>
      <c r="AA98" s="24">
        <f t="shared" si="36"/>
        <v>732.66666666666663</v>
      </c>
      <c r="AB98" s="21">
        <v>14</v>
      </c>
      <c r="AC98" s="22">
        <f>R98*Y98</f>
        <v>20</v>
      </c>
      <c r="AD98" s="21">
        <v>5</v>
      </c>
      <c r="AE98" s="22" t="s">
        <v>330</v>
      </c>
      <c r="AF98" s="22">
        <v>0.8</v>
      </c>
      <c r="AG98" s="22">
        <v>0.8</v>
      </c>
      <c r="AH98" s="25">
        <f>(AB98*AC98*2+AB98*AD98*2+AC98*AD98*2)/AG98</f>
        <v>1125</v>
      </c>
      <c r="AI98" s="25">
        <f>AB98*AC98*AD98*AF98</f>
        <v>1120</v>
      </c>
      <c r="AJ98" s="21">
        <v>1099.5999999999999</v>
      </c>
      <c r="AK98" s="21">
        <v>20</v>
      </c>
      <c r="AL98" s="22" t="s">
        <v>161</v>
      </c>
      <c r="AM98" s="22">
        <v>0.16</v>
      </c>
      <c r="AN98" s="22" t="s">
        <v>1364</v>
      </c>
      <c r="AO98" s="22" t="s">
        <v>1364</v>
      </c>
      <c r="AP98" s="22" t="s">
        <v>162</v>
      </c>
      <c r="AQ98" s="22" t="str">
        <f t="shared" si="37"/>
        <v>Microphytoplankton</v>
      </c>
      <c r="AR98" s="22">
        <v>0</v>
      </c>
      <c r="AS98" s="22">
        <v>0</v>
      </c>
      <c r="AT98" s="22">
        <v>0</v>
      </c>
      <c r="AU98" s="22">
        <v>1</v>
      </c>
      <c r="AV98" s="22">
        <v>0</v>
      </c>
      <c r="AW98" s="22">
        <v>0</v>
      </c>
      <c r="AX98" s="22">
        <v>0</v>
      </c>
      <c r="AY98" s="22">
        <v>1</v>
      </c>
      <c r="AZ98" s="22">
        <v>0</v>
      </c>
      <c r="BA98" s="22">
        <v>0</v>
      </c>
      <c r="BB98" s="22">
        <v>0</v>
      </c>
      <c r="BC98" s="22">
        <v>2</v>
      </c>
      <c r="BD98" s="22">
        <v>6</v>
      </c>
      <c r="BE98" s="22">
        <v>2</v>
      </c>
      <c r="BF98" s="22">
        <v>0</v>
      </c>
      <c r="BG98" s="22">
        <v>0</v>
      </c>
      <c r="BH98" s="22">
        <f t="shared" si="25"/>
        <v>0.26598975512685985</v>
      </c>
    </row>
    <row r="99" spans="1:60" s="22" customFormat="1" ht="13">
      <c r="A99" s="22" t="s">
        <v>2971</v>
      </c>
      <c r="B99" s="22" t="s">
        <v>663</v>
      </c>
      <c r="C99" s="22" t="s">
        <v>2223</v>
      </c>
      <c r="D99" s="22" t="s">
        <v>2224</v>
      </c>
      <c r="E99" s="23" t="s">
        <v>63</v>
      </c>
      <c r="F99" s="23" t="s">
        <v>2225</v>
      </c>
      <c r="G99" s="23" t="s">
        <v>2226</v>
      </c>
      <c r="H99" s="22" t="s">
        <v>2457</v>
      </c>
      <c r="I99" s="22" t="s">
        <v>53</v>
      </c>
      <c r="J99" s="22" t="s">
        <v>2969</v>
      </c>
      <c r="K99" s="22" t="s">
        <v>175</v>
      </c>
      <c r="L99" s="22" t="s">
        <v>2972</v>
      </c>
      <c r="N99" s="22" t="s">
        <v>409</v>
      </c>
      <c r="O99" s="22" t="s">
        <v>2229</v>
      </c>
      <c r="P99" s="21">
        <v>82462</v>
      </c>
      <c r="Q99" s="22">
        <v>9</v>
      </c>
      <c r="R99" s="22">
        <v>4.5</v>
      </c>
      <c r="S99" s="22">
        <v>4.5</v>
      </c>
      <c r="T99" s="21" t="s">
        <v>159</v>
      </c>
      <c r="U99" s="21">
        <v>1</v>
      </c>
      <c r="V99" s="21">
        <v>1</v>
      </c>
      <c r="W99" s="24">
        <f t="shared" si="33"/>
        <v>402.1055221400822</v>
      </c>
      <c r="X99" s="24">
        <f t="shared" si="34"/>
        <v>95.377499999999998</v>
      </c>
      <c r="Y99" s="22">
        <v>4</v>
      </c>
      <c r="Z99" s="24">
        <f t="shared" si="35"/>
        <v>1608.4220885603288</v>
      </c>
      <c r="AA99" s="24">
        <f t="shared" si="36"/>
        <v>381.51</v>
      </c>
      <c r="AB99" s="22">
        <v>9</v>
      </c>
      <c r="AC99" s="22">
        <f>R99*Y99</f>
        <v>18</v>
      </c>
      <c r="AD99" s="22">
        <v>4.5</v>
      </c>
      <c r="AE99" s="22" t="s">
        <v>330</v>
      </c>
      <c r="AF99" s="22">
        <v>0.8</v>
      </c>
      <c r="AG99" s="22">
        <v>0.8</v>
      </c>
      <c r="AH99" s="25">
        <f>(AB99*AC99*2+AB99*AD99*2+AC99*AD99*2)/AG99</f>
        <v>708.75</v>
      </c>
      <c r="AI99" s="25">
        <f>AB99*AC99*AD99*AF99</f>
        <v>583.20000000000005</v>
      </c>
      <c r="AJ99" s="21">
        <v>381.51</v>
      </c>
      <c r="AK99" s="21">
        <v>18</v>
      </c>
      <c r="AL99" s="22" t="s">
        <v>161</v>
      </c>
      <c r="AM99" s="22">
        <v>0.16</v>
      </c>
      <c r="AN99" s="22" t="s">
        <v>1364</v>
      </c>
      <c r="AO99" s="22" t="s">
        <v>1364</v>
      </c>
      <c r="AP99" s="22" t="s">
        <v>162</v>
      </c>
      <c r="AQ99" s="22" t="str">
        <f t="shared" si="37"/>
        <v>Nanophytoplankton</v>
      </c>
      <c r="AR99" s="22">
        <v>0</v>
      </c>
      <c r="AS99" s="22">
        <v>0</v>
      </c>
      <c r="AT99" s="22">
        <v>0</v>
      </c>
      <c r="AU99" s="22">
        <v>1</v>
      </c>
      <c r="AV99" s="22">
        <v>0</v>
      </c>
      <c r="AW99" s="22">
        <v>0</v>
      </c>
      <c r="AX99" s="22">
        <v>0</v>
      </c>
      <c r="AY99" s="22">
        <v>1</v>
      </c>
      <c r="BF99" s="22">
        <v>0</v>
      </c>
      <c r="BG99" s="22">
        <v>0</v>
      </c>
      <c r="BH99" s="22">
        <f t="shared" si="25"/>
        <v>0.2371952006338604</v>
      </c>
    </row>
    <row r="100" spans="1:60" s="22" customFormat="1" ht="13">
      <c r="A100" s="21" t="s">
        <v>2973</v>
      </c>
      <c r="B100" s="22" t="s">
        <v>663</v>
      </c>
      <c r="C100" s="22" t="s">
        <v>2223</v>
      </c>
      <c r="D100" s="22" t="s">
        <v>2224</v>
      </c>
      <c r="E100" s="23" t="s">
        <v>63</v>
      </c>
      <c r="F100" s="23" t="s">
        <v>2225</v>
      </c>
      <c r="G100" s="23" t="s">
        <v>2226</v>
      </c>
      <c r="H100" s="22" t="s">
        <v>2457</v>
      </c>
      <c r="I100" s="22" t="s">
        <v>53</v>
      </c>
      <c r="J100" s="22" t="s">
        <v>2969</v>
      </c>
      <c r="L100" s="22" t="s">
        <v>245</v>
      </c>
      <c r="N100" s="22" t="s">
        <v>2970</v>
      </c>
      <c r="O100" s="22" t="s">
        <v>2229</v>
      </c>
      <c r="P100" s="21">
        <v>82521</v>
      </c>
      <c r="Q100" s="21">
        <v>14</v>
      </c>
      <c r="R100" s="21">
        <v>5</v>
      </c>
      <c r="S100" s="21">
        <v>5</v>
      </c>
      <c r="T100" s="21" t="s">
        <v>159</v>
      </c>
      <c r="U100" s="21">
        <v>1</v>
      </c>
      <c r="V100" s="21">
        <v>1</v>
      </c>
      <c r="W100" s="24">
        <f t="shared" si="33"/>
        <v>688.62301324089731</v>
      </c>
      <c r="X100" s="24">
        <f t="shared" si="34"/>
        <v>183.16666666666666</v>
      </c>
      <c r="Y100" s="22">
        <v>1</v>
      </c>
      <c r="Z100" s="24">
        <f t="shared" si="35"/>
        <v>688.62301324089731</v>
      </c>
      <c r="AA100" s="24">
        <f t="shared" si="36"/>
        <v>183.16666666666666</v>
      </c>
      <c r="AB100" s="21"/>
      <c r="AD100" s="21"/>
      <c r="AH100" s="25"/>
      <c r="AI100" s="25"/>
      <c r="AJ100" s="21">
        <v>183.16666666666666</v>
      </c>
      <c r="AK100" s="21">
        <v>14</v>
      </c>
      <c r="AL100" s="22" t="s">
        <v>161</v>
      </c>
      <c r="AM100" s="22">
        <v>0.16</v>
      </c>
      <c r="AN100" s="22" t="s">
        <v>1364</v>
      </c>
      <c r="AO100" s="22" t="s">
        <v>1364</v>
      </c>
      <c r="AP100" s="22" t="s">
        <v>162</v>
      </c>
      <c r="AQ100" s="22" t="str">
        <f t="shared" si="37"/>
        <v>Nanophytoplankton</v>
      </c>
      <c r="AR100" s="22">
        <v>0</v>
      </c>
      <c r="AS100" s="22">
        <v>0</v>
      </c>
      <c r="AT100" s="22">
        <v>0</v>
      </c>
      <c r="AU100" s="22">
        <v>1</v>
      </c>
      <c r="AV100" s="22">
        <v>0</v>
      </c>
      <c r="AW100" s="22">
        <v>0</v>
      </c>
      <c r="AX100" s="22">
        <v>0</v>
      </c>
      <c r="AY100" s="22">
        <v>1</v>
      </c>
      <c r="BH100" s="22">
        <f t="shared" si="25"/>
        <v>0.26598975512685985</v>
      </c>
    </row>
    <row r="101" spans="1:60" s="22" customFormat="1" ht="13">
      <c r="A101" s="21" t="s">
        <v>2937</v>
      </c>
      <c r="B101" s="22" t="s">
        <v>663</v>
      </c>
      <c r="C101" s="22" t="s">
        <v>2223</v>
      </c>
      <c r="D101" s="22" t="s">
        <v>2224</v>
      </c>
      <c r="E101" s="23" t="s">
        <v>63</v>
      </c>
      <c r="F101" s="23" t="s">
        <v>2225</v>
      </c>
      <c r="G101" s="23" t="s">
        <v>2226</v>
      </c>
      <c r="H101" s="22" t="s">
        <v>2457</v>
      </c>
      <c r="I101" s="22" t="s">
        <v>53</v>
      </c>
      <c r="J101" s="21" t="s">
        <v>2938</v>
      </c>
      <c r="K101" s="21"/>
      <c r="L101" s="21"/>
      <c r="N101" s="22" t="s">
        <v>3003</v>
      </c>
      <c r="O101" s="22" t="s">
        <v>2229</v>
      </c>
      <c r="P101" s="22">
        <v>82575</v>
      </c>
      <c r="Q101" s="21">
        <v>20</v>
      </c>
      <c r="R101" s="21">
        <v>8</v>
      </c>
      <c r="S101" s="21">
        <v>8</v>
      </c>
      <c r="T101" s="21" t="s">
        <v>159</v>
      </c>
      <c r="U101" s="21">
        <v>1</v>
      </c>
      <c r="V101" s="21">
        <v>1</v>
      </c>
      <c r="W101" s="24">
        <f t="shared" si="33"/>
        <v>1567.8064873937712</v>
      </c>
      <c r="X101" s="24">
        <f t="shared" si="34"/>
        <v>669.86666666666667</v>
      </c>
      <c r="Y101" s="21">
        <v>4</v>
      </c>
      <c r="Z101" s="24">
        <f t="shared" si="35"/>
        <v>6271.225949575085</v>
      </c>
      <c r="AA101" s="24">
        <f t="shared" si="36"/>
        <v>2679.4666666666667</v>
      </c>
      <c r="AB101" s="21">
        <v>20</v>
      </c>
      <c r="AC101" s="22">
        <f>R101*Y101</f>
        <v>32</v>
      </c>
      <c r="AD101" s="21">
        <v>8</v>
      </c>
      <c r="AE101" s="22" t="s">
        <v>330</v>
      </c>
      <c r="AF101" s="22">
        <v>0.7</v>
      </c>
      <c r="AG101" s="22">
        <v>0.7</v>
      </c>
      <c r="AH101" s="25">
        <f>(AB101*AC101*2+AB101*AD101*2+AC101*AD101*2)/AG101</f>
        <v>3017.1428571428573</v>
      </c>
      <c r="AI101" s="25">
        <f>AB101*AC101*AD101*AF101</f>
        <v>3584</v>
      </c>
      <c r="AJ101" s="21">
        <v>4021</v>
      </c>
      <c r="AK101" s="21">
        <v>20</v>
      </c>
      <c r="AL101" s="22" t="s">
        <v>161</v>
      </c>
      <c r="AM101" s="22">
        <v>0.16</v>
      </c>
      <c r="AN101" s="22" t="s">
        <v>1364</v>
      </c>
      <c r="AO101" s="22" t="s">
        <v>1364</v>
      </c>
      <c r="AP101" s="22" t="s">
        <v>162</v>
      </c>
      <c r="AQ101" s="22" t="str">
        <f t="shared" si="37"/>
        <v>Microphytoplankton</v>
      </c>
      <c r="AR101" s="22">
        <v>0</v>
      </c>
      <c r="AS101" s="22">
        <v>0</v>
      </c>
      <c r="AT101" s="22">
        <v>0</v>
      </c>
      <c r="AU101" s="22">
        <v>1</v>
      </c>
      <c r="AV101" s="22">
        <v>0</v>
      </c>
      <c r="AW101" s="22">
        <v>0</v>
      </c>
      <c r="AX101" s="22">
        <v>0</v>
      </c>
      <c r="AY101" s="22">
        <v>1</v>
      </c>
      <c r="BF101" s="22">
        <v>0</v>
      </c>
      <c r="BG101" s="22">
        <v>0</v>
      </c>
      <c r="BH101" s="22">
        <f t="shared" si="25"/>
        <v>0.42726361451674649</v>
      </c>
    </row>
    <row r="102" spans="1:60" s="22" customFormat="1" ht="13">
      <c r="A102" s="22" t="s">
        <v>3004</v>
      </c>
      <c r="B102" s="22" t="s">
        <v>663</v>
      </c>
      <c r="C102" s="22" t="s">
        <v>2223</v>
      </c>
      <c r="D102" s="22" t="s">
        <v>2224</v>
      </c>
      <c r="E102" s="23" t="s">
        <v>63</v>
      </c>
      <c r="F102" s="23" t="s">
        <v>2225</v>
      </c>
      <c r="G102" s="23" t="s">
        <v>2226</v>
      </c>
      <c r="H102" s="22" t="s">
        <v>2457</v>
      </c>
      <c r="I102" s="22" t="s">
        <v>53</v>
      </c>
      <c r="J102" s="22" t="s">
        <v>2938</v>
      </c>
      <c r="K102" s="22" t="s">
        <v>175</v>
      </c>
      <c r="L102" s="22" t="s">
        <v>3005</v>
      </c>
      <c r="N102" s="22" t="s">
        <v>167</v>
      </c>
      <c r="O102" s="22" t="s">
        <v>2229</v>
      </c>
      <c r="P102" s="21">
        <v>82473</v>
      </c>
      <c r="Q102" s="22">
        <v>14.5</v>
      </c>
      <c r="R102" s="22">
        <v>5</v>
      </c>
      <c r="S102" s="22">
        <v>5</v>
      </c>
      <c r="T102" s="21" t="s">
        <v>159</v>
      </c>
      <c r="U102" s="21">
        <v>1</v>
      </c>
      <c r="V102" s="21">
        <v>1</v>
      </c>
      <c r="W102" s="24">
        <f t="shared" si="33"/>
        <v>712.86495026429395</v>
      </c>
      <c r="X102" s="24">
        <f t="shared" si="34"/>
        <v>189.70833333333331</v>
      </c>
      <c r="Y102" s="22">
        <v>4</v>
      </c>
      <c r="Z102" s="24">
        <f t="shared" si="35"/>
        <v>2851.4598010571758</v>
      </c>
      <c r="AA102" s="24">
        <f t="shared" si="36"/>
        <v>758.83333333333326</v>
      </c>
      <c r="AB102" s="22">
        <v>14.5</v>
      </c>
      <c r="AC102" s="22">
        <f>R102*Y102</f>
        <v>20</v>
      </c>
      <c r="AD102" s="22">
        <v>5</v>
      </c>
      <c r="AE102" s="22" t="s">
        <v>330</v>
      </c>
      <c r="AF102" s="22">
        <v>0.7</v>
      </c>
      <c r="AG102" s="22">
        <v>0.7</v>
      </c>
      <c r="AH102" s="25">
        <f>(AB102*AC102*2+AB102*AD102*2+AC102*AD102*2)/AG102</f>
        <v>1321.4285714285716</v>
      </c>
      <c r="AI102" s="25">
        <f>AB102*AC102*AD102*AF102</f>
        <v>1014.9999999999999</v>
      </c>
      <c r="AJ102" s="21">
        <v>758.83333333333326</v>
      </c>
      <c r="AK102" s="21">
        <v>20</v>
      </c>
      <c r="AL102" s="22" t="s">
        <v>161</v>
      </c>
      <c r="AM102" s="22">
        <v>0.16</v>
      </c>
      <c r="AN102" s="22" t="s">
        <v>1364</v>
      </c>
      <c r="AO102" s="22" t="s">
        <v>1364</v>
      </c>
      <c r="AP102" s="22" t="s">
        <v>162</v>
      </c>
      <c r="AQ102" s="22" t="str">
        <f t="shared" si="37"/>
        <v>Microphytoplankton</v>
      </c>
      <c r="AR102" s="22">
        <v>0</v>
      </c>
      <c r="AS102" s="22">
        <v>0</v>
      </c>
      <c r="AT102" s="22">
        <v>0</v>
      </c>
      <c r="AU102" s="22">
        <v>1</v>
      </c>
      <c r="AV102" s="22">
        <v>0</v>
      </c>
      <c r="AW102" s="22">
        <v>0</v>
      </c>
      <c r="AX102" s="22">
        <v>0</v>
      </c>
      <c r="AY102" s="22">
        <v>1</v>
      </c>
      <c r="BF102" s="22">
        <v>0</v>
      </c>
      <c r="BG102" s="22">
        <v>0</v>
      </c>
      <c r="BH102" s="22">
        <f t="shared" si="25"/>
        <v>0.26612099986540105</v>
      </c>
    </row>
    <row r="103" spans="1:60" s="22" customFormat="1" ht="13">
      <c r="A103" s="21" t="s">
        <v>3015</v>
      </c>
      <c r="B103" s="22" t="s">
        <v>663</v>
      </c>
      <c r="C103" s="22" t="s">
        <v>2223</v>
      </c>
      <c r="D103" s="22" t="s">
        <v>2224</v>
      </c>
      <c r="E103" s="23" t="s">
        <v>63</v>
      </c>
      <c r="F103" s="23" t="s">
        <v>2225</v>
      </c>
      <c r="G103" s="23" t="s">
        <v>2226</v>
      </c>
      <c r="H103" s="22" t="s">
        <v>2457</v>
      </c>
      <c r="I103" s="22" t="s">
        <v>53</v>
      </c>
      <c r="J103" s="21" t="s">
        <v>3016</v>
      </c>
      <c r="K103" s="21"/>
      <c r="L103" s="21"/>
      <c r="N103" s="22" t="s">
        <v>3017</v>
      </c>
      <c r="O103" s="22" t="s">
        <v>2229</v>
      </c>
      <c r="P103" s="21">
        <v>82510</v>
      </c>
      <c r="Q103" s="21">
        <v>17</v>
      </c>
      <c r="R103" s="21">
        <v>6</v>
      </c>
      <c r="S103" s="21">
        <v>6</v>
      </c>
      <c r="T103" s="21" t="s">
        <v>159</v>
      </c>
      <c r="U103" s="21">
        <v>1</v>
      </c>
      <c r="V103" s="21">
        <v>1</v>
      </c>
      <c r="W103" s="24">
        <f t="shared" si="33"/>
        <v>1001.0004567865979</v>
      </c>
      <c r="X103" s="24">
        <f t="shared" si="34"/>
        <v>320.27999999999997</v>
      </c>
      <c r="Y103" s="21">
        <v>4</v>
      </c>
      <c r="Z103" s="24">
        <f t="shared" si="35"/>
        <v>4004.0018271463914</v>
      </c>
      <c r="AA103" s="24">
        <f t="shared" si="36"/>
        <v>1281.1199999999999</v>
      </c>
      <c r="AB103" s="21">
        <v>17</v>
      </c>
      <c r="AC103" s="22">
        <f>R103*Y103</f>
        <v>24</v>
      </c>
      <c r="AD103" s="21">
        <v>6</v>
      </c>
      <c r="AE103" s="22" t="s">
        <v>330</v>
      </c>
      <c r="AF103" s="22">
        <v>0.7</v>
      </c>
      <c r="AG103" s="22">
        <v>0.7</v>
      </c>
      <c r="AH103" s="25">
        <f>(AB103*AC103*2+AB103*AD103*2+AC103*AD103*2)/AG103</f>
        <v>1868.5714285714287</v>
      </c>
      <c r="AI103" s="25">
        <f>AB103*AC103*AD103*AF103</f>
        <v>1713.6</v>
      </c>
      <c r="AJ103" s="21">
        <v>1922.7</v>
      </c>
      <c r="AK103" s="21">
        <v>24</v>
      </c>
      <c r="AL103" s="22" t="s">
        <v>161</v>
      </c>
      <c r="AM103" s="22">
        <v>0.16</v>
      </c>
      <c r="AN103" s="22" t="s">
        <v>1364</v>
      </c>
      <c r="AO103" s="22" t="s">
        <v>1364</v>
      </c>
      <c r="AP103" s="22" t="s">
        <v>162</v>
      </c>
      <c r="AQ103" s="22" t="str">
        <f t="shared" si="37"/>
        <v>Microphytoplankton</v>
      </c>
      <c r="AR103" s="22">
        <v>0</v>
      </c>
      <c r="AS103" s="22">
        <v>0</v>
      </c>
      <c r="AT103" s="22">
        <v>0</v>
      </c>
      <c r="AU103" s="22">
        <v>1</v>
      </c>
      <c r="AV103" s="22">
        <v>0</v>
      </c>
      <c r="AW103" s="22">
        <v>0</v>
      </c>
      <c r="AX103" s="22">
        <v>0</v>
      </c>
      <c r="AY103" s="22">
        <v>1</v>
      </c>
      <c r="AZ103" s="22">
        <v>0</v>
      </c>
      <c r="BA103" s="22">
        <v>0</v>
      </c>
      <c r="BB103" s="22">
        <v>0</v>
      </c>
      <c r="BC103" s="22">
        <v>2</v>
      </c>
      <c r="BD103" s="22">
        <v>6</v>
      </c>
      <c r="BE103" s="22">
        <v>2</v>
      </c>
      <c r="BF103" s="22">
        <v>0</v>
      </c>
      <c r="BG103" s="22">
        <v>0</v>
      </c>
      <c r="BH103" s="22">
        <f t="shared" si="25"/>
        <v>0.31995989395265589</v>
      </c>
    </row>
    <row r="104" spans="1:60" s="22" customFormat="1" ht="13">
      <c r="A104" s="21" t="s">
        <v>3021</v>
      </c>
      <c r="B104" s="22" t="s">
        <v>663</v>
      </c>
      <c r="C104" s="22" t="s">
        <v>2223</v>
      </c>
      <c r="D104" s="22" t="s">
        <v>2224</v>
      </c>
      <c r="E104" s="23" t="s">
        <v>63</v>
      </c>
      <c r="F104" s="23" t="s">
        <v>2225</v>
      </c>
      <c r="G104" s="23" t="s">
        <v>2226</v>
      </c>
      <c r="H104" s="22" t="s">
        <v>2457</v>
      </c>
      <c r="I104" s="22" t="s">
        <v>53</v>
      </c>
      <c r="J104" s="21" t="s">
        <v>3022</v>
      </c>
      <c r="K104" s="21"/>
      <c r="L104" s="21"/>
      <c r="N104" s="22" t="s">
        <v>409</v>
      </c>
      <c r="O104" s="22" t="s">
        <v>2229</v>
      </c>
      <c r="P104" s="21">
        <v>82540</v>
      </c>
      <c r="Q104" s="21">
        <v>14</v>
      </c>
      <c r="R104" s="21">
        <v>5</v>
      </c>
      <c r="S104" s="21">
        <v>5</v>
      </c>
      <c r="T104" s="21" t="s">
        <v>159</v>
      </c>
      <c r="U104" s="21">
        <v>1</v>
      </c>
      <c r="V104" s="21">
        <v>1</v>
      </c>
      <c r="W104" s="24">
        <f t="shared" si="33"/>
        <v>688.62301324089731</v>
      </c>
      <c r="X104" s="24">
        <f t="shared" si="34"/>
        <v>183.16666666666666</v>
      </c>
      <c r="Y104" s="21">
        <v>4</v>
      </c>
      <c r="Z104" s="24">
        <f t="shared" si="35"/>
        <v>2754.4920529635892</v>
      </c>
      <c r="AA104" s="24">
        <f t="shared" si="36"/>
        <v>732.66666666666663</v>
      </c>
      <c r="AB104" s="21">
        <v>14</v>
      </c>
      <c r="AC104" s="22">
        <f>R104*Y104</f>
        <v>20</v>
      </c>
      <c r="AD104" s="21">
        <v>5</v>
      </c>
      <c r="AE104" s="22" t="s">
        <v>330</v>
      </c>
      <c r="AF104" s="22">
        <v>0.8</v>
      </c>
      <c r="AG104" s="22">
        <v>0.8</v>
      </c>
      <c r="AH104" s="25">
        <f>(AB104*AC104*2+AB104*AD104*2+AC104*AD104*2)/AG104</f>
        <v>1125</v>
      </c>
      <c r="AI104" s="25">
        <f>AB104*AC104*AD104*AF104</f>
        <v>1120</v>
      </c>
      <c r="AJ104" s="21">
        <v>1099.5999999999999</v>
      </c>
      <c r="AK104" s="21">
        <v>20</v>
      </c>
      <c r="AL104" s="22" t="s">
        <v>161</v>
      </c>
      <c r="AM104" s="22">
        <v>0.16</v>
      </c>
      <c r="AN104" s="22" t="s">
        <v>1364</v>
      </c>
      <c r="AO104" s="22" t="s">
        <v>1364</v>
      </c>
      <c r="AP104" s="22" t="s">
        <v>162</v>
      </c>
      <c r="AQ104" s="22" t="str">
        <f t="shared" si="37"/>
        <v>Microphytoplankton</v>
      </c>
      <c r="AR104" s="22">
        <v>0</v>
      </c>
      <c r="AS104" s="22">
        <v>0</v>
      </c>
      <c r="AT104" s="22">
        <v>0</v>
      </c>
      <c r="AU104" s="22">
        <v>1</v>
      </c>
      <c r="AV104" s="22">
        <v>0</v>
      </c>
      <c r="AW104" s="22">
        <v>0</v>
      </c>
      <c r="AX104" s="22">
        <v>0</v>
      </c>
      <c r="AY104" s="22">
        <v>1</v>
      </c>
      <c r="AZ104" s="22">
        <v>0</v>
      </c>
      <c r="BA104" s="22">
        <v>0</v>
      </c>
      <c r="BB104" s="22">
        <v>0</v>
      </c>
      <c r="BC104" s="22">
        <v>2</v>
      </c>
      <c r="BD104" s="22">
        <v>6</v>
      </c>
      <c r="BE104" s="22">
        <v>2</v>
      </c>
      <c r="BF104" s="22">
        <v>0</v>
      </c>
      <c r="BG104" s="22">
        <v>0</v>
      </c>
      <c r="BH104" s="22">
        <f t="shared" si="25"/>
        <v>0.26598975512685985</v>
      </c>
    </row>
    <row r="105" spans="1:60" s="22" customFormat="1" ht="13">
      <c r="A105" s="43" t="s">
        <v>3526</v>
      </c>
      <c r="E105" s="23"/>
      <c r="F105" s="23"/>
      <c r="G105" s="23"/>
      <c r="J105" s="21"/>
      <c r="K105" s="21"/>
      <c r="L105" s="21"/>
      <c r="P105" s="21"/>
      <c r="Q105" s="21"/>
      <c r="R105" s="21"/>
      <c r="S105" s="21"/>
      <c r="T105" s="21"/>
      <c r="U105" s="21"/>
      <c r="V105" s="21"/>
      <c r="W105" s="24"/>
      <c r="X105" s="24"/>
      <c r="Y105" s="21"/>
      <c r="Z105" s="24"/>
      <c r="AA105" s="24"/>
      <c r="AB105" s="21"/>
      <c r="AD105" s="21"/>
      <c r="AH105" s="25"/>
      <c r="AI105" s="25"/>
      <c r="AJ105" s="21"/>
      <c r="AK105" s="21"/>
    </row>
    <row r="106" spans="1:60" s="22" customFormat="1" ht="13">
      <c r="A106" s="46" t="s">
        <v>3527</v>
      </c>
      <c r="E106" s="23"/>
      <c r="F106" s="23"/>
      <c r="G106" s="23"/>
      <c r="J106" s="21"/>
      <c r="K106" s="21"/>
      <c r="L106" s="21"/>
      <c r="P106" s="21"/>
      <c r="Q106" s="21"/>
      <c r="R106" s="21"/>
      <c r="S106" s="21"/>
      <c r="T106" s="21"/>
      <c r="U106" s="21"/>
      <c r="V106" s="21"/>
      <c r="W106" s="24"/>
      <c r="X106" s="24"/>
      <c r="Y106" s="21"/>
      <c r="Z106" s="24"/>
      <c r="AA106" s="24"/>
      <c r="AB106" s="21"/>
      <c r="AD106" s="21"/>
      <c r="AH106" s="25"/>
      <c r="AI106" s="25"/>
      <c r="AJ106" s="21"/>
      <c r="AK106" s="21"/>
    </row>
    <row r="107" spans="1:60" s="22" customFormat="1" ht="13">
      <c r="A107" s="43" t="s">
        <v>2914</v>
      </c>
      <c r="E107" s="23"/>
      <c r="F107" s="23"/>
      <c r="G107" s="23"/>
      <c r="J107" s="21"/>
      <c r="K107" s="21"/>
      <c r="L107" s="21"/>
      <c r="P107" s="21"/>
      <c r="Q107" s="21"/>
      <c r="R107" s="21"/>
      <c r="S107" s="21"/>
      <c r="T107" s="21"/>
      <c r="U107" s="21"/>
      <c r="V107" s="21"/>
      <c r="W107" s="24"/>
      <c r="X107" s="24"/>
      <c r="Y107" s="21"/>
      <c r="Z107" s="24"/>
      <c r="AA107" s="24"/>
      <c r="AB107" s="21"/>
      <c r="AD107" s="21"/>
      <c r="AH107" s="25"/>
      <c r="AI107" s="25"/>
      <c r="AJ107" s="21"/>
      <c r="AK107" s="21"/>
    </row>
    <row r="108" spans="1:60" s="22" customFormat="1" ht="13">
      <c r="A108" s="43" t="s">
        <v>2917</v>
      </c>
      <c r="E108" s="23"/>
      <c r="F108" s="23"/>
      <c r="G108" s="23"/>
      <c r="J108" s="21"/>
      <c r="K108" s="21"/>
      <c r="L108" s="21"/>
      <c r="P108" s="21"/>
      <c r="Q108" s="21"/>
      <c r="R108" s="21"/>
      <c r="S108" s="21"/>
      <c r="T108" s="21"/>
      <c r="U108" s="21"/>
      <c r="V108" s="21"/>
      <c r="W108" s="24"/>
      <c r="X108" s="24"/>
      <c r="Y108" s="21"/>
      <c r="Z108" s="24"/>
      <c r="AA108" s="24"/>
      <c r="AB108" s="21"/>
      <c r="AD108" s="21"/>
      <c r="AH108" s="25"/>
      <c r="AI108" s="25"/>
      <c r="AJ108" s="21"/>
      <c r="AK108" s="21"/>
    </row>
    <row r="109" spans="1:60" s="22" customFormat="1" ht="13">
      <c r="A109" s="43" t="s">
        <v>3517</v>
      </c>
      <c r="E109" s="23"/>
      <c r="F109" s="23"/>
      <c r="G109" s="23"/>
      <c r="J109" s="21"/>
      <c r="K109" s="21"/>
      <c r="L109" s="21"/>
      <c r="P109" s="21"/>
      <c r="Q109" s="21"/>
      <c r="R109" s="21"/>
      <c r="S109" s="21"/>
      <c r="T109" s="21"/>
      <c r="U109" s="21"/>
      <c r="V109" s="21"/>
      <c r="W109" s="24"/>
      <c r="X109" s="24"/>
      <c r="Y109" s="21"/>
      <c r="Z109" s="24"/>
      <c r="AA109" s="24"/>
      <c r="AB109" s="21"/>
      <c r="AD109" s="21"/>
      <c r="AH109" s="25"/>
      <c r="AI109" s="25"/>
      <c r="AJ109" s="21"/>
      <c r="AK109" s="21"/>
    </row>
    <row r="110" spans="1:60" s="22" customFormat="1" ht="13">
      <c r="A110" s="43" t="s">
        <v>3518</v>
      </c>
      <c r="E110" s="23"/>
      <c r="F110" s="23"/>
      <c r="G110" s="23"/>
      <c r="J110" s="21"/>
      <c r="K110" s="21"/>
      <c r="L110" s="21"/>
      <c r="P110" s="21"/>
      <c r="Q110" s="21"/>
      <c r="R110" s="21"/>
      <c r="S110" s="21"/>
      <c r="T110" s="21"/>
      <c r="U110" s="21"/>
      <c r="V110" s="21"/>
      <c r="W110" s="24"/>
      <c r="X110" s="24"/>
      <c r="Y110" s="21"/>
      <c r="Z110" s="24"/>
      <c r="AA110" s="24"/>
      <c r="AB110" s="21"/>
      <c r="AD110" s="21"/>
      <c r="AH110" s="25"/>
      <c r="AI110" s="25"/>
      <c r="AJ110" s="21"/>
      <c r="AK110" s="21"/>
    </row>
    <row r="111" spans="1:60" s="22" customFormat="1" ht="13">
      <c r="A111" s="43" t="s">
        <v>3519</v>
      </c>
      <c r="E111" s="23"/>
      <c r="F111" s="23"/>
      <c r="G111" s="23"/>
      <c r="J111" s="21"/>
      <c r="K111" s="21"/>
      <c r="L111" s="21"/>
      <c r="P111" s="21"/>
      <c r="Q111" s="21"/>
      <c r="R111" s="21"/>
      <c r="S111" s="21"/>
      <c r="T111" s="21"/>
      <c r="U111" s="21"/>
      <c r="V111" s="21"/>
      <c r="W111" s="24"/>
      <c r="X111" s="24"/>
      <c r="Y111" s="21"/>
      <c r="Z111" s="24"/>
      <c r="AA111" s="24"/>
      <c r="AB111" s="21"/>
      <c r="AD111" s="21"/>
      <c r="AH111" s="25"/>
      <c r="AI111" s="25"/>
      <c r="AJ111" s="21"/>
      <c r="AK111" s="21"/>
    </row>
    <row r="112" spans="1:60" s="22" customFormat="1" ht="13">
      <c r="A112" s="43" t="s">
        <v>3520</v>
      </c>
      <c r="E112" s="23"/>
      <c r="F112" s="23"/>
      <c r="G112" s="23"/>
      <c r="J112" s="21"/>
      <c r="K112" s="21"/>
      <c r="L112" s="21"/>
      <c r="P112" s="21"/>
      <c r="Q112" s="21"/>
      <c r="R112" s="21"/>
      <c r="S112" s="21"/>
      <c r="T112" s="21"/>
      <c r="U112" s="21"/>
      <c r="V112" s="21"/>
      <c r="W112" s="24"/>
      <c r="X112" s="24"/>
      <c r="Y112" s="21"/>
      <c r="Z112" s="24"/>
      <c r="AA112" s="24"/>
      <c r="AB112" s="21"/>
      <c r="AD112" s="21"/>
      <c r="AH112" s="25"/>
      <c r="AI112" s="25"/>
      <c r="AJ112" s="21"/>
      <c r="AK112" s="21"/>
    </row>
    <row r="113" spans="1:60" s="22" customFormat="1" ht="13">
      <c r="A113" s="43" t="s">
        <v>3521</v>
      </c>
      <c r="E113" s="23"/>
      <c r="F113" s="23"/>
      <c r="G113" s="23"/>
      <c r="J113" s="21"/>
      <c r="K113" s="21"/>
      <c r="L113" s="21"/>
      <c r="P113" s="21"/>
      <c r="Q113" s="21"/>
      <c r="R113" s="21"/>
      <c r="S113" s="21"/>
      <c r="T113" s="21"/>
      <c r="U113" s="21"/>
      <c r="V113" s="21"/>
      <c r="W113" s="24"/>
      <c r="X113" s="24"/>
      <c r="Y113" s="21"/>
      <c r="Z113" s="24"/>
      <c r="AA113" s="24"/>
      <c r="AB113" s="21"/>
      <c r="AD113" s="21"/>
      <c r="AH113" s="25"/>
      <c r="AI113" s="25"/>
      <c r="AJ113" s="21"/>
      <c r="AK113" s="21"/>
    </row>
    <row r="114" spans="1:60" s="22" customFormat="1" ht="13">
      <c r="A114" s="21"/>
      <c r="E114" s="23"/>
      <c r="F114" s="23"/>
      <c r="G114" s="23"/>
      <c r="J114" s="21"/>
      <c r="K114" s="21"/>
      <c r="L114" s="21"/>
      <c r="P114" s="21"/>
      <c r="Q114" s="21"/>
      <c r="R114" s="21"/>
      <c r="S114" s="21"/>
      <c r="T114" s="21"/>
      <c r="U114" s="21"/>
      <c r="V114" s="21"/>
      <c r="W114" s="24"/>
      <c r="X114" s="24"/>
      <c r="Y114" s="21"/>
      <c r="Z114" s="24"/>
      <c r="AA114" s="24"/>
      <c r="AB114" s="21"/>
      <c r="AD114" s="21"/>
      <c r="AH114" s="25"/>
      <c r="AI114" s="25"/>
      <c r="AJ114" s="21"/>
      <c r="AK114" s="21"/>
    </row>
    <row r="115" spans="1:60" s="22" customFormat="1" ht="13">
      <c r="A115" s="21" t="s">
        <v>3081</v>
      </c>
      <c r="B115" s="22" t="s">
        <v>663</v>
      </c>
      <c r="C115" s="22" t="s">
        <v>2223</v>
      </c>
      <c r="D115" s="22" t="s">
        <v>2224</v>
      </c>
      <c r="E115" s="23" t="s">
        <v>63</v>
      </c>
      <c r="F115" s="23" t="s">
        <v>2225</v>
      </c>
      <c r="G115" s="23" t="s">
        <v>2226</v>
      </c>
      <c r="H115" s="22" t="s">
        <v>2253</v>
      </c>
      <c r="I115" s="22" t="s">
        <v>54</v>
      </c>
      <c r="J115" s="21" t="s">
        <v>2444</v>
      </c>
      <c r="K115" s="21"/>
      <c r="L115" s="21"/>
      <c r="N115" s="22" t="s">
        <v>3082</v>
      </c>
      <c r="O115" s="22" t="s">
        <v>2229</v>
      </c>
      <c r="P115" s="21">
        <v>80820</v>
      </c>
      <c r="Q115" s="21">
        <v>20</v>
      </c>
      <c r="R115" s="21">
        <v>20</v>
      </c>
      <c r="S115" s="21">
        <v>10</v>
      </c>
      <c r="T115" s="21" t="s">
        <v>281</v>
      </c>
      <c r="U115" s="21">
        <v>0.6</v>
      </c>
      <c r="V115" s="21">
        <v>0.6</v>
      </c>
      <c r="W115" s="24">
        <f t="shared" si="33"/>
        <v>5061.9707990018487</v>
      </c>
      <c r="X115" s="24">
        <f t="shared" si="34"/>
        <v>1256</v>
      </c>
      <c r="Y115" s="21">
        <v>1</v>
      </c>
      <c r="Z115" s="24">
        <f t="shared" si="35"/>
        <v>5061.9707990018487</v>
      </c>
      <c r="AA115" s="24">
        <f t="shared" si="36"/>
        <v>1256</v>
      </c>
      <c r="AB115" s="21"/>
      <c r="AC115" s="21"/>
      <c r="AD115" s="21"/>
      <c r="AE115" s="21"/>
      <c r="AF115" s="21"/>
      <c r="AG115" s="21"/>
      <c r="AH115" s="24"/>
      <c r="AI115" s="24"/>
      <c r="AJ115" s="21">
        <v>2400</v>
      </c>
      <c r="AK115" s="21">
        <v>20</v>
      </c>
      <c r="AL115" s="22" t="s">
        <v>161</v>
      </c>
      <c r="AM115" s="22">
        <v>0.16</v>
      </c>
      <c r="AO115" s="22" t="s">
        <v>1364</v>
      </c>
      <c r="AP115" s="22" t="s">
        <v>162</v>
      </c>
      <c r="AQ115" s="22" t="str">
        <f t="shared" si="37"/>
        <v>Microphytoplankton</v>
      </c>
      <c r="AR115" s="22">
        <v>0</v>
      </c>
      <c r="AS115" s="22">
        <v>0</v>
      </c>
      <c r="AT115" s="22">
        <v>0</v>
      </c>
      <c r="AU115" s="38">
        <v>0</v>
      </c>
      <c r="AV115" s="38">
        <v>0</v>
      </c>
      <c r="AW115" s="22">
        <v>0</v>
      </c>
      <c r="AX115" s="22">
        <v>0</v>
      </c>
      <c r="AY115" s="22">
        <v>1</v>
      </c>
      <c r="AZ115" s="22">
        <v>0</v>
      </c>
      <c r="BA115" s="22">
        <v>0</v>
      </c>
      <c r="BB115" s="22">
        <v>1</v>
      </c>
      <c r="BC115" s="22">
        <v>3</v>
      </c>
      <c r="BD115" s="22">
        <v>5</v>
      </c>
      <c r="BE115" s="22">
        <v>1</v>
      </c>
      <c r="BF115" s="22">
        <v>0</v>
      </c>
      <c r="BG115" s="22">
        <v>0</v>
      </c>
      <c r="BH115" s="22">
        <f t="shared" si="25"/>
        <v>0.24812470278328472</v>
      </c>
    </row>
    <row r="116" spans="1:60" s="22" customFormat="1" ht="13">
      <c r="A116" s="22" t="s">
        <v>3083</v>
      </c>
      <c r="B116" s="22" t="s">
        <v>663</v>
      </c>
      <c r="C116" s="22" t="s">
        <v>2223</v>
      </c>
      <c r="D116" s="22" t="s">
        <v>2224</v>
      </c>
      <c r="E116" s="23" t="s">
        <v>63</v>
      </c>
      <c r="F116" s="23" t="s">
        <v>2225</v>
      </c>
      <c r="G116" s="23" t="s">
        <v>2226</v>
      </c>
      <c r="H116" s="22" t="s">
        <v>2253</v>
      </c>
      <c r="I116" s="22" t="s">
        <v>54</v>
      </c>
      <c r="J116" s="22" t="s">
        <v>2444</v>
      </c>
      <c r="K116" s="22" t="s">
        <v>175</v>
      </c>
      <c r="L116" s="22" t="s">
        <v>3084</v>
      </c>
      <c r="N116" s="22" t="s">
        <v>3085</v>
      </c>
      <c r="O116" s="22" t="s">
        <v>2229</v>
      </c>
      <c r="P116" s="22">
        <v>80821</v>
      </c>
      <c r="Q116" s="22">
        <v>20</v>
      </c>
      <c r="R116" s="22">
        <v>20</v>
      </c>
      <c r="S116" s="22">
        <v>10</v>
      </c>
      <c r="T116" s="22" t="s">
        <v>281</v>
      </c>
      <c r="U116" s="22">
        <v>0.6</v>
      </c>
      <c r="V116" s="22">
        <v>0.6</v>
      </c>
      <c r="W116" s="24">
        <f t="shared" si="33"/>
        <v>5061.9707990018487</v>
      </c>
      <c r="X116" s="24">
        <f t="shared" si="34"/>
        <v>1256</v>
      </c>
      <c r="Y116" s="21">
        <v>1</v>
      </c>
      <c r="Z116" s="24">
        <f t="shared" si="35"/>
        <v>5061.9707990018487</v>
      </c>
      <c r="AA116" s="24">
        <f t="shared" si="36"/>
        <v>1256</v>
      </c>
      <c r="AH116" s="25"/>
      <c r="AI116" s="25"/>
      <c r="AJ116" s="21">
        <v>1256.5999999999999</v>
      </c>
      <c r="AK116" s="21">
        <v>20</v>
      </c>
      <c r="AL116" s="22" t="s">
        <v>161</v>
      </c>
      <c r="AM116" s="22">
        <v>0.16</v>
      </c>
      <c r="AO116" s="22" t="s">
        <v>1364</v>
      </c>
      <c r="AP116" s="22" t="s">
        <v>162</v>
      </c>
      <c r="AQ116" s="22" t="str">
        <f t="shared" si="37"/>
        <v>Microphytoplankton</v>
      </c>
      <c r="AR116" s="22">
        <v>0</v>
      </c>
      <c r="AS116" s="22">
        <v>0</v>
      </c>
      <c r="AT116" s="22">
        <v>0</v>
      </c>
      <c r="AU116" s="38">
        <v>0</v>
      </c>
      <c r="AV116" s="38">
        <v>0</v>
      </c>
      <c r="AW116" s="22">
        <v>0</v>
      </c>
      <c r="AX116" s="22">
        <v>0</v>
      </c>
      <c r="AY116" s="22">
        <v>1</v>
      </c>
      <c r="AZ116" s="22">
        <v>0</v>
      </c>
      <c r="BA116" s="22">
        <v>0</v>
      </c>
      <c r="BB116" s="22">
        <v>1</v>
      </c>
      <c r="BC116" s="22">
        <v>3</v>
      </c>
      <c r="BD116" s="22">
        <v>5</v>
      </c>
      <c r="BE116" s="22">
        <v>1</v>
      </c>
      <c r="BF116" s="22">
        <v>0</v>
      </c>
      <c r="BG116" s="22">
        <v>0</v>
      </c>
      <c r="BH116" s="22">
        <f t="shared" si="25"/>
        <v>0.24812470278328472</v>
      </c>
    </row>
    <row r="117" spans="1:60" s="22" customFormat="1" ht="14" customHeight="1">
      <c r="A117" s="22" t="s">
        <v>3086</v>
      </c>
      <c r="B117" s="22" t="s">
        <v>663</v>
      </c>
      <c r="C117" s="22" t="s">
        <v>2223</v>
      </c>
      <c r="D117" s="22" t="s">
        <v>2224</v>
      </c>
      <c r="E117" s="23" t="s">
        <v>63</v>
      </c>
      <c r="F117" s="23" t="s">
        <v>2225</v>
      </c>
      <c r="G117" s="23" t="s">
        <v>2226</v>
      </c>
      <c r="H117" s="22" t="s">
        <v>2253</v>
      </c>
      <c r="I117" s="22" t="s">
        <v>54</v>
      </c>
      <c r="J117" s="22" t="s">
        <v>2444</v>
      </c>
      <c r="K117" s="22" t="s">
        <v>184</v>
      </c>
      <c r="L117" s="22" t="s">
        <v>3087</v>
      </c>
      <c r="N117" s="22" t="s">
        <v>2809</v>
      </c>
      <c r="O117" s="22" t="s">
        <v>2229</v>
      </c>
      <c r="P117" s="22">
        <v>80822</v>
      </c>
      <c r="Q117" s="22">
        <v>10</v>
      </c>
      <c r="R117" s="22">
        <v>10</v>
      </c>
      <c r="S117" s="22">
        <v>2</v>
      </c>
      <c r="T117" s="22" t="s">
        <v>330</v>
      </c>
      <c r="U117" s="22">
        <v>0.5</v>
      </c>
      <c r="V117" s="22">
        <v>0.5</v>
      </c>
      <c r="W117" s="25">
        <f>(Q117*R117*2+Q117*S117*2+R117*S117*2)/V117</f>
        <v>560</v>
      </c>
      <c r="X117" s="25">
        <f>Q117*R117*S117*U117</f>
        <v>100</v>
      </c>
      <c r="Y117" s="21">
        <v>1</v>
      </c>
      <c r="Z117" s="24">
        <f t="shared" si="35"/>
        <v>560</v>
      </c>
      <c r="AA117" s="24">
        <f t="shared" si="36"/>
        <v>100</v>
      </c>
      <c r="AH117" s="25"/>
      <c r="AI117" s="25"/>
      <c r="AJ117" s="21">
        <v>100</v>
      </c>
      <c r="AK117" s="21">
        <v>10</v>
      </c>
      <c r="AL117" s="22" t="s">
        <v>161</v>
      </c>
      <c r="AM117" s="22">
        <v>0.16</v>
      </c>
      <c r="AO117" s="22" t="s">
        <v>1364</v>
      </c>
      <c r="AP117" s="22" t="s">
        <v>162</v>
      </c>
      <c r="AQ117" s="22" t="str">
        <f t="shared" si="37"/>
        <v>Nanophytoplankton</v>
      </c>
      <c r="AR117" s="22">
        <v>0</v>
      </c>
      <c r="AS117" s="22">
        <v>0</v>
      </c>
      <c r="AT117" s="22">
        <v>0</v>
      </c>
      <c r="AU117" s="38">
        <v>0</v>
      </c>
      <c r="AV117" s="38">
        <v>0</v>
      </c>
      <c r="AW117" s="22">
        <v>0</v>
      </c>
      <c r="AX117" s="22">
        <v>0</v>
      </c>
      <c r="AY117" s="22">
        <v>1</v>
      </c>
      <c r="BF117" s="22">
        <v>0</v>
      </c>
      <c r="BG117" s="22">
        <v>0</v>
      </c>
      <c r="BH117" s="22">
        <f t="shared" si="25"/>
        <v>0.17857142857142858</v>
      </c>
    </row>
    <row r="118" spans="1:60" s="22" customFormat="1" ht="13">
      <c r="A118" s="22" t="s">
        <v>3088</v>
      </c>
      <c r="B118" s="22" t="s">
        <v>663</v>
      </c>
      <c r="C118" s="22" t="s">
        <v>2223</v>
      </c>
      <c r="D118" s="22" t="s">
        <v>2224</v>
      </c>
      <c r="E118" s="23" t="s">
        <v>63</v>
      </c>
      <c r="F118" s="23" t="s">
        <v>2225</v>
      </c>
      <c r="G118" s="23" t="s">
        <v>2226</v>
      </c>
      <c r="H118" s="22" t="s">
        <v>2253</v>
      </c>
      <c r="I118" s="22" t="s">
        <v>54</v>
      </c>
      <c r="J118" s="22" t="s">
        <v>3089</v>
      </c>
      <c r="N118" s="22" t="s">
        <v>413</v>
      </c>
      <c r="O118" s="22" t="s">
        <v>2229</v>
      </c>
      <c r="P118" s="21">
        <v>80842</v>
      </c>
      <c r="Q118" s="22">
        <v>8.5</v>
      </c>
      <c r="R118" s="22">
        <v>8.5</v>
      </c>
      <c r="S118" s="22">
        <v>8.5</v>
      </c>
      <c r="T118" s="22" t="s">
        <v>281</v>
      </c>
      <c r="U118" s="22">
        <v>0.6</v>
      </c>
      <c r="V118" s="22">
        <v>0.6</v>
      </c>
      <c r="W118" s="24">
        <f>(4*3.14*(((Q118^1.6*R118^1.6+Q118^1.6*S118^1.6+R118^1.6+S118^1.6)/3)^(1/1.6)))*(1/V118)</f>
        <v>1197.6256817728777</v>
      </c>
      <c r="X118" s="24">
        <f>3.14/6*Q118*R118*S118*U118</f>
        <v>192.83525</v>
      </c>
      <c r="Y118" s="21">
        <v>1</v>
      </c>
      <c r="Z118" s="24">
        <f t="shared" si="35"/>
        <v>1197.6256817728777</v>
      </c>
      <c r="AA118" s="24">
        <f t="shared" si="36"/>
        <v>192.83525</v>
      </c>
      <c r="AH118" s="25"/>
      <c r="AI118" s="25"/>
      <c r="AJ118" s="21">
        <v>192.83525</v>
      </c>
      <c r="AK118" s="21">
        <v>8.5</v>
      </c>
      <c r="AL118" s="22" t="s">
        <v>161</v>
      </c>
      <c r="AM118" s="22">
        <v>0.16</v>
      </c>
      <c r="AO118" s="22" t="s">
        <v>1364</v>
      </c>
      <c r="AP118" s="22" t="s">
        <v>162</v>
      </c>
      <c r="AQ118" s="22" t="str">
        <f t="shared" si="37"/>
        <v>Nanophytoplankton</v>
      </c>
      <c r="AR118" s="22">
        <v>0</v>
      </c>
      <c r="AS118" s="22">
        <v>0</v>
      </c>
      <c r="AT118" s="22">
        <v>0</v>
      </c>
      <c r="AU118" s="38">
        <v>0</v>
      </c>
      <c r="AV118" s="38">
        <v>0</v>
      </c>
      <c r="AW118" s="22">
        <v>0</v>
      </c>
      <c r="AX118" s="22">
        <v>0</v>
      </c>
      <c r="AY118" s="22">
        <v>1</v>
      </c>
      <c r="BF118" s="22">
        <v>0</v>
      </c>
      <c r="BG118" s="22">
        <v>0</v>
      </c>
      <c r="BH118" s="22">
        <f t="shared" si="25"/>
        <v>0.16101462496574118</v>
      </c>
    </row>
    <row r="119" spans="1:60" s="22" customFormat="1" ht="13">
      <c r="A119" s="21" t="s">
        <v>3090</v>
      </c>
      <c r="B119" s="22" t="s">
        <v>663</v>
      </c>
      <c r="C119" s="22" t="s">
        <v>2223</v>
      </c>
      <c r="D119" s="22" t="s">
        <v>2224</v>
      </c>
      <c r="E119" s="23" t="s">
        <v>63</v>
      </c>
      <c r="F119" s="23" t="s">
        <v>2225</v>
      </c>
      <c r="G119" s="23" t="s">
        <v>2226</v>
      </c>
      <c r="H119" s="22" t="s">
        <v>2253</v>
      </c>
      <c r="I119" s="22" t="s">
        <v>54</v>
      </c>
      <c r="J119" s="21" t="s">
        <v>3091</v>
      </c>
      <c r="K119" s="21"/>
      <c r="L119" s="21"/>
      <c r="M119" s="22" t="s">
        <v>1</v>
      </c>
      <c r="N119" s="22" t="s">
        <v>413</v>
      </c>
      <c r="O119" s="22" t="s">
        <v>2229</v>
      </c>
      <c r="P119" s="22">
        <v>80890</v>
      </c>
      <c r="Q119" s="21">
        <v>18</v>
      </c>
      <c r="R119" s="21">
        <v>18</v>
      </c>
      <c r="S119" s="21">
        <v>9</v>
      </c>
      <c r="T119" s="21" t="s">
        <v>281</v>
      </c>
      <c r="U119" s="21">
        <v>0.5</v>
      </c>
      <c r="V119" s="21">
        <v>0.5</v>
      </c>
      <c r="W119" s="24">
        <f>(4*3.14*(((Q119^1.6*R119^1.6+Q119^1.6*S119^1.6+R119^1.6+S119^1.6)/3)^(1/1.6)))*(1/V119)</f>
        <v>4924.8746693073299</v>
      </c>
      <c r="X119" s="24">
        <f>3.14/6*Q119*R119*S119*U119</f>
        <v>763.02</v>
      </c>
      <c r="Y119" s="21">
        <v>1</v>
      </c>
      <c r="Z119" s="24">
        <f t="shared" si="35"/>
        <v>4924.8746693073299</v>
      </c>
      <c r="AA119" s="24">
        <f t="shared" si="36"/>
        <v>763.02</v>
      </c>
      <c r="AB119" s="21"/>
      <c r="AC119" s="21"/>
      <c r="AD119" s="21"/>
      <c r="AE119" s="21"/>
      <c r="AF119" s="21"/>
      <c r="AG119" s="21"/>
      <c r="AH119" s="24"/>
      <c r="AI119" s="24"/>
      <c r="AJ119" s="21">
        <v>1458</v>
      </c>
      <c r="AK119" s="21">
        <v>18</v>
      </c>
      <c r="AL119" s="22" t="s">
        <v>161</v>
      </c>
      <c r="AM119" s="22">
        <v>0.16</v>
      </c>
      <c r="AO119" s="22" t="s">
        <v>1364</v>
      </c>
      <c r="AP119" s="22" t="s">
        <v>162</v>
      </c>
      <c r="AQ119" s="22" t="str">
        <f t="shared" si="37"/>
        <v>Nanophytoplankton</v>
      </c>
      <c r="AR119" s="22">
        <v>0</v>
      </c>
      <c r="AS119" s="22">
        <v>0</v>
      </c>
      <c r="AT119" s="22">
        <v>0</v>
      </c>
      <c r="AU119" s="38">
        <v>0</v>
      </c>
      <c r="AV119" s="38">
        <v>0</v>
      </c>
      <c r="AW119" s="22">
        <v>0</v>
      </c>
      <c r="AX119" s="22">
        <v>0</v>
      </c>
      <c r="AY119" s="22">
        <v>1</v>
      </c>
      <c r="BF119" s="22">
        <v>0</v>
      </c>
      <c r="BG119" s="22">
        <v>0</v>
      </c>
      <c r="BH119" s="22">
        <f t="shared" si="25"/>
        <v>0.1549318614654851</v>
      </c>
    </row>
    <row r="120" spans="1:60" s="22" customFormat="1" ht="13">
      <c r="A120" s="22" t="s">
        <v>3092</v>
      </c>
      <c r="B120" s="22" t="s">
        <v>663</v>
      </c>
      <c r="C120" s="22" t="s">
        <v>2223</v>
      </c>
      <c r="D120" s="22" t="s">
        <v>2224</v>
      </c>
      <c r="E120" s="23" t="s">
        <v>63</v>
      </c>
      <c r="F120" s="23" t="s">
        <v>2225</v>
      </c>
      <c r="G120" s="23" t="s">
        <v>2226</v>
      </c>
      <c r="H120" s="22" t="s">
        <v>2253</v>
      </c>
      <c r="I120" s="22" t="s">
        <v>54</v>
      </c>
      <c r="J120" s="22" t="s">
        <v>3093</v>
      </c>
      <c r="N120" s="22" t="s">
        <v>2352</v>
      </c>
      <c r="O120" s="22" t="s">
        <v>2229</v>
      </c>
      <c r="P120" s="22">
        <v>80850</v>
      </c>
      <c r="Q120" s="22">
        <v>9</v>
      </c>
      <c r="R120" s="22">
        <v>9</v>
      </c>
      <c r="S120" s="22">
        <v>9</v>
      </c>
      <c r="T120" s="22" t="s">
        <v>281</v>
      </c>
      <c r="U120" s="22">
        <v>1</v>
      </c>
      <c r="V120" s="22">
        <v>1</v>
      </c>
      <c r="W120" s="24">
        <f>(4*3.14*(((Q120^1.6*R120^1.6+Q120^1.6*S120^1.6+R120^1.6+S120^1.6)/3)^(1/1.6)))*(1/V120)</f>
        <v>804.21104428016463</v>
      </c>
      <c r="X120" s="24">
        <f>3.14/6*Q120*R120*S120*U120</f>
        <v>381.51</v>
      </c>
      <c r="Y120" s="21">
        <v>1</v>
      </c>
      <c r="Z120" s="24">
        <f t="shared" si="35"/>
        <v>804.21104428016463</v>
      </c>
      <c r="AA120" s="24">
        <f t="shared" si="36"/>
        <v>381.51</v>
      </c>
      <c r="AH120" s="25"/>
      <c r="AI120" s="25"/>
      <c r="AJ120" s="21">
        <v>190.9</v>
      </c>
      <c r="AK120" s="21">
        <v>9</v>
      </c>
      <c r="AL120" s="22" t="s">
        <v>161</v>
      </c>
      <c r="AM120" s="22">
        <v>0.16</v>
      </c>
      <c r="AN120" s="38"/>
      <c r="AO120" s="22" t="s">
        <v>1364</v>
      </c>
      <c r="AP120" s="22" t="s">
        <v>162</v>
      </c>
      <c r="AQ120" s="22" t="str">
        <f t="shared" si="37"/>
        <v>Nanophytoplankton</v>
      </c>
      <c r="AR120" s="22">
        <v>0</v>
      </c>
      <c r="AS120" s="22">
        <v>0</v>
      </c>
      <c r="AT120" s="22">
        <v>0</v>
      </c>
      <c r="AU120" s="38">
        <v>0</v>
      </c>
      <c r="AV120" s="38">
        <v>0</v>
      </c>
      <c r="AW120" s="22">
        <v>0</v>
      </c>
      <c r="AX120" s="22">
        <v>0</v>
      </c>
      <c r="AY120" s="22">
        <v>1</v>
      </c>
      <c r="BF120" s="22">
        <v>0</v>
      </c>
      <c r="BG120" s="22">
        <v>0</v>
      </c>
      <c r="BH120" s="22">
        <f t="shared" si="25"/>
        <v>0.4743904012677207</v>
      </c>
    </row>
    <row r="121" spans="1:60">
      <c r="A121" s="43"/>
      <c r="BF121" s="22"/>
      <c r="BH121" s="22"/>
    </row>
    <row r="122" spans="1:60" s="22" customFormat="1" ht="13">
      <c r="A122" s="22" t="s">
        <v>3105</v>
      </c>
      <c r="B122" s="22" t="s">
        <v>663</v>
      </c>
      <c r="C122" s="22" t="s">
        <v>2223</v>
      </c>
      <c r="D122" s="22" t="s">
        <v>2224</v>
      </c>
      <c r="E122" s="23" t="s">
        <v>63</v>
      </c>
      <c r="F122" s="23" t="s">
        <v>2225</v>
      </c>
      <c r="G122" s="23" t="s">
        <v>2226</v>
      </c>
      <c r="H122" s="22" t="s">
        <v>2457</v>
      </c>
      <c r="I122" s="22" t="s">
        <v>55</v>
      </c>
      <c r="J122" s="22" t="s">
        <v>496</v>
      </c>
      <c r="N122" s="22" t="s">
        <v>494</v>
      </c>
      <c r="O122" s="22" t="s">
        <v>2229</v>
      </c>
      <c r="P122" s="22">
        <v>87102</v>
      </c>
      <c r="Q122" s="22">
        <v>5.5</v>
      </c>
      <c r="R122" s="22">
        <v>5.5</v>
      </c>
      <c r="S122" s="22">
        <v>4</v>
      </c>
      <c r="T122" s="22" t="s">
        <v>246</v>
      </c>
      <c r="U122" s="22">
        <v>1</v>
      </c>
      <c r="V122" s="22">
        <v>1</v>
      </c>
      <c r="W122" s="25">
        <f>4*3.14*(R122/2)*(Q122/2)/V122</f>
        <v>94.984999999999999</v>
      </c>
      <c r="X122" s="25">
        <f>(3.14/6*(Q122*S122*R122))*U122</f>
        <v>63.323333333333331</v>
      </c>
      <c r="Y122" s="22">
        <v>4</v>
      </c>
      <c r="Z122" s="24">
        <f>Y122*W122</f>
        <v>379.94</v>
      </c>
      <c r="AA122" s="24">
        <f>Y122*X122</f>
        <v>253.29333333333332</v>
      </c>
      <c r="AB122" s="22">
        <v>11</v>
      </c>
      <c r="AC122" s="22">
        <v>11</v>
      </c>
      <c r="AD122" s="22">
        <v>4</v>
      </c>
      <c r="AE122" s="22" t="s">
        <v>330</v>
      </c>
      <c r="AF122" s="22">
        <v>0.7</v>
      </c>
      <c r="AG122" s="22">
        <v>0.7</v>
      </c>
      <c r="AH122" s="25">
        <f>(AB122*AC122*2+AB122*AD122*2+AC122*AD122*2)/AG122</f>
        <v>597.14285714285722</v>
      </c>
      <c r="AI122" s="25">
        <f>AB122*AC122*AD122*AF122</f>
        <v>338.79999999999995</v>
      </c>
      <c r="AJ122" s="21">
        <v>348.27833333333331</v>
      </c>
      <c r="AK122" s="21">
        <v>11</v>
      </c>
      <c r="AL122" s="22" t="s">
        <v>161</v>
      </c>
      <c r="AM122" s="22">
        <v>0.16</v>
      </c>
      <c r="AO122" s="22" t="s">
        <v>1364</v>
      </c>
      <c r="AP122" s="22" t="s">
        <v>162</v>
      </c>
      <c r="AQ122" s="22" t="str">
        <f>IF(AND($AK122&lt;20,AJ122&lt;10000),"Nanophytoplankton","Microphytoplankton")</f>
        <v>Nanophytoplankton</v>
      </c>
      <c r="AR122" s="22">
        <v>0</v>
      </c>
      <c r="AS122" s="22">
        <v>0</v>
      </c>
      <c r="AT122" s="22">
        <v>0</v>
      </c>
      <c r="AU122" s="22">
        <v>1</v>
      </c>
      <c r="AV122" s="22">
        <v>0</v>
      </c>
      <c r="AW122" s="22">
        <v>0</v>
      </c>
      <c r="AX122" s="22">
        <v>0</v>
      </c>
      <c r="AY122" s="22">
        <v>1</v>
      </c>
      <c r="BF122" s="22">
        <v>0</v>
      </c>
      <c r="BG122" s="22">
        <v>0</v>
      </c>
      <c r="BH122" s="22">
        <f t="shared" si="25"/>
        <v>0.66666666666666663</v>
      </c>
    </row>
    <row r="123" spans="1:60" s="22" customFormat="1" ht="13">
      <c r="A123" s="21" t="s">
        <v>3115</v>
      </c>
      <c r="B123" s="22" t="s">
        <v>663</v>
      </c>
      <c r="C123" s="22" t="s">
        <v>2223</v>
      </c>
      <c r="D123" s="22" t="s">
        <v>2224</v>
      </c>
      <c r="E123" s="23" t="s">
        <v>63</v>
      </c>
      <c r="F123" s="23" t="s">
        <v>2225</v>
      </c>
      <c r="G123" s="23" t="s">
        <v>2226</v>
      </c>
      <c r="H123" s="22" t="s">
        <v>2457</v>
      </c>
      <c r="I123" s="22" t="s">
        <v>55</v>
      </c>
      <c r="J123" s="21" t="s">
        <v>3116</v>
      </c>
      <c r="K123" s="21"/>
      <c r="L123" s="21"/>
      <c r="N123" s="22" t="s">
        <v>3033</v>
      </c>
      <c r="O123" s="22" t="s">
        <v>2229</v>
      </c>
      <c r="P123" s="21">
        <v>87100</v>
      </c>
      <c r="Q123" s="22">
        <v>5</v>
      </c>
      <c r="R123" s="22">
        <v>5</v>
      </c>
      <c r="S123" s="22">
        <v>5</v>
      </c>
      <c r="T123" s="22" t="s">
        <v>281</v>
      </c>
      <c r="U123" s="22">
        <v>1</v>
      </c>
      <c r="V123" s="22">
        <v>1</v>
      </c>
      <c r="W123" s="24">
        <f>(4*3.14*(((Q123^1.6*R123^1.6+Q123^1.6*S123^1.6+R123^1.6+S123^1.6)/3)^(1/1.6)))*(1/V123)</f>
        <v>255.14798814971115</v>
      </c>
      <c r="X123" s="24">
        <f>3.14/6*Q123*R123*S123*U123</f>
        <v>65.416666666666671</v>
      </c>
      <c r="Y123" s="22">
        <v>4</v>
      </c>
      <c r="Z123" s="24">
        <f>Y123*W123</f>
        <v>1020.5919525988446</v>
      </c>
      <c r="AA123" s="24">
        <f>Y123*X123</f>
        <v>261.66666666666669</v>
      </c>
      <c r="AB123" s="22">
        <v>20</v>
      </c>
      <c r="AC123" s="22">
        <v>20</v>
      </c>
      <c r="AD123" s="22">
        <v>5</v>
      </c>
      <c r="AE123" s="22" t="s">
        <v>330</v>
      </c>
      <c r="AF123" s="22">
        <v>0.7</v>
      </c>
      <c r="AG123" s="22">
        <v>0.7</v>
      </c>
      <c r="AH123" s="25">
        <f>(AB123*AC123*2+AB123*AD123*2+AC123*AD123*2)/AG123</f>
        <v>1714.2857142857144</v>
      </c>
      <c r="AI123" s="25">
        <f>AB123*AC123*AD123*AF123</f>
        <v>1400</v>
      </c>
      <c r="AJ123" s="21">
        <v>261.8</v>
      </c>
      <c r="AK123" s="21">
        <v>20</v>
      </c>
      <c r="AL123" s="22" t="s">
        <v>161</v>
      </c>
      <c r="AM123" s="22">
        <v>0.16</v>
      </c>
      <c r="AO123" s="22" t="s">
        <v>1364</v>
      </c>
      <c r="AP123" s="22" t="s">
        <v>162</v>
      </c>
      <c r="AQ123" s="22" t="str">
        <f>IF(AND($AK123&lt;20,AJ123&lt;10000),"Nanophytoplankton","Microphytoplankton")</f>
        <v>Microphytoplankton</v>
      </c>
      <c r="AR123" s="22">
        <v>0</v>
      </c>
      <c r="AS123" s="22">
        <v>0</v>
      </c>
      <c r="AT123" s="22">
        <v>0</v>
      </c>
      <c r="AU123" s="22">
        <v>1</v>
      </c>
      <c r="AV123" s="22">
        <v>0</v>
      </c>
      <c r="AW123" s="22">
        <v>0</v>
      </c>
      <c r="AX123" s="22">
        <v>0</v>
      </c>
      <c r="AY123" s="22">
        <v>1</v>
      </c>
      <c r="BF123" s="22">
        <v>0</v>
      </c>
      <c r="BG123" s="22">
        <v>0</v>
      </c>
      <c r="BH123" s="22">
        <f t="shared" si="25"/>
        <v>0.25638715453355898</v>
      </c>
    </row>
    <row r="124" spans="1:60" s="22" customFormat="1" ht="13">
      <c r="A124" s="22" t="s">
        <v>3106</v>
      </c>
      <c r="B124" s="22" t="s">
        <v>663</v>
      </c>
      <c r="C124" s="22" t="s">
        <v>2223</v>
      </c>
      <c r="D124" s="22" t="s">
        <v>2224</v>
      </c>
      <c r="E124" s="23" t="s">
        <v>63</v>
      </c>
      <c r="F124" s="23" t="s">
        <v>2225</v>
      </c>
      <c r="G124" s="23" t="s">
        <v>2226</v>
      </c>
      <c r="H124" s="22" t="s">
        <v>2457</v>
      </c>
      <c r="I124" s="22" t="s">
        <v>55</v>
      </c>
      <c r="J124" s="22" t="s">
        <v>3107</v>
      </c>
      <c r="N124" s="22" t="s">
        <v>3108</v>
      </c>
      <c r="O124" s="22" t="s">
        <v>2229</v>
      </c>
      <c r="P124" s="22">
        <v>87103</v>
      </c>
      <c r="Q124" s="22">
        <v>7</v>
      </c>
      <c r="R124" s="22">
        <v>7</v>
      </c>
      <c r="S124" s="22">
        <v>4</v>
      </c>
      <c r="T124" s="22" t="s">
        <v>246</v>
      </c>
      <c r="U124" s="22">
        <v>1</v>
      </c>
      <c r="V124" s="22">
        <v>1</v>
      </c>
      <c r="W124" s="25">
        <f>4*3.14*(R124/2)*(Q124/2)/V124</f>
        <v>153.86000000000001</v>
      </c>
      <c r="X124" s="25">
        <f>(3.14/6*(Q124*S124*R124))*U124</f>
        <v>102.57333333333332</v>
      </c>
      <c r="Y124" s="22">
        <v>4</v>
      </c>
      <c r="Z124" s="24">
        <f>Y124*W124</f>
        <v>615.44000000000005</v>
      </c>
      <c r="AA124" s="24">
        <f>Y124*X124</f>
        <v>410.29333333333329</v>
      </c>
      <c r="AB124" s="22">
        <v>14</v>
      </c>
      <c r="AC124" s="22">
        <v>14</v>
      </c>
      <c r="AD124" s="22">
        <v>4</v>
      </c>
      <c r="AE124" s="22" t="s">
        <v>330</v>
      </c>
      <c r="AF124" s="22">
        <v>0.7</v>
      </c>
      <c r="AG124" s="22">
        <v>0.7</v>
      </c>
      <c r="AH124" s="25">
        <f>(AB124*AC124*2+AB124*AD124*2+AC124*AD124*2)/AG124</f>
        <v>880</v>
      </c>
      <c r="AI124" s="25">
        <f>AB124*AC124*AD124*AF124</f>
        <v>548.79999999999995</v>
      </c>
      <c r="AJ124" s="21">
        <v>718.01333333333332</v>
      </c>
      <c r="AK124" s="21">
        <v>14</v>
      </c>
      <c r="AL124" s="22" t="s">
        <v>161</v>
      </c>
      <c r="AM124" s="22">
        <v>0.16</v>
      </c>
      <c r="AO124" s="22" t="s">
        <v>1364</v>
      </c>
      <c r="AP124" s="22" t="s">
        <v>162</v>
      </c>
      <c r="AQ124" s="22" t="str">
        <f>IF(AND($AK124&lt;20,AJ124&lt;10000),"Nanophytoplankton","Microphytoplankton")</f>
        <v>Nanophytoplankton</v>
      </c>
      <c r="AR124" s="22">
        <v>0</v>
      </c>
      <c r="AS124" s="22">
        <v>0</v>
      </c>
      <c r="AT124" s="22">
        <v>0</v>
      </c>
      <c r="AU124" s="22">
        <v>1</v>
      </c>
      <c r="AV124" s="22">
        <v>0</v>
      </c>
      <c r="AW124" s="22">
        <v>0</v>
      </c>
      <c r="AX124" s="22">
        <v>0</v>
      </c>
      <c r="AY124" s="22">
        <v>1</v>
      </c>
      <c r="BF124" s="22">
        <v>0</v>
      </c>
      <c r="BG124" s="22">
        <v>0</v>
      </c>
      <c r="BH124" s="22">
        <f t="shared" si="25"/>
        <v>0.66666666666666652</v>
      </c>
    </row>
    <row r="125" spans="1:60" s="22" customFormat="1" ht="13">
      <c r="A125" s="22" t="s">
        <v>3119</v>
      </c>
      <c r="B125" s="22" t="s">
        <v>663</v>
      </c>
      <c r="C125" s="22" t="s">
        <v>2223</v>
      </c>
      <c r="D125" s="22" t="s">
        <v>2224</v>
      </c>
      <c r="E125" s="23" t="s">
        <v>63</v>
      </c>
      <c r="F125" s="23" t="s">
        <v>2225</v>
      </c>
      <c r="G125" s="23" t="s">
        <v>2226</v>
      </c>
      <c r="H125" s="22" t="s">
        <v>2457</v>
      </c>
      <c r="I125" s="22" t="s">
        <v>55</v>
      </c>
      <c r="J125" s="22" t="s">
        <v>3093</v>
      </c>
      <c r="N125" s="22" t="s">
        <v>3120</v>
      </c>
      <c r="O125" s="22" t="s">
        <v>2229</v>
      </c>
      <c r="P125" s="21">
        <v>87106</v>
      </c>
      <c r="Q125" s="22">
        <v>5</v>
      </c>
      <c r="R125" s="22">
        <v>5</v>
      </c>
      <c r="S125" s="22">
        <v>4</v>
      </c>
      <c r="T125" s="22" t="s">
        <v>246</v>
      </c>
      <c r="U125" s="22">
        <v>1</v>
      </c>
      <c r="V125" s="22">
        <v>1</v>
      </c>
      <c r="W125" s="25">
        <f>4*3.14*(R125/2)*(Q125/2)/V125</f>
        <v>78.5</v>
      </c>
      <c r="X125" s="25">
        <f>(3.14/6*(Q125*S125*R125))*U125</f>
        <v>52.333333333333329</v>
      </c>
      <c r="Y125" s="22">
        <v>4</v>
      </c>
      <c r="Z125" s="24">
        <f>Y125*W125</f>
        <v>314</v>
      </c>
      <c r="AA125" s="24">
        <f>Y125*X125</f>
        <v>209.33333333333331</v>
      </c>
      <c r="AB125" s="22">
        <v>12</v>
      </c>
      <c r="AC125" s="22">
        <v>12</v>
      </c>
      <c r="AD125" s="22">
        <v>4</v>
      </c>
      <c r="AE125" s="22" t="s">
        <v>330</v>
      </c>
      <c r="AF125" s="22">
        <v>0.7</v>
      </c>
      <c r="AG125" s="22">
        <v>0.7</v>
      </c>
      <c r="AH125" s="25">
        <f>(AB125*AC125*2+AB125*AD125*2+AC125*AD125*2)/AG125</f>
        <v>685.71428571428578</v>
      </c>
      <c r="AI125" s="25">
        <f>AB125*AC125*AD125*AF125</f>
        <v>403.2</v>
      </c>
      <c r="AJ125" s="21">
        <v>261.66666666666669</v>
      </c>
      <c r="AK125" s="21">
        <v>12</v>
      </c>
      <c r="AL125" s="22" t="s">
        <v>161</v>
      </c>
      <c r="AM125" s="22">
        <v>0.16</v>
      </c>
      <c r="AO125" s="22" t="s">
        <v>1364</v>
      </c>
      <c r="AP125" s="22" t="s">
        <v>162</v>
      </c>
      <c r="AQ125" s="22" t="str">
        <f>IF(AND($AK125&lt;20,AJ125&lt;10000),"Nanophytoplankton","Microphytoplankton")</f>
        <v>Nanophytoplankton</v>
      </c>
      <c r="AR125" s="22">
        <v>0</v>
      </c>
      <c r="AS125" s="22">
        <v>0</v>
      </c>
      <c r="AT125" s="22">
        <v>0</v>
      </c>
      <c r="AU125" s="22">
        <v>1</v>
      </c>
      <c r="AV125" s="22">
        <v>0</v>
      </c>
      <c r="AW125" s="22">
        <v>0</v>
      </c>
      <c r="AX125" s="22">
        <v>0</v>
      </c>
      <c r="AY125" s="22">
        <v>1</v>
      </c>
      <c r="BF125" s="22">
        <v>0</v>
      </c>
      <c r="BG125" s="22">
        <v>0</v>
      </c>
      <c r="BH125" s="22">
        <f t="shared" si="25"/>
        <v>0.66666666666666663</v>
      </c>
    </row>
    <row r="126" spans="1:60">
      <c r="A126" s="43" t="s">
        <v>3522</v>
      </c>
      <c r="BH126" s="22"/>
    </row>
    <row r="127" spans="1:60">
      <c r="A127" s="43"/>
      <c r="BH127" s="22"/>
    </row>
    <row r="128" spans="1:60">
      <c r="A128" s="45" t="s">
        <v>3528</v>
      </c>
      <c r="Q128" s="22">
        <v>50</v>
      </c>
      <c r="R128" s="22">
        <v>52</v>
      </c>
      <c r="W128">
        <f>4*3.14*((50^1.6*50^1.6+50^1.6*50^1.6+50^1.6*50^1.6)/3)^(1/1.6)</f>
        <v>31400.000000000025</v>
      </c>
      <c r="X128">
        <v>67000</v>
      </c>
      <c r="Y128" s="22">
        <v>1</v>
      </c>
      <c r="AM128" s="22">
        <v>0.13</v>
      </c>
      <c r="AR128" s="22">
        <v>0</v>
      </c>
      <c r="AS128" s="22">
        <v>1</v>
      </c>
      <c r="AT128" s="22">
        <v>0</v>
      </c>
      <c r="AU128" s="22">
        <v>0</v>
      </c>
      <c r="AW128" s="22">
        <v>0</v>
      </c>
      <c r="AX128" s="22">
        <v>1</v>
      </c>
      <c r="AY128" s="22">
        <v>0</v>
      </c>
      <c r="BF128" s="22">
        <v>0</v>
      </c>
      <c r="BG128" s="22">
        <v>0</v>
      </c>
      <c r="BH128" s="22">
        <f t="shared" si="25"/>
        <v>2.1337579617834379</v>
      </c>
    </row>
    <row r="129" spans="1:60">
      <c r="BH129" s="22"/>
    </row>
    <row r="130" spans="1:60" s="22" customFormat="1" ht="13">
      <c r="A130" s="21" t="s">
        <v>845</v>
      </c>
      <c r="B130" s="22" t="s">
        <v>663</v>
      </c>
      <c r="C130" s="23" t="s">
        <v>822</v>
      </c>
      <c r="D130" s="23" t="s">
        <v>823</v>
      </c>
      <c r="E130" s="23" t="s">
        <v>64</v>
      </c>
      <c r="F130" s="23" t="s">
        <v>824</v>
      </c>
      <c r="G130" s="22" t="s">
        <v>835</v>
      </c>
      <c r="H130" s="23" t="s">
        <v>836</v>
      </c>
      <c r="I130" s="22" t="s">
        <v>57</v>
      </c>
      <c r="J130" s="22" t="s">
        <v>846</v>
      </c>
      <c r="N130" s="22" t="s">
        <v>694</v>
      </c>
      <c r="O130" s="21" t="s">
        <v>829</v>
      </c>
      <c r="P130" s="22">
        <v>30105</v>
      </c>
      <c r="Q130" s="22">
        <f>(20+80)/2</f>
        <v>50</v>
      </c>
      <c r="R130" s="22">
        <f>(20+6)/2</f>
        <v>13</v>
      </c>
      <c r="S130" s="22">
        <f>(5+18)/2</f>
        <v>11.5</v>
      </c>
      <c r="T130" s="22" t="s">
        <v>159</v>
      </c>
      <c r="U130" s="21">
        <v>1</v>
      </c>
      <c r="V130" s="22">
        <v>1</v>
      </c>
      <c r="W130" s="24">
        <f>(4*3.14*(((Q130^1.6*R130^1.6+Q130^1.6*S130^1.6+R130^1.6+S130^1.6)/3)^(1/1.6)))*(1/V130)</f>
        <v>5984.7415090968807</v>
      </c>
      <c r="X130" s="24">
        <f>3.14/6*Q130*R130*S130*U130</f>
        <v>3911.9166666666661</v>
      </c>
      <c r="Y130" s="21">
        <v>1</v>
      </c>
      <c r="Z130" s="24">
        <f>Y130*W130</f>
        <v>5984.7415090968807</v>
      </c>
      <c r="AA130" s="24">
        <f>Y130*X130</f>
        <v>3911.9166666666661</v>
      </c>
      <c r="AB130" s="21"/>
      <c r="AC130" s="21"/>
      <c r="AD130" s="21"/>
      <c r="AE130" s="21"/>
      <c r="AF130" s="21" t="s">
        <v>247</v>
      </c>
      <c r="AG130" s="21"/>
      <c r="AH130" s="24"/>
      <c r="AI130" s="24"/>
      <c r="AJ130" s="21">
        <v>3911.9166666666661</v>
      </c>
      <c r="AK130" s="21">
        <v>50</v>
      </c>
      <c r="AL130" s="22" t="s">
        <v>847</v>
      </c>
      <c r="AM130" s="22">
        <v>0.11</v>
      </c>
      <c r="AN130" s="22" t="s">
        <v>713</v>
      </c>
      <c r="AO130" s="22" t="s">
        <v>713</v>
      </c>
      <c r="AP130" s="22" t="s">
        <v>673</v>
      </c>
      <c r="AQ130" s="22" t="str">
        <f>IF(AND($AK130&lt;20,AJ130&lt;10000),"Nanophytoplankton","Microphytoplankton")</f>
        <v>Microphytoplankton</v>
      </c>
      <c r="AR130" s="22">
        <v>1</v>
      </c>
      <c r="AS130" s="22">
        <v>1</v>
      </c>
      <c r="AT130" s="22">
        <v>0</v>
      </c>
      <c r="AU130" s="22">
        <v>0</v>
      </c>
      <c r="AV130" s="22">
        <v>0</v>
      </c>
      <c r="AW130" s="22">
        <v>0</v>
      </c>
      <c r="AX130" s="22">
        <v>1</v>
      </c>
      <c r="AY130" s="22">
        <v>0</v>
      </c>
      <c r="BF130" s="22">
        <v>0</v>
      </c>
      <c r="BG130" s="22">
        <v>0</v>
      </c>
      <c r="BH130" s="22">
        <f t="shared" si="25"/>
        <v>0.65364839245279094</v>
      </c>
    </row>
    <row r="131" spans="1:60" s="22" customFormat="1" ht="13">
      <c r="A131" s="43" t="s">
        <v>3523</v>
      </c>
      <c r="C131" s="23"/>
      <c r="D131" s="23"/>
      <c r="E131" s="23"/>
      <c r="F131" s="23"/>
      <c r="H131" s="23"/>
      <c r="O131" s="21"/>
      <c r="U131" s="21"/>
      <c r="W131" s="24"/>
      <c r="X131" s="24"/>
      <c r="Y131" s="21"/>
      <c r="Z131" s="24"/>
      <c r="AA131" s="24"/>
      <c r="AB131" s="21"/>
      <c r="AC131" s="21"/>
      <c r="AD131" s="21"/>
      <c r="AE131" s="21"/>
      <c r="AF131" s="21"/>
      <c r="AG131" s="21"/>
      <c r="AH131" s="24"/>
      <c r="AI131" s="24"/>
      <c r="AJ131" s="21"/>
      <c r="AK131" s="21"/>
    </row>
    <row r="132" spans="1:60" s="22" customFormat="1" ht="13">
      <c r="A132" s="43" t="s">
        <v>3524</v>
      </c>
      <c r="C132" s="23"/>
      <c r="D132" s="23"/>
      <c r="E132" s="23"/>
      <c r="F132" s="23"/>
      <c r="H132" s="23"/>
      <c r="O132" s="21"/>
      <c r="U132" s="21"/>
      <c r="W132" s="24"/>
      <c r="X132" s="24"/>
      <c r="Y132" s="21"/>
      <c r="Z132" s="24"/>
      <c r="AA132" s="24"/>
      <c r="AB132" s="21"/>
      <c r="AC132" s="21"/>
      <c r="AD132" s="21"/>
      <c r="AE132" s="21"/>
      <c r="AF132" s="21"/>
      <c r="AG132" s="21"/>
      <c r="AH132" s="24"/>
      <c r="AI132" s="24"/>
      <c r="AJ132" s="21"/>
      <c r="AK132" s="21"/>
    </row>
    <row r="133" spans="1:60">
      <c r="A133" s="43"/>
      <c r="BH133" s="22"/>
    </row>
    <row r="134" spans="1:60" s="22" customFormat="1" ht="13">
      <c r="A134" s="21" t="s">
        <v>863</v>
      </c>
      <c r="B134" s="22" t="s">
        <v>663</v>
      </c>
      <c r="C134" s="23" t="s">
        <v>822</v>
      </c>
      <c r="D134" s="23" t="s">
        <v>823</v>
      </c>
      <c r="E134" s="23" t="s">
        <v>64</v>
      </c>
      <c r="F134" s="23" t="s">
        <v>824</v>
      </c>
      <c r="G134" s="22" t="s">
        <v>825</v>
      </c>
      <c r="H134" s="22" t="s">
        <v>856</v>
      </c>
      <c r="I134" s="22" t="s">
        <v>861</v>
      </c>
      <c r="J134" s="22" t="s">
        <v>864</v>
      </c>
      <c r="N134" s="22" t="s">
        <v>865</v>
      </c>
      <c r="O134" s="21" t="s">
        <v>829</v>
      </c>
      <c r="P134" s="21">
        <v>30222</v>
      </c>
      <c r="Q134" s="22">
        <v>14</v>
      </c>
      <c r="R134" s="22">
        <v>10</v>
      </c>
      <c r="S134" s="22">
        <v>8</v>
      </c>
      <c r="T134" s="22" t="s">
        <v>281</v>
      </c>
      <c r="U134" s="21">
        <v>1</v>
      </c>
      <c r="V134" s="22">
        <v>1</v>
      </c>
      <c r="W134" s="24">
        <f>(4*3.14*(((Q134^1.6*R134^1.6+Q134^1.6*S134^1.6+R134^1.6+S134^1.6)/3)^(1/1.6)))*(1/V134)</f>
        <v>1244.1098047866894</v>
      </c>
      <c r="X134" s="24">
        <f>3.14/6*Q134*R134*S134*U134</f>
        <v>586.13333333333333</v>
      </c>
      <c r="Y134" s="21">
        <v>1</v>
      </c>
      <c r="Z134" s="24">
        <f>Y134*W134</f>
        <v>1244.1098047866894</v>
      </c>
      <c r="AA134" s="24">
        <f>Y134*X134</f>
        <v>586.13333333333333</v>
      </c>
      <c r="AB134" s="21"/>
      <c r="AC134" s="21"/>
      <c r="AD134" s="21"/>
      <c r="AE134" s="21"/>
      <c r="AF134" s="21" t="s">
        <v>247</v>
      </c>
      <c r="AG134" s="21"/>
      <c r="AH134" s="24"/>
      <c r="AI134" s="24"/>
      <c r="AJ134" s="21">
        <v>527.79999999999995</v>
      </c>
      <c r="AK134" s="21">
        <v>14</v>
      </c>
      <c r="AL134" s="22" t="s">
        <v>161</v>
      </c>
      <c r="AM134" s="22">
        <v>0.11</v>
      </c>
      <c r="AO134" s="22" t="s">
        <v>830</v>
      </c>
      <c r="AP134" s="22" t="s">
        <v>673</v>
      </c>
      <c r="AQ134" s="22" t="str">
        <f>IF(AND($AK134&lt;20,AJ134&lt;10000),"Nanophytoplankton","Microphytoplankton")</f>
        <v>Nanophytoplankton</v>
      </c>
      <c r="AR134" s="22">
        <v>1</v>
      </c>
      <c r="AS134" s="22">
        <v>1</v>
      </c>
      <c r="AT134" s="22">
        <v>0</v>
      </c>
      <c r="AU134" s="22">
        <v>0</v>
      </c>
      <c r="AV134" s="22">
        <v>0</v>
      </c>
      <c r="AW134" s="22">
        <v>0</v>
      </c>
      <c r="AX134" s="22">
        <v>1</v>
      </c>
      <c r="AY134" s="22">
        <v>0</v>
      </c>
      <c r="BF134" s="22">
        <v>0</v>
      </c>
      <c r="BG134" s="22">
        <v>0</v>
      </c>
      <c r="BH134" s="22">
        <f>X134/W134</f>
        <v>0.47112668920234868</v>
      </c>
    </row>
    <row r="135" spans="1:60" s="22" customFormat="1" ht="13">
      <c r="A135" s="21" t="s">
        <v>855</v>
      </c>
      <c r="B135" s="22" t="s">
        <v>663</v>
      </c>
      <c r="C135" s="23" t="s">
        <v>822</v>
      </c>
      <c r="D135" s="23" t="s">
        <v>823</v>
      </c>
      <c r="E135" s="23" t="s">
        <v>64</v>
      </c>
      <c r="F135" s="23" t="s">
        <v>824</v>
      </c>
      <c r="G135" s="22" t="s">
        <v>825</v>
      </c>
      <c r="H135" s="22" t="s">
        <v>856</v>
      </c>
      <c r="I135" s="22" t="s">
        <v>58</v>
      </c>
      <c r="J135" s="22" t="s">
        <v>586</v>
      </c>
      <c r="N135" s="22" t="s">
        <v>157</v>
      </c>
      <c r="O135" s="21" t="s">
        <v>829</v>
      </c>
      <c r="P135" s="21">
        <v>30210</v>
      </c>
      <c r="Q135" s="22">
        <v>14</v>
      </c>
      <c r="R135" s="22">
        <v>10</v>
      </c>
      <c r="S135" s="22">
        <v>8</v>
      </c>
      <c r="T135" s="22" t="s">
        <v>281</v>
      </c>
      <c r="U135" s="21">
        <v>1</v>
      </c>
      <c r="V135" s="22">
        <v>1</v>
      </c>
      <c r="W135" s="24">
        <f>(4*3.14*(((Q135^1.6*R135^1.6+Q135^1.6*S135^1.6+R135^1.6+S135^1.6)/3)^(1/1.6)))*(1/V135)</f>
        <v>1244.1098047866894</v>
      </c>
      <c r="X135" s="24">
        <f>3.14/6*Q135*R135*S135*U135</f>
        <v>586.13333333333333</v>
      </c>
      <c r="Y135" s="21">
        <v>1</v>
      </c>
      <c r="Z135" s="24">
        <f>Y135*W135</f>
        <v>1244.1098047866894</v>
      </c>
      <c r="AA135" s="24">
        <f>Y135*X135</f>
        <v>586.13333333333333</v>
      </c>
      <c r="AB135" s="21"/>
      <c r="AC135" s="21"/>
      <c r="AD135" s="21"/>
      <c r="AE135" s="21"/>
      <c r="AF135" s="21" t="s">
        <v>247</v>
      </c>
      <c r="AG135" s="21"/>
      <c r="AH135" s="24"/>
      <c r="AI135" s="24"/>
      <c r="AJ135" s="21">
        <v>527.79999999999995</v>
      </c>
      <c r="AK135" s="21">
        <v>14</v>
      </c>
      <c r="AL135" s="22" t="s">
        <v>161</v>
      </c>
      <c r="AM135" s="22">
        <v>0.11</v>
      </c>
      <c r="AO135" s="22" t="s">
        <v>830</v>
      </c>
      <c r="AP135" s="22" t="s">
        <v>673</v>
      </c>
      <c r="AQ135" s="22" t="str">
        <f>IF(AND($AK135&lt;20,AJ135&lt;10000),"Nanophytoplankton","Microphytoplankton")</f>
        <v>Nanophytoplankton</v>
      </c>
      <c r="AR135" s="22">
        <v>1</v>
      </c>
      <c r="AS135" s="22">
        <v>1</v>
      </c>
      <c r="AT135" s="22">
        <v>0</v>
      </c>
      <c r="AU135" s="22">
        <v>0</v>
      </c>
      <c r="AV135" s="22">
        <v>0</v>
      </c>
      <c r="AW135" s="22">
        <v>0</v>
      </c>
      <c r="AX135" s="22">
        <v>1</v>
      </c>
      <c r="AY135" s="22">
        <v>0</v>
      </c>
      <c r="BF135" s="22">
        <v>0</v>
      </c>
      <c r="BG135" s="22">
        <v>0</v>
      </c>
      <c r="BH135" s="22">
        <f>X135/W135</f>
        <v>0.47112668920234868</v>
      </c>
    </row>
    <row r="136" spans="1:60" s="22" customFormat="1" ht="13">
      <c r="A136" s="21" t="s">
        <v>857</v>
      </c>
      <c r="B136" s="22" t="s">
        <v>663</v>
      </c>
      <c r="C136" s="23" t="s">
        <v>822</v>
      </c>
      <c r="D136" s="23" t="s">
        <v>823</v>
      </c>
      <c r="E136" s="23" t="s">
        <v>64</v>
      </c>
      <c r="F136" s="23" t="s">
        <v>824</v>
      </c>
      <c r="G136" s="22" t="s">
        <v>825</v>
      </c>
      <c r="H136" s="22" t="s">
        <v>856</v>
      </c>
      <c r="I136" s="22" t="s">
        <v>58</v>
      </c>
      <c r="J136" s="22" t="s">
        <v>586</v>
      </c>
      <c r="K136" s="22" t="s">
        <v>175</v>
      </c>
      <c r="L136" s="22" t="s">
        <v>858</v>
      </c>
      <c r="N136" s="22" t="s">
        <v>859</v>
      </c>
      <c r="O136" s="21" t="s">
        <v>829</v>
      </c>
      <c r="P136" s="21">
        <v>30220</v>
      </c>
      <c r="Q136" s="22">
        <v>9</v>
      </c>
      <c r="R136" s="22">
        <v>4.7</v>
      </c>
      <c r="S136" s="22">
        <v>4</v>
      </c>
      <c r="T136" s="22" t="s">
        <v>281</v>
      </c>
      <c r="U136" s="21">
        <v>1</v>
      </c>
      <c r="V136" s="22">
        <v>1</v>
      </c>
      <c r="W136" s="24">
        <f>(4*3.14*(((Q136^1.6*R136^1.6+Q136^1.6*S136^1.6+R136^1.6+S136^1.6)/3)^(1/1.6)))*(1/V136)</f>
        <v>389.45670447278138</v>
      </c>
      <c r="X136" s="24">
        <f>3.14/6*Q136*R136*S136*U136</f>
        <v>88.548000000000002</v>
      </c>
      <c r="Y136" s="21">
        <v>1</v>
      </c>
      <c r="Z136" s="24">
        <f>Y136*W136</f>
        <v>389.45670447278138</v>
      </c>
      <c r="AA136" s="24">
        <f>Y136*X136</f>
        <v>88.548000000000002</v>
      </c>
      <c r="AB136" s="21"/>
      <c r="AC136" s="21"/>
      <c r="AD136" s="21"/>
      <c r="AE136" s="21"/>
      <c r="AF136" s="21" t="s">
        <v>247</v>
      </c>
      <c r="AG136" s="21"/>
      <c r="AH136" s="24"/>
      <c r="AI136" s="24"/>
      <c r="AJ136" s="21">
        <v>70.900000000000006</v>
      </c>
      <c r="AK136" s="21">
        <v>9</v>
      </c>
      <c r="AL136" s="22" t="s">
        <v>161</v>
      </c>
      <c r="AM136" s="22">
        <v>0.11</v>
      </c>
      <c r="AO136" s="22" t="s">
        <v>830</v>
      </c>
      <c r="AP136" s="22" t="s">
        <v>626</v>
      </c>
      <c r="AQ136" s="22" t="str">
        <f>IF(AND($AK136&lt;20,AJ136&lt;10000),"Nanophytoplankton","Microphytoplankton")</f>
        <v>Nanophytoplankton</v>
      </c>
      <c r="AR136" s="22">
        <v>1</v>
      </c>
      <c r="AS136" s="22">
        <v>1</v>
      </c>
      <c r="AT136" s="22">
        <v>0</v>
      </c>
      <c r="AU136" s="22">
        <v>0</v>
      </c>
      <c r="AV136" s="22">
        <v>0</v>
      </c>
      <c r="AW136" s="22">
        <v>0</v>
      </c>
      <c r="AX136" s="22">
        <v>1</v>
      </c>
      <c r="AY136" s="22">
        <v>0</v>
      </c>
      <c r="BF136" s="22">
        <v>0</v>
      </c>
      <c r="BG136" s="22">
        <v>0</v>
      </c>
      <c r="BH136" s="22">
        <f>X136/W136</f>
        <v>0.22736288522717807</v>
      </c>
    </row>
    <row r="137" spans="1:60" s="22" customFormat="1" ht="13">
      <c r="A137" s="21" t="s">
        <v>860</v>
      </c>
      <c r="B137" s="22" t="s">
        <v>663</v>
      </c>
      <c r="C137" s="23" t="s">
        <v>822</v>
      </c>
      <c r="D137" s="23" t="s">
        <v>823</v>
      </c>
      <c r="E137" s="23" t="s">
        <v>64</v>
      </c>
      <c r="F137" s="23" t="s">
        <v>824</v>
      </c>
      <c r="G137" s="22" t="s">
        <v>825</v>
      </c>
      <c r="H137" s="22" t="s">
        <v>856</v>
      </c>
      <c r="I137" s="22" t="s">
        <v>861</v>
      </c>
      <c r="J137" s="22" t="s">
        <v>586</v>
      </c>
      <c r="K137" s="22" t="s">
        <v>175</v>
      </c>
      <c r="L137" s="22" t="s">
        <v>858</v>
      </c>
      <c r="N137" s="22" t="s">
        <v>862</v>
      </c>
      <c r="O137" s="21" t="s">
        <v>829</v>
      </c>
      <c r="P137" s="21">
        <v>30221</v>
      </c>
      <c r="Q137" s="22">
        <v>9</v>
      </c>
      <c r="R137" s="22">
        <v>4.7</v>
      </c>
      <c r="S137" s="22">
        <v>4</v>
      </c>
      <c r="T137" s="22" t="s">
        <v>281</v>
      </c>
      <c r="U137" s="21">
        <v>1</v>
      </c>
      <c r="V137" s="22">
        <v>1</v>
      </c>
      <c r="W137" s="24">
        <f>(4*3.14*(((Q137^1.6*R137^1.6+Q137^1.6*S137^1.6+R137^1.6+S137^1.6)/3)^(1/1.6)))*(1/V137)</f>
        <v>389.45670447278138</v>
      </c>
      <c r="X137" s="24">
        <f>3.14/6*Q137*R137*S137*U137</f>
        <v>88.548000000000002</v>
      </c>
      <c r="Y137" s="21">
        <v>1</v>
      </c>
      <c r="Z137" s="24">
        <f>Y137*W137</f>
        <v>389.45670447278138</v>
      </c>
      <c r="AA137" s="24">
        <f>Y137*X137</f>
        <v>88.548000000000002</v>
      </c>
      <c r="AB137" s="21"/>
      <c r="AC137" s="21"/>
      <c r="AD137" s="21"/>
      <c r="AE137" s="21"/>
      <c r="AF137" s="21" t="s">
        <v>247</v>
      </c>
      <c r="AG137" s="21"/>
      <c r="AH137" s="24"/>
      <c r="AI137" s="24"/>
      <c r="AJ137" s="21">
        <v>70.900000000000006</v>
      </c>
      <c r="AK137" s="21">
        <v>9</v>
      </c>
      <c r="AL137" s="22" t="s">
        <v>161</v>
      </c>
      <c r="AM137" s="22">
        <v>0.11</v>
      </c>
      <c r="AO137" s="22" t="s">
        <v>830</v>
      </c>
      <c r="AP137" s="22" t="s">
        <v>626</v>
      </c>
      <c r="AQ137" s="22" t="str">
        <f>IF(AND($AK137&lt;20,AJ137&lt;10000),"Nanophytoplankton","Microphytoplankton")</f>
        <v>Nanophytoplankton</v>
      </c>
      <c r="AR137" s="22">
        <v>1</v>
      </c>
      <c r="AS137" s="22">
        <v>1</v>
      </c>
      <c r="AT137" s="22">
        <v>0</v>
      </c>
      <c r="AU137" s="22">
        <v>0</v>
      </c>
      <c r="AV137" s="22">
        <v>0</v>
      </c>
      <c r="AW137" s="22">
        <v>0</v>
      </c>
      <c r="AX137" s="22">
        <v>1</v>
      </c>
      <c r="AY137" s="22">
        <v>0</v>
      </c>
      <c r="BF137" s="22">
        <v>0</v>
      </c>
      <c r="BG137" s="22">
        <v>0</v>
      </c>
      <c r="BH137" s="22">
        <f>X137/W137</f>
        <v>0.22736288522717807</v>
      </c>
    </row>
    <row r="138" spans="1:60">
      <c r="A138" s="43" t="s">
        <v>3531</v>
      </c>
      <c r="Q138" s="47">
        <v>115</v>
      </c>
      <c r="R138" s="47">
        <v>2.4</v>
      </c>
      <c r="T138" s="22" t="s">
        <v>160</v>
      </c>
      <c r="W138" s="22">
        <f>3.14*2.4*115+2*3.14*(2.4/2)</f>
        <v>874.17599999999993</v>
      </c>
      <c r="X138" s="25">
        <f>3.14/4*2.4^2*115</f>
        <v>519.98400000000004</v>
      </c>
      <c r="Y138" s="21">
        <v>1</v>
      </c>
      <c r="AM138" s="48">
        <v>0.22</v>
      </c>
      <c r="AR138" s="22">
        <v>0</v>
      </c>
      <c r="AS138" s="22">
        <v>0</v>
      </c>
      <c r="AT138" s="22">
        <v>0</v>
      </c>
      <c r="AW138" s="22">
        <v>0</v>
      </c>
      <c r="AX138" s="22">
        <v>0</v>
      </c>
      <c r="AY138" s="22">
        <v>1</v>
      </c>
      <c r="BF138" s="22">
        <v>0</v>
      </c>
      <c r="BG138" s="22">
        <v>0</v>
      </c>
      <c r="BH138" s="22">
        <f>X138/W138</f>
        <v>0.59482758620689669</v>
      </c>
    </row>
    <row r="139" spans="1:60">
      <c r="A139" s="43"/>
      <c r="BH139" s="22"/>
    </row>
    <row r="140" spans="1:60" s="22" customFormat="1" ht="13">
      <c r="A140" s="21" t="s">
        <v>3336</v>
      </c>
      <c r="B140" s="22" t="s">
        <v>663</v>
      </c>
      <c r="C140" s="23" t="s">
        <v>2223</v>
      </c>
      <c r="D140" s="22" t="s">
        <v>3188</v>
      </c>
      <c r="E140" s="23" t="s">
        <v>3189</v>
      </c>
      <c r="F140" s="23" t="s">
        <v>3190</v>
      </c>
      <c r="G140" s="23" t="s">
        <v>3191</v>
      </c>
      <c r="H140" s="23" t="s">
        <v>3192</v>
      </c>
      <c r="I140" s="22" t="s">
        <v>3253</v>
      </c>
      <c r="J140" s="21" t="s">
        <v>1175</v>
      </c>
      <c r="K140" s="21"/>
      <c r="L140" s="21"/>
      <c r="M140" s="22" t="s">
        <v>1</v>
      </c>
      <c r="N140" s="22" t="s">
        <v>3337</v>
      </c>
      <c r="O140" s="22" t="s">
        <v>3196</v>
      </c>
      <c r="P140" s="21">
        <v>90421</v>
      </c>
      <c r="Q140" s="21">
        <v>47</v>
      </c>
      <c r="R140" s="21">
        <v>34</v>
      </c>
      <c r="S140" s="21">
        <v>17</v>
      </c>
      <c r="T140" s="21" t="s">
        <v>281</v>
      </c>
      <c r="U140" s="21">
        <v>1</v>
      </c>
      <c r="V140" s="21">
        <v>1</v>
      </c>
      <c r="W140" s="24">
        <f t="shared" ref="W140:W141" si="38">(4*3.14*(((Q140^1.6*R140^1.6+Q140^1.6*S140^1.6+R140^1.6+S140^1.6)/3)^(1/1.6)))*(1/V140)</f>
        <v>12087.052131335844</v>
      </c>
      <c r="X140" s="24">
        <f t="shared" ref="X140:X141" si="39">3.14/6*Q140*R140*S140*U140</f>
        <v>14216.873333333335</v>
      </c>
      <c r="Y140" s="21">
        <v>1</v>
      </c>
      <c r="Z140" s="24">
        <f t="shared" ref="Z140:Z141" si="40">Y140*W140</f>
        <v>12087.052131335844</v>
      </c>
      <c r="AA140" s="24">
        <f t="shared" ref="AA140:AA141" si="41">Y140*X140</f>
        <v>14216.873333333335</v>
      </c>
      <c r="AB140" s="21"/>
      <c r="AC140" s="21"/>
      <c r="AD140" s="21"/>
      <c r="AE140" s="21"/>
      <c r="AF140" s="21"/>
      <c r="AG140" s="21"/>
      <c r="AH140" s="24"/>
      <c r="AI140" s="24"/>
      <c r="AJ140" s="21">
        <v>14224.1</v>
      </c>
      <c r="AK140" s="21">
        <v>47</v>
      </c>
      <c r="AL140" s="22" t="s">
        <v>161</v>
      </c>
      <c r="AM140" s="22">
        <v>0.11</v>
      </c>
      <c r="AN140" s="22" t="s">
        <v>2206</v>
      </c>
      <c r="AO140" s="22" t="s">
        <v>2206</v>
      </c>
      <c r="AP140" s="22" t="s">
        <v>162</v>
      </c>
      <c r="AQ140" s="22" t="str">
        <f t="shared" ref="AQ140:AQ141" si="42">IF(AND($AK140&lt;20,AJ140&lt;10000),"Nanophytoplankton","Microphytoplankton")</f>
        <v>Microphytoplankton</v>
      </c>
      <c r="AR140" s="22">
        <v>0</v>
      </c>
      <c r="AS140" s="22">
        <v>0</v>
      </c>
      <c r="AT140" s="22">
        <v>0</v>
      </c>
      <c r="AU140" s="22">
        <v>0</v>
      </c>
      <c r="AV140" s="22">
        <v>0</v>
      </c>
      <c r="AW140" s="22">
        <v>0</v>
      </c>
      <c r="AX140" s="22">
        <v>0</v>
      </c>
      <c r="AY140" s="22">
        <v>1</v>
      </c>
      <c r="BH140" s="22">
        <f t="shared" ref="BH140:BH143" si="43">X140/W140</f>
        <v>1.1762068351203601</v>
      </c>
    </row>
    <row r="141" spans="1:60" s="22" customFormat="1" ht="13">
      <c r="A141" s="21" t="s">
        <v>3335</v>
      </c>
      <c r="B141" s="22" t="s">
        <v>663</v>
      </c>
      <c r="C141" s="23" t="s">
        <v>2223</v>
      </c>
      <c r="D141" s="22" t="s">
        <v>3188</v>
      </c>
      <c r="E141" s="23" t="s">
        <v>3189</v>
      </c>
      <c r="F141" s="23" t="s">
        <v>3190</v>
      </c>
      <c r="G141" s="23" t="s">
        <v>3191</v>
      </c>
      <c r="H141" s="23" t="s">
        <v>3192</v>
      </c>
      <c r="I141" s="22" t="s">
        <v>3253</v>
      </c>
      <c r="J141" s="21" t="s">
        <v>211</v>
      </c>
      <c r="K141" s="21"/>
      <c r="L141" s="21"/>
      <c r="M141" s="22" t="s">
        <v>1</v>
      </c>
      <c r="N141" s="22" t="s">
        <v>2260</v>
      </c>
      <c r="O141" s="22" t="s">
        <v>3196</v>
      </c>
      <c r="P141" s="21">
        <v>90400</v>
      </c>
      <c r="Q141" s="21">
        <v>40</v>
      </c>
      <c r="R141" s="21">
        <v>40</v>
      </c>
      <c r="S141" s="21">
        <v>12</v>
      </c>
      <c r="T141" s="21" t="s">
        <v>281</v>
      </c>
      <c r="U141" s="21">
        <v>0.7</v>
      </c>
      <c r="V141" s="21">
        <v>0.7</v>
      </c>
      <c r="W141" s="24">
        <f t="shared" si="38"/>
        <v>15756.720681234388</v>
      </c>
      <c r="X141" s="24">
        <f t="shared" si="39"/>
        <v>7033.5999999999995</v>
      </c>
      <c r="Y141" s="21">
        <v>1</v>
      </c>
      <c r="Z141" s="24">
        <f t="shared" si="40"/>
        <v>15756.720681234388</v>
      </c>
      <c r="AA141" s="24">
        <f t="shared" si="41"/>
        <v>7033.5999999999995</v>
      </c>
      <c r="AB141" s="21"/>
      <c r="AC141" s="21"/>
      <c r="AD141" s="21"/>
      <c r="AE141" s="21"/>
      <c r="AF141" s="21"/>
      <c r="AG141" s="21"/>
      <c r="AH141" s="24"/>
      <c r="AI141" s="24"/>
      <c r="AJ141" s="21">
        <v>7037.2</v>
      </c>
      <c r="AK141" s="21">
        <v>40</v>
      </c>
      <c r="AL141" s="22" t="s">
        <v>161</v>
      </c>
      <c r="AM141" s="22">
        <v>0.11</v>
      </c>
      <c r="AN141" s="22" t="s">
        <v>2206</v>
      </c>
      <c r="AO141" s="22" t="s">
        <v>2206</v>
      </c>
      <c r="AP141" s="22" t="s">
        <v>162</v>
      </c>
      <c r="AQ141" s="22" t="str">
        <f t="shared" si="42"/>
        <v>Microphytoplankton</v>
      </c>
      <c r="AR141" s="22">
        <v>0</v>
      </c>
      <c r="AS141" s="22">
        <v>0</v>
      </c>
      <c r="AT141" s="22">
        <v>0</v>
      </c>
      <c r="AU141" s="22">
        <v>0</v>
      </c>
      <c r="AV141" s="22">
        <v>0</v>
      </c>
      <c r="AW141" s="22">
        <v>0</v>
      </c>
      <c r="AX141" s="22">
        <v>0</v>
      </c>
      <c r="AY141" s="22">
        <v>1</v>
      </c>
      <c r="BH141" s="22">
        <f t="shared" si="43"/>
        <v>0.44638729988891218</v>
      </c>
    </row>
    <row r="142" spans="1:60" s="22" customFormat="1" ht="13">
      <c r="A142" s="21" t="s">
        <v>3271</v>
      </c>
      <c r="B142" s="22" t="s">
        <v>663</v>
      </c>
      <c r="C142" s="23" t="s">
        <v>2223</v>
      </c>
      <c r="D142" s="22" t="s">
        <v>3188</v>
      </c>
      <c r="E142" s="23" t="s">
        <v>3189</v>
      </c>
      <c r="F142" s="23" t="s">
        <v>3190</v>
      </c>
      <c r="G142" s="23" t="s">
        <v>3191</v>
      </c>
      <c r="H142" s="23" t="s">
        <v>3192</v>
      </c>
      <c r="I142" s="22" t="s">
        <v>3253</v>
      </c>
      <c r="J142" s="21" t="s">
        <v>3272</v>
      </c>
      <c r="K142" s="21"/>
      <c r="L142" s="21"/>
      <c r="N142" s="22" t="s">
        <v>3273</v>
      </c>
      <c r="O142" s="22" t="s">
        <v>3196</v>
      </c>
      <c r="P142" s="21">
        <v>90420</v>
      </c>
      <c r="Q142" s="21">
        <v>45</v>
      </c>
      <c r="R142" s="21">
        <v>33</v>
      </c>
      <c r="S142" s="21">
        <v>16</v>
      </c>
      <c r="T142" s="21" t="s">
        <v>281</v>
      </c>
      <c r="U142" s="21">
        <v>1</v>
      </c>
      <c r="V142" s="21">
        <v>1</v>
      </c>
      <c r="W142" s="24">
        <f t="shared" ref="W142:W143" si="44">(4*3.14*(((Q142^1.6*R142^1.6+Q142^1.6*S142^1.6+R142^1.6+S142^1.6)/3)^(1/1.6)))*(1/V142)</f>
        <v>11149.546378231671</v>
      </c>
      <c r="X142" s="24">
        <f t="shared" ref="X142:X143" si="45">3.14/6*Q142*R142*S142*U142</f>
        <v>12434.4</v>
      </c>
      <c r="Y142" s="21">
        <v>1</v>
      </c>
      <c r="Z142" s="24">
        <f t="shared" ref="Z142:Z143" si="46">Y142*W142</f>
        <v>11149.546378231671</v>
      </c>
      <c r="AA142" s="24">
        <f t="shared" ref="AA142:AA143" si="47">Y142*X142</f>
        <v>12434.4</v>
      </c>
      <c r="AB142" s="21"/>
      <c r="AC142" s="21"/>
      <c r="AD142" s="21"/>
      <c r="AE142" s="21"/>
      <c r="AF142" s="21"/>
      <c r="AG142" s="21"/>
      <c r="AH142" s="24"/>
      <c r="AI142" s="24"/>
      <c r="AJ142" s="21">
        <v>12440.7</v>
      </c>
      <c r="AK142" s="21">
        <v>45</v>
      </c>
      <c r="AL142" s="22" t="s">
        <v>161</v>
      </c>
      <c r="AM142" s="22">
        <v>0.11</v>
      </c>
      <c r="AN142" s="22" t="s">
        <v>2206</v>
      </c>
      <c r="AO142" s="22" t="s">
        <v>2206</v>
      </c>
      <c r="AP142" s="22" t="s">
        <v>162</v>
      </c>
      <c r="AQ142" s="22" t="str">
        <f t="shared" ref="AQ142:AQ143" si="48">IF(AND($AK142&lt;20,AJ142&lt;10000),"Nanophytoplankton","Microphytoplankton")</f>
        <v>Microphytoplankton</v>
      </c>
      <c r="AR142" s="22">
        <v>0</v>
      </c>
      <c r="AS142" s="22">
        <v>0</v>
      </c>
      <c r="AT142" s="22">
        <v>0</v>
      </c>
      <c r="AU142" s="22">
        <v>0</v>
      </c>
      <c r="AV142" s="22">
        <v>0</v>
      </c>
      <c r="AW142" s="22">
        <v>0</v>
      </c>
      <c r="AX142" s="22">
        <v>0</v>
      </c>
      <c r="AY142" s="22">
        <v>1</v>
      </c>
      <c r="BH142" s="22">
        <f t="shared" si="43"/>
        <v>1.1152381969796432</v>
      </c>
    </row>
    <row r="143" spans="1:60" s="22" customFormat="1" ht="13">
      <c r="A143" s="21" t="s">
        <v>3277</v>
      </c>
      <c r="B143" s="22" t="s">
        <v>663</v>
      </c>
      <c r="C143" s="23" t="s">
        <v>2223</v>
      </c>
      <c r="D143" s="22" t="s">
        <v>3188</v>
      </c>
      <c r="E143" s="23" t="s">
        <v>3189</v>
      </c>
      <c r="F143" s="23" t="s">
        <v>3190</v>
      </c>
      <c r="G143" s="23" t="s">
        <v>3191</v>
      </c>
      <c r="H143" s="23" t="s">
        <v>3192</v>
      </c>
      <c r="I143" s="22" t="s">
        <v>3253</v>
      </c>
      <c r="J143" s="21" t="s">
        <v>3278</v>
      </c>
      <c r="K143" s="21"/>
      <c r="L143" s="21"/>
      <c r="N143" s="22" t="s">
        <v>182</v>
      </c>
      <c r="O143" s="22" t="s">
        <v>3196</v>
      </c>
      <c r="P143" s="21">
        <v>90480</v>
      </c>
      <c r="Q143" s="21">
        <v>25</v>
      </c>
      <c r="R143" s="21">
        <v>17</v>
      </c>
      <c r="S143" s="21">
        <v>10</v>
      </c>
      <c r="T143" s="21" t="s">
        <v>281</v>
      </c>
      <c r="U143" s="21">
        <v>1</v>
      </c>
      <c r="V143" s="21">
        <v>1</v>
      </c>
      <c r="W143" s="24">
        <f t="shared" si="44"/>
        <v>3368.3860338127256</v>
      </c>
      <c r="X143" s="24">
        <f t="shared" si="45"/>
        <v>2224.1666666666665</v>
      </c>
      <c r="Y143" s="21">
        <v>1</v>
      </c>
      <c r="Z143" s="24">
        <f t="shared" si="46"/>
        <v>3368.3860338127256</v>
      </c>
      <c r="AA143" s="24">
        <f t="shared" si="47"/>
        <v>2224.1666666666665</v>
      </c>
      <c r="AB143" s="21"/>
      <c r="AC143" s="21"/>
      <c r="AD143" s="21"/>
      <c r="AE143" s="21"/>
      <c r="AF143" s="21"/>
      <c r="AG143" s="21"/>
      <c r="AH143" s="24"/>
      <c r="AI143" s="24"/>
      <c r="AJ143" s="21">
        <v>2225.3000000000002</v>
      </c>
      <c r="AK143" s="21">
        <v>25</v>
      </c>
      <c r="AL143" s="22" t="s">
        <v>161</v>
      </c>
      <c r="AM143" s="22">
        <v>0.11</v>
      </c>
      <c r="AN143" s="22" t="s">
        <v>2206</v>
      </c>
      <c r="AO143" s="22" t="s">
        <v>2206</v>
      </c>
      <c r="AP143" s="22" t="s">
        <v>162</v>
      </c>
      <c r="AQ143" s="22" t="str">
        <f t="shared" si="48"/>
        <v>Microphytoplankton</v>
      </c>
      <c r="AR143" s="22">
        <v>0</v>
      </c>
      <c r="AS143" s="22">
        <v>0</v>
      </c>
      <c r="AT143" s="22">
        <v>0</v>
      </c>
      <c r="AU143" s="22">
        <v>0</v>
      </c>
      <c r="AV143" s="22">
        <v>0</v>
      </c>
      <c r="AW143" s="22">
        <v>0</v>
      </c>
      <c r="AX143" s="22">
        <v>0</v>
      </c>
      <c r="AY143" s="22">
        <v>1</v>
      </c>
      <c r="BH143" s="22">
        <f t="shared" si="43"/>
        <v>0.66030634385130127</v>
      </c>
    </row>
    <row r="144" spans="1:60">
      <c r="A144" s="43" t="s">
        <v>3891</v>
      </c>
      <c r="BH144" s="2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kin_trait</vt:lpstr>
      <vt:lpstr>wind_trait</vt:lpstr>
      <vt:lpstr>kin_streamlined</vt:lpstr>
      <vt:lpstr>wind_streamlined</vt:lpstr>
      <vt:lpstr>mad_streamlined</vt:lpstr>
      <vt:lpstr>LZ_streamlined</vt:lpstr>
      <vt:lpstr>UZ_streamlined</vt:lpstr>
      <vt:lpstr>remet</vt:lpstr>
      <vt:lpstr>remet-kin</vt:lpstr>
      <vt:lpstr>remet-wind</vt:lpstr>
      <vt:lpstr>remet-mad</vt:lpstr>
      <vt:lpstr>remet-LZ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2021-04-16T11:45:59Z</dcterms:created>
  <dcterms:modified xsi:type="dcterms:W3CDTF">2021-07-26T10:40:12Z</dcterms:modified>
</cp:coreProperties>
</file>