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ndung90\Dropbox\_Technical In-progress\TAMU Courses\Course Material\MEEN 646 Aerothermodynamic of Turbomachinery\Final Proj\_MEEN-646-2016_Final Project\2.Codes\Compressor Design\"/>
    </mc:Choice>
  </mc:AlternateContent>
  <bookViews>
    <workbookView xWindow="0" yWindow="0" windowWidth="19170" windowHeight="6030" activeTab="3"/>
  </bookViews>
  <sheets>
    <sheet name="Comp LP Design" sheetId="3" r:id="rId1"/>
    <sheet name="Comp IP Design" sheetId="5" r:id="rId2"/>
    <sheet name="Comp HP Design" sheetId="6" r:id="rId3"/>
    <sheet name="Comp Design Parameters" sheetId="7" r:id="rId4"/>
    <sheet name="Radial_Dimensions" sheetId="8" state="hidden" r:id="rId5"/>
    <sheet name="For blade twisting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7" l="1"/>
  <c r="B40" i="8" l="1"/>
  <c r="C40" i="8" l="1"/>
  <c r="C41" i="8" s="1"/>
  <c r="D40" i="8"/>
  <c r="D41" i="8" s="1"/>
  <c r="E40" i="8"/>
  <c r="E41" i="8" s="1"/>
  <c r="F40" i="8"/>
  <c r="F41" i="8" s="1"/>
  <c r="G40" i="8"/>
  <c r="G41" i="8" s="1"/>
  <c r="H40" i="8"/>
  <c r="H41" i="8" s="1"/>
  <c r="I40" i="8"/>
  <c r="I41" i="8" s="1"/>
  <c r="J40" i="8"/>
  <c r="J41" i="8" s="1"/>
  <c r="K40" i="8"/>
  <c r="K41" i="8" s="1"/>
  <c r="L40" i="8"/>
  <c r="L41" i="8" s="1"/>
  <c r="M40" i="8"/>
  <c r="M41" i="8" s="1"/>
  <c r="N40" i="8"/>
  <c r="N41" i="8" s="1"/>
  <c r="O40" i="8"/>
  <c r="O41" i="8" s="1"/>
  <c r="P40" i="8"/>
  <c r="P41" i="8" s="1"/>
  <c r="Q40" i="8"/>
  <c r="Q41" i="8" s="1"/>
  <c r="R40" i="8"/>
  <c r="R41" i="8" s="1"/>
  <c r="S40" i="8"/>
  <c r="S41" i="8" s="1"/>
  <c r="T40" i="8"/>
  <c r="T41" i="8" s="1"/>
  <c r="U40" i="8"/>
  <c r="U41" i="8" s="1"/>
  <c r="V40" i="8"/>
  <c r="V41" i="8" s="1"/>
  <c r="W40" i="8"/>
  <c r="W41" i="8" s="1"/>
  <c r="X40" i="8"/>
  <c r="X41" i="8" s="1"/>
  <c r="Y40" i="8"/>
  <c r="Y41" i="8" s="1"/>
  <c r="Z40" i="8"/>
  <c r="Z41" i="8" s="1"/>
  <c r="AA40" i="8"/>
  <c r="AA41" i="8" s="1"/>
  <c r="AB40" i="8"/>
  <c r="AB41" i="8" s="1"/>
  <c r="AC40" i="8"/>
  <c r="AC41" i="8" s="1"/>
  <c r="AD40" i="8"/>
  <c r="AD41" i="8" s="1"/>
  <c r="AE40" i="8"/>
  <c r="AE41" i="8" s="1"/>
  <c r="AF40" i="8"/>
  <c r="AF41" i="8" s="1"/>
  <c r="AG40" i="8"/>
  <c r="AG41" i="8" s="1"/>
  <c r="B41" i="8"/>
  <c r="J22" i="8" l="1"/>
  <c r="AW24" i="8"/>
  <c r="AV24" i="8"/>
  <c r="AS24" i="8"/>
  <c r="AP24" i="8"/>
  <c r="AM24" i="8"/>
  <c r="AJ24" i="8"/>
  <c r="AG24" i="8"/>
  <c r="AD24" i="8"/>
  <c r="AA24" i="8"/>
  <c r="X24" i="8"/>
  <c r="U24" i="8"/>
  <c r="R24" i="8"/>
  <c r="O24" i="8"/>
  <c r="L24" i="8"/>
  <c r="I24" i="8"/>
  <c r="F24" i="8"/>
  <c r="C24" i="8"/>
  <c r="B24" i="8"/>
  <c r="K24" i="8"/>
  <c r="J24" i="8"/>
  <c r="D22" i="8"/>
  <c r="D24" i="8" s="1"/>
  <c r="G22" i="8"/>
  <c r="H24" i="8" s="1"/>
  <c r="M22" i="8"/>
  <c r="N24" i="8" s="1"/>
  <c r="P22" i="8"/>
  <c r="P24" i="8" s="1"/>
  <c r="S22" i="8"/>
  <c r="T24" i="8" s="1"/>
  <c r="V22" i="8"/>
  <c r="V24" i="8" s="1"/>
  <c r="Y22" i="8"/>
  <c r="Z24" i="8" s="1"/>
  <c r="AB22" i="8"/>
  <c r="AB24" i="8" s="1"/>
  <c r="AE22" i="8"/>
  <c r="AF24" i="8" s="1"/>
  <c r="AH22" i="8"/>
  <c r="AH24" i="8" s="1"/>
  <c r="AK22" i="8"/>
  <c r="AL24" i="8" s="1"/>
  <c r="AN22" i="8"/>
  <c r="AN24" i="8" s="1"/>
  <c r="AQ22" i="8"/>
  <c r="AR24" i="8" s="1"/>
  <c r="AT22" i="8"/>
  <c r="AT24" i="8" s="1"/>
  <c r="AW22" i="8"/>
  <c r="AU24" i="8" l="1"/>
  <c r="Q24" i="8"/>
  <c r="W24" i="8"/>
  <c r="AE24" i="8"/>
  <c r="E24" i="8"/>
  <c r="S24" i="8"/>
  <c r="AI24" i="8"/>
  <c r="AO24" i="8"/>
  <c r="AC24" i="8"/>
  <c r="AQ24" i="8"/>
  <c r="G24" i="8"/>
  <c r="M24" i="8"/>
  <c r="Y24" i="8"/>
  <c r="AK24" i="8"/>
  <c r="B29" i="8"/>
  <c r="B33" i="8" s="1"/>
  <c r="C29" i="8"/>
  <c r="C33" i="8" s="1"/>
  <c r="D29" i="8"/>
  <c r="D33" i="8" s="1"/>
  <c r="E29" i="8"/>
  <c r="E33" i="8" s="1"/>
  <c r="F29" i="8"/>
  <c r="F33" i="8" s="1"/>
  <c r="G29" i="8"/>
  <c r="G33" i="8" s="1"/>
  <c r="H29" i="8"/>
  <c r="H33" i="8" s="1"/>
  <c r="I29" i="8"/>
  <c r="I33" i="8" s="1"/>
  <c r="J29" i="8"/>
  <c r="J33" i="8" s="1"/>
  <c r="K29" i="8"/>
  <c r="K33" i="8" s="1"/>
  <c r="L29" i="8"/>
  <c r="L33" i="8" s="1"/>
  <c r="M29" i="8"/>
  <c r="M33" i="8" s="1"/>
  <c r="N29" i="8"/>
  <c r="N33" i="8" s="1"/>
  <c r="O29" i="8"/>
  <c r="O33" i="8" s="1"/>
  <c r="P29" i="8"/>
  <c r="P33" i="8" s="1"/>
  <c r="Q29" i="8"/>
  <c r="Q33" i="8" s="1"/>
  <c r="Q28" i="8"/>
  <c r="Q32" i="8" s="1"/>
  <c r="C28" i="8"/>
  <c r="C32" i="8" s="1"/>
  <c r="D28" i="8"/>
  <c r="D32" i="8" s="1"/>
  <c r="E28" i="8"/>
  <c r="E32" i="8" s="1"/>
  <c r="F28" i="8"/>
  <c r="F32" i="8" s="1"/>
  <c r="G28" i="8"/>
  <c r="G32" i="8" s="1"/>
  <c r="H28" i="8"/>
  <c r="H32" i="8" s="1"/>
  <c r="I28" i="8"/>
  <c r="I32" i="8" s="1"/>
  <c r="J28" i="8"/>
  <c r="J32" i="8" s="1"/>
  <c r="K28" i="8"/>
  <c r="K32" i="8" s="1"/>
  <c r="L28" i="8"/>
  <c r="L32" i="8" s="1"/>
  <c r="M28" i="8"/>
  <c r="M32" i="8" s="1"/>
  <c r="N28" i="8"/>
  <c r="N32" i="8" s="1"/>
  <c r="O28" i="8"/>
  <c r="O32" i="8" s="1"/>
  <c r="P28" i="8"/>
  <c r="P32" i="8" s="1"/>
  <c r="B28" i="8"/>
  <c r="B32" i="8" s="1"/>
  <c r="P449" i="6" l="1"/>
  <c r="N88" i="6"/>
  <c r="N90" i="6"/>
  <c r="K47" i="6"/>
  <c r="N38" i="6"/>
  <c r="N36" i="6"/>
  <c r="N84" i="5"/>
  <c r="K47" i="5"/>
  <c r="K37" i="5"/>
  <c r="N38" i="5"/>
  <c r="N36" i="5"/>
  <c r="K112" i="3"/>
  <c r="K102" i="3"/>
  <c r="N102" i="3"/>
  <c r="J37" i="7"/>
  <c r="P407" i="6"/>
  <c r="P365" i="6"/>
  <c r="P323" i="6"/>
  <c r="P281" i="6"/>
  <c r="P239" i="6"/>
  <c r="P197" i="6"/>
  <c r="P155" i="6"/>
  <c r="P115" i="6"/>
  <c r="P233" i="5"/>
  <c r="P191" i="5"/>
  <c r="P149" i="5"/>
  <c r="P109" i="5"/>
  <c r="P210" i="3"/>
  <c r="P168" i="3"/>
  <c r="P128" i="3"/>
  <c r="O131" i="3" s="1"/>
  <c r="S102" i="3" l="1"/>
  <c r="K107" i="3" s="1"/>
  <c r="K113" i="3" s="1"/>
  <c r="S101" i="3"/>
  <c r="M33" i="3"/>
  <c r="L33" i="3"/>
  <c r="H33" i="3"/>
  <c r="F33" i="3"/>
  <c r="E33" i="3"/>
  <c r="G33" i="3" l="1"/>
  <c r="S103" i="3"/>
  <c r="K108" i="3" s="1"/>
  <c r="K115" i="3" s="1"/>
  <c r="K33" i="3"/>
  <c r="O33" i="3" s="1"/>
  <c r="M117" i="3"/>
  <c r="J33" i="3"/>
  <c r="N33" i="3" s="1"/>
  <c r="K109" i="3"/>
  <c r="M119" i="3"/>
  <c r="E88" i="3"/>
  <c r="P33" i="3" l="1"/>
  <c r="Q33" i="3" s="1"/>
  <c r="M118" i="3"/>
  <c r="K114" i="3"/>
  <c r="N123" i="3" s="1"/>
  <c r="K110" i="3"/>
  <c r="K116" i="3" s="1"/>
  <c r="N122" i="3" s="1"/>
  <c r="Q122" i="3" s="1"/>
  <c r="N124" i="3" s="1"/>
  <c r="M120" i="3"/>
  <c r="N134" i="3" l="1"/>
  <c r="N135" i="3" s="1"/>
  <c r="Q123" i="3" s="1"/>
  <c r="U103" i="5"/>
  <c r="F38" i="7" s="1"/>
  <c r="U122" i="3"/>
  <c r="C38" i="7" s="1"/>
  <c r="C40" i="7"/>
  <c r="U123" i="3" l="1"/>
  <c r="C41" i="7" l="1"/>
  <c r="U124" i="3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C5" i="7"/>
  <c r="D5" i="7"/>
  <c r="J8" i="7"/>
  <c r="K8" i="7"/>
  <c r="L8" i="7"/>
  <c r="M8" i="7"/>
  <c r="N8" i="7"/>
  <c r="O8" i="7"/>
  <c r="P8" i="7"/>
  <c r="Q8" i="7"/>
  <c r="R8" i="7"/>
  <c r="R9" i="7"/>
  <c r="Q9" i="7"/>
  <c r="P9" i="7"/>
  <c r="O9" i="7"/>
  <c r="N9" i="7"/>
  <c r="M9" i="7"/>
  <c r="L9" i="7"/>
  <c r="K9" i="7"/>
  <c r="J9" i="7"/>
  <c r="R6" i="7"/>
  <c r="Q6" i="7"/>
  <c r="Q36" i="7"/>
  <c r="P6" i="7"/>
  <c r="P36" i="7"/>
  <c r="O6" i="7"/>
  <c r="O36" i="7"/>
  <c r="N6" i="7"/>
  <c r="N36" i="7"/>
  <c r="M6" i="7"/>
  <c r="M36" i="7"/>
  <c r="L6" i="7"/>
  <c r="L36" i="7"/>
  <c r="K6" i="7"/>
  <c r="J6" i="7"/>
  <c r="K36" i="7"/>
  <c r="J36" i="7"/>
  <c r="G8" i="7"/>
  <c r="H8" i="7"/>
  <c r="I8" i="7"/>
  <c r="F8" i="7"/>
  <c r="I9" i="7"/>
  <c r="H9" i="7"/>
  <c r="G9" i="7"/>
  <c r="F37" i="7"/>
  <c r="F9" i="7"/>
  <c r="F7" i="7"/>
  <c r="I6" i="7"/>
  <c r="H6" i="7"/>
  <c r="H36" i="7"/>
  <c r="G6" i="7"/>
  <c r="G36" i="7"/>
  <c r="F6" i="7"/>
  <c r="F36" i="7"/>
  <c r="E48" i="7"/>
  <c r="E8" i="7"/>
  <c r="E9" i="7"/>
  <c r="E7" i="7"/>
  <c r="D8" i="7"/>
  <c r="D9" i="7"/>
  <c r="C46" i="7"/>
  <c r="C37" i="7"/>
  <c r="C12" i="7"/>
  <c r="C9" i="7"/>
  <c r="C8" i="7"/>
  <c r="C7" i="7"/>
  <c r="C93" i="7" s="1"/>
  <c r="E6" i="7"/>
  <c r="D6" i="7"/>
  <c r="C6" i="7"/>
  <c r="E36" i="7"/>
  <c r="D36" i="7"/>
  <c r="C36" i="7"/>
  <c r="C47" i="7" l="1"/>
  <c r="X122" i="3"/>
  <c r="C51" i="7" s="1"/>
  <c r="C59" i="7" s="1"/>
  <c r="C94" i="7"/>
  <c r="C95" i="7"/>
  <c r="E95" i="7"/>
  <c r="E94" i="7"/>
  <c r="E93" i="7"/>
  <c r="F93" i="7"/>
  <c r="F95" i="7"/>
  <c r="F94" i="7"/>
  <c r="N456" i="6"/>
  <c r="R48" i="7" s="1"/>
  <c r="N240" i="5"/>
  <c r="E419" i="6"/>
  <c r="E377" i="6"/>
  <c r="E376" i="6"/>
  <c r="E335" i="6"/>
  <c r="E334" i="6"/>
  <c r="E293" i="6"/>
  <c r="E292" i="6"/>
  <c r="E251" i="6"/>
  <c r="E250" i="6"/>
  <c r="E209" i="6"/>
  <c r="E208" i="6"/>
  <c r="E166" i="6"/>
  <c r="E124" i="6"/>
  <c r="U109" i="6"/>
  <c r="J46" i="7"/>
  <c r="H88" i="6"/>
  <c r="J7" i="7" s="1"/>
  <c r="E84" i="6"/>
  <c r="E62" i="6"/>
  <c r="E80" i="6" s="1"/>
  <c r="H36" i="6"/>
  <c r="K37" i="6" s="1"/>
  <c r="E167" i="6"/>
  <c r="E125" i="6"/>
  <c r="E85" i="6"/>
  <c r="E203" i="5"/>
  <c r="E160" i="5"/>
  <c r="H122" i="5"/>
  <c r="G7" i="7" s="1"/>
  <c r="E161" i="5"/>
  <c r="E119" i="5"/>
  <c r="E118" i="5"/>
  <c r="F46" i="7"/>
  <c r="E79" i="5"/>
  <c r="E78" i="5"/>
  <c r="E62" i="5"/>
  <c r="E69" i="5" s="1"/>
  <c r="K83" i="5"/>
  <c r="K184" i="3"/>
  <c r="E10" i="7" s="1"/>
  <c r="E32" i="7" s="1"/>
  <c r="N141" i="3"/>
  <c r="C17" i="7"/>
  <c r="H141" i="3"/>
  <c r="D7" i="7" s="1"/>
  <c r="E80" i="3"/>
  <c r="C39" i="7"/>
  <c r="E66" i="3"/>
  <c r="C102" i="7" l="1"/>
  <c r="F10" i="7"/>
  <c r="F32" i="7" s="1"/>
  <c r="N83" i="5"/>
  <c r="O112" i="5"/>
  <c r="D37" i="7"/>
  <c r="O171" i="3"/>
  <c r="U162" i="3"/>
  <c r="E75" i="5"/>
  <c r="I36" i="7" s="1"/>
  <c r="K123" i="5"/>
  <c r="U125" i="3"/>
  <c r="C44" i="7" s="1"/>
  <c r="N89" i="6"/>
  <c r="N128" i="6" s="1"/>
  <c r="N129" i="6" s="1"/>
  <c r="O118" i="6"/>
  <c r="S82" i="5"/>
  <c r="J38" i="7"/>
  <c r="H128" i="6"/>
  <c r="K7" i="7" s="1"/>
  <c r="K94" i="7" s="1"/>
  <c r="C85" i="7"/>
  <c r="C55" i="7"/>
  <c r="C62" i="7"/>
  <c r="C91" i="7" s="1"/>
  <c r="C78" i="7"/>
  <c r="C81" i="7" s="1"/>
  <c r="C83" i="7" s="1"/>
  <c r="C65" i="7"/>
  <c r="C97" i="7" s="1"/>
  <c r="C13" i="7"/>
  <c r="C18" i="7"/>
  <c r="S37" i="6"/>
  <c r="S38" i="6"/>
  <c r="S36" i="6"/>
  <c r="K42" i="6" s="1"/>
  <c r="K48" i="6" s="1"/>
  <c r="E418" i="6"/>
  <c r="R36" i="7"/>
  <c r="E202" i="5"/>
  <c r="N142" i="3"/>
  <c r="S83" i="5"/>
  <c r="H164" i="5"/>
  <c r="E69" i="6"/>
  <c r="K89" i="6"/>
  <c r="J10" i="7" s="1"/>
  <c r="J32" i="7" s="1"/>
  <c r="J39" i="7"/>
  <c r="I48" i="7"/>
  <c r="G94" i="7"/>
  <c r="G93" i="7"/>
  <c r="G95" i="7"/>
  <c r="J93" i="7"/>
  <c r="J95" i="7"/>
  <c r="J94" i="7"/>
  <c r="K129" i="6"/>
  <c r="K10" i="7" s="1"/>
  <c r="K32" i="7" s="1"/>
  <c r="C10" i="7"/>
  <c r="D95" i="7"/>
  <c r="D93" i="7"/>
  <c r="D94" i="7"/>
  <c r="K142" i="3"/>
  <c r="K39" i="7"/>
  <c r="S123" i="5"/>
  <c r="S122" i="5"/>
  <c r="S124" i="5" s="1"/>
  <c r="K128" i="5" s="1"/>
  <c r="M100" i="5"/>
  <c r="F23" i="7" s="1"/>
  <c r="S37" i="5"/>
  <c r="S38" i="5"/>
  <c r="S36" i="5"/>
  <c r="K42" i="5" s="1"/>
  <c r="S183" i="3"/>
  <c r="S184" i="3"/>
  <c r="C111" i="7" l="1"/>
  <c r="C114" i="7" s="1"/>
  <c r="K43" i="6"/>
  <c r="K50" i="6" s="1"/>
  <c r="C105" i="7"/>
  <c r="C108" i="7" s="1"/>
  <c r="C116" i="7"/>
  <c r="C118" i="7" s="1"/>
  <c r="C120" i="7" s="1"/>
  <c r="G10" i="7"/>
  <c r="G32" i="7" s="1"/>
  <c r="N122" i="5"/>
  <c r="F39" i="7"/>
  <c r="M54" i="5"/>
  <c r="K43" i="5"/>
  <c r="K50" i="5" s="1"/>
  <c r="S85" i="5"/>
  <c r="K89" i="5" s="1"/>
  <c r="K48" i="5"/>
  <c r="N58" i="5"/>
  <c r="S142" i="3"/>
  <c r="S141" i="3"/>
  <c r="S143" i="3" s="1"/>
  <c r="C86" i="7"/>
  <c r="C87" i="7" s="1"/>
  <c r="D38" i="7"/>
  <c r="O158" i="6"/>
  <c r="K95" i="7"/>
  <c r="S89" i="6"/>
  <c r="S88" i="6"/>
  <c r="K93" i="7"/>
  <c r="S129" i="6"/>
  <c r="H170" i="6"/>
  <c r="L7" i="7" s="1"/>
  <c r="K37" i="7"/>
  <c r="K85" i="7" s="1"/>
  <c r="U149" i="6"/>
  <c r="J85" i="7"/>
  <c r="J55" i="7"/>
  <c r="C68" i="7"/>
  <c r="K127" i="5"/>
  <c r="G13" i="7"/>
  <c r="C15" i="7"/>
  <c r="C20" i="7"/>
  <c r="D10" i="7"/>
  <c r="D32" i="7" s="1"/>
  <c r="H7" i="7"/>
  <c r="H206" i="5"/>
  <c r="K165" i="5"/>
  <c r="C22" i="7"/>
  <c r="G37" i="7"/>
  <c r="S84" i="5"/>
  <c r="K88" i="5" s="1"/>
  <c r="F13" i="7" s="1"/>
  <c r="S128" i="6"/>
  <c r="S131" i="6" s="1"/>
  <c r="K135" i="6" s="1"/>
  <c r="D39" i="7"/>
  <c r="N183" i="3"/>
  <c r="N170" i="6"/>
  <c r="O200" i="6" s="1"/>
  <c r="M52" i="6"/>
  <c r="N58" i="6"/>
  <c r="E67" i="6" s="1"/>
  <c r="M53" i="6"/>
  <c r="M146" i="6"/>
  <c r="K23" i="7" s="1"/>
  <c r="K171" i="6"/>
  <c r="L10" i="7" s="1"/>
  <c r="L32" i="7" s="1"/>
  <c r="M54" i="6"/>
  <c r="S90" i="6"/>
  <c r="K94" i="6" s="1"/>
  <c r="M106" i="6"/>
  <c r="J23" i="7" s="1"/>
  <c r="S125" i="5"/>
  <c r="K129" i="5" s="1"/>
  <c r="K130" i="5" s="1"/>
  <c r="K134" i="5"/>
  <c r="G18" i="7" s="1"/>
  <c r="M140" i="5"/>
  <c r="G23" i="7" s="1"/>
  <c r="S144" i="3"/>
  <c r="K148" i="3" s="1"/>
  <c r="D15" i="7" s="1"/>
  <c r="M159" i="3"/>
  <c r="D23" i="7" s="1"/>
  <c r="S186" i="3"/>
  <c r="K190" i="3" s="1"/>
  <c r="S185" i="3"/>
  <c r="K189" i="3" s="1"/>
  <c r="E13" i="7" s="1"/>
  <c r="M201" i="3"/>
  <c r="E23" i="7" s="1"/>
  <c r="C23" i="7"/>
  <c r="C21" i="7"/>
  <c r="K147" i="3"/>
  <c r="D13" i="7" s="1"/>
  <c r="C122" i="7" l="1"/>
  <c r="C124" i="7" s="1"/>
  <c r="H212" i="6"/>
  <c r="K44" i="5"/>
  <c r="K49" i="5" s="1"/>
  <c r="K44" i="6"/>
  <c r="K49" i="6" s="1"/>
  <c r="C117" i="7"/>
  <c r="F85" i="7"/>
  <c r="F55" i="7"/>
  <c r="G116" i="7"/>
  <c r="O213" i="3"/>
  <c r="U204" i="3"/>
  <c r="F15" i="7"/>
  <c r="K90" i="5"/>
  <c r="K96" i="5"/>
  <c r="F20" i="7" s="1"/>
  <c r="M98" i="5"/>
  <c r="F21" i="7" s="1"/>
  <c r="K87" i="5"/>
  <c r="M101" i="5" s="1"/>
  <c r="F24" i="7" s="1"/>
  <c r="S91" i="6"/>
  <c r="K95" i="6" s="1"/>
  <c r="N123" i="5"/>
  <c r="U143" i="5"/>
  <c r="O152" i="5"/>
  <c r="M99" i="5"/>
  <c r="F22" i="7" s="1"/>
  <c r="K146" i="3"/>
  <c r="J86" i="7"/>
  <c r="J87" i="7" s="1"/>
  <c r="K38" i="7"/>
  <c r="K55" i="7" s="1"/>
  <c r="K86" i="7" s="1"/>
  <c r="K87" i="7" s="1"/>
  <c r="L37" i="7"/>
  <c r="U191" i="6"/>
  <c r="D85" i="7"/>
  <c r="D55" i="7"/>
  <c r="D12" i="7"/>
  <c r="S130" i="6"/>
  <c r="K134" i="6" s="1"/>
  <c r="K13" i="7" s="1"/>
  <c r="C14" i="7"/>
  <c r="K150" i="3"/>
  <c r="C19" i="7"/>
  <c r="C31" i="7" s="1"/>
  <c r="M138" i="5"/>
  <c r="G21" i="7" s="1"/>
  <c r="G15" i="7"/>
  <c r="H10" i="7"/>
  <c r="H32" i="7" s="1"/>
  <c r="S165" i="5"/>
  <c r="S164" i="5"/>
  <c r="L95" i="7"/>
  <c r="L94" i="7"/>
  <c r="L93" i="7"/>
  <c r="K142" i="6"/>
  <c r="K20" i="7" s="1"/>
  <c r="K15" i="7"/>
  <c r="K197" i="3"/>
  <c r="E20" i="7" s="1"/>
  <c r="E15" i="7"/>
  <c r="O44" i="3"/>
  <c r="K93" i="5"/>
  <c r="F12" i="7"/>
  <c r="I7" i="7"/>
  <c r="K207" i="5"/>
  <c r="E37" i="7"/>
  <c r="N184" i="3"/>
  <c r="E39" i="7" s="1"/>
  <c r="G39" i="7"/>
  <c r="N164" i="5"/>
  <c r="H95" i="7"/>
  <c r="H94" i="7"/>
  <c r="H93" i="7"/>
  <c r="K133" i="5"/>
  <c r="G17" i="7" s="1"/>
  <c r="G12" i="7"/>
  <c r="K94" i="5"/>
  <c r="F18" i="7" s="1"/>
  <c r="F116" i="7" s="1"/>
  <c r="K93" i="6"/>
  <c r="J12" i="7" s="1"/>
  <c r="J13" i="7"/>
  <c r="M7" i="7"/>
  <c r="H254" i="6"/>
  <c r="K213" i="6"/>
  <c r="N171" i="6"/>
  <c r="L39" i="7" s="1"/>
  <c r="K136" i="6"/>
  <c r="M55" i="6"/>
  <c r="M105" i="6"/>
  <c r="J22" i="7" s="1"/>
  <c r="M104" i="6"/>
  <c r="J21" i="7" s="1"/>
  <c r="K100" i="6"/>
  <c r="J18" i="7" s="1"/>
  <c r="J116" i="7" s="1"/>
  <c r="M145" i="6"/>
  <c r="K22" i="7" s="1"/>
  <c r="M144" i="6"/>
  <c r="K21" i="7" s="1"/>
  <c r="K133" i="6"/>
  <c r="S171" i="6"/>
  <c r="S170" i="6"/>
  <c r="M139" i="5"/>
  <c r="G22" i="7" s="1"/>
  <c r="K136" i="5"/>
  <c r="G20" i="7" s="1"/>
  <c r="E67" i="5"/>
  <c r="M53" i="5"/>
  <c r="M52" i="5"/>
  <c r="K153" i="3"/>
  <c r="D18" i="7" s="1"/>
  <c r="D116" i="7" s="1"/>
  <c r="M158" i="3"/>
  <c r="D22" i="7" s="1"/>
  <c r="M157" i="3"/>
  <c r="D21" i="7" s="1"/>
  <c r="K149" i="3"/>
  <c r="K155" i="3"/>
  <c r="D20" i="7" s="1"/>
  <c r="D117" i="7" s="1"/>
  <c r="K191" i="3"/>
  <c r="M200" i="3"/>
  <c r="E22" i="7" s="1"/>
  <c r="M199" i="3"/>
  <c r="E21" i="7" s="1"/>
  <c r="K195" i="3"/>
  <c r="E18" i="7" s="1"/>
  <c r="E116" i="7" s="1"/>
  <c r="K188" i="3"/>
  <c r="C24" i="7"/>
  <c r="C42" i="7"/>
  <c r="J41" i="3"/>
  <c r="J37" i="3"/>
  <c r="K37" i="3" s="1"/>
  <c r="O37" i="3" s="1"/>
  <c r="J40" i="3"/>
  <c r="K40" i="3" s="1"/>
  <c r="O40" i="3" s="1"/>
  <c r="J36" i="3"/>
  <c r="K36" i="3" s="1"/>
  <c r="O36" i="3" s="1"/>
  <c r="J39" i="3"/>
  <c r="K39" i="3" s="1"/>
  <c r="O39" i="3" s="1"/>
  <c r="J35" i="3"/>
  <c r="K35" i="3" s="1"/>
  <c r="O35" i="3" s="1"/>
  <c r="J38" i="3"/>
  <c r="J34" i="3"/>
  <c r="D86" i="7" l="1"/>
  <c r="F117" i="7"/>
  <c r="C103" i="7"/>
  <c r="F86" i="7"/>
  <c r="F87" i="7" s="1"/>
  <c r="G117" i="7"/>
  <c r="D14" i="7"/>
  <c r="K192" i="3"/>
  <c r="E117" i="7"/>
  <c r="G38" i="7"/>
  <c r="G55" i="7" s="1"/>
  <c r="U144" i="5"/>
  <c r="G41" i="7" s="1"/>
  <c r="K131" i="5"/>
  <c r="F14" i="7"/>
  <c r="K95" i="5"/>
  <c r="F17" i="7"/>
  <c r="F102" i="7" s="1"/>
  <c r="U104" i="5"/>
  <c r="F41" i="7" s="1"/>
  <c r="K91" i="5"/>
  <c r="K45" i="5"/>
  <c r="K51" i="5" s="1"/>
  <c r="G102" i="7"/>
  <c r="U185" i="5"/>
  <c r="O194" i="5"/>
  <c r="K117" i="7"/>
  <c r="J15" i="7"/>
  <c r="K96" i="6"/>
  <c r="M107" i="6" s="1"/>
  <c r="J24" i="7" s="1"/>
  <c r="K102" i="6"/>
  <c r="J20" i="7" s="1"/>
  <c r="E38" i="7"/>
  <c r="E55" i="7" s="1"/>
  <c r="L38" i="7"/>
  <c r="L55" i="7" s="1"/>
  <c r="G85" i="7"/>
  <c r="D87" i="7"/>
  <c r="L85" i="7"/>
  <c r="E85" i="7"/>
  <c r="K152" i="3"/>
  <c r="K140" i="6"/>
  <c r="K18" i="7" s="1"/>
  <c r="K116" i="7" s="1"/>
  <c r="C11" i="7"/>
  <c r="S167" i="5"/>
  <c r="K171" i="5" s="1"/>
  <c r="M182" i="5"/>
  <c r="H23" i="7" s="1"/>
  <c r="N7" i="7"/>
  <c r="K255" i="6"/>
  <c r="H296" i="6"/>
  <c r="K141" i="6"/>
  <c r="K14" i="7"/>
  <c r="M95" i="7"/>
  <c r="M94" i="7"/>
  <c r="M93" i="7"/>
  <c r="I95" i="7"/>
  <c r="I94" i="7"/>
  <c r="I93" i="7"/>
  <c r="D11" i="7"/>
  <c r="K156" i="3"/>
  <c r="M10" i="7"/>
  <c r="M32" i="7" s="1"/>
  <c r="S213" i="6"/>
  <c r="S212" i="6"/>
  <c r="G14" i="7"/>
  <c r="K173" i="5"/>
  <c r="H37" i="7"/>
  <c r="N165" i="5"/>
  <c r="I10" i="7"/>
  <c r="I32" i="7" s="1"/>
  <c r="S207" i="5"/>
  <c r="M224" i="5" s="1"/>
  <c r="I23" i="7" s="1"/>
  <c r="S206" i="5"/>
  <c r="S208" i="5" s="1"/>
  <c r="K212" i="5" s="1"/>
  <c r="K194" i="3"/>
  <c r="E17" i="7" s="1"/>
  <c r="E12" i="7"/>
  <c r="K196" i="3"/>
  <c r="E14" i="7"/>
  <c r="K139" i="6"/>
  <c r="K12" i="7"/>
  <c r="K99" i="6"/>
  <c r="S166" i="5"/>
  <c r="K170" i="5" s="1"/>
  <c r="N212" i="6"/>
  <c r="O242" i="6" s="1"/>
  <c r="K179" i="6"/>
  <c r="S173" i="6"/>
  <c r="K177" i="6" s="1"/>
  <c r="M147" i="6"/>
  <c r="K24" i="7" s="1"/>
  <c r="S172" i="6"/>
  <c r="K176" i="6" s="1"/>
  <c r="L13" i="7" s="1"/>
  <c r="M188" i="6"/>
  <c r="L23" i="7" s="1"/>
  <c r="M141" i="5"/>
  <c r="G24" i="7" s="1"/>
  <c r="K135" i="5"/>
  <c r="M55" i="5"/>
  <c r="K154" i="3"/>
  <c r="M160" i="3"/>
  <c r="D24" i="7" s="1"/>
  <c r="M202" i="3"/>
  <c r="E24" i="7" s="1"/>
  <c r="N37" i="3"/>
  <c r="P37" i="3" s="1"/>
  <c r="Q37" i="3" s="1"/>
  <c r="N35" i="3"/>
  <c r="P35" i="3" s="1"/>
  <c r="Q35" i="3" s="1"/>
  <c r="N39" i="3"/>
  <c r="P39" i="3" s="1"/>
  <c r="Q39" i="3" s="1"/>
  <c r="N40" i="3"/>
  <c r="P40" i="3" s="1"/>
  <c r="Q40" i="3" s="1"/>
  <c r="N38" i="3"/>
  <c r="N44" i="3" s="1"/>
  <c r="J51" i="3" s="1"/>
  <c r="N34" i="3"/>
  <c r="N41" i="3"/>
  <c r="K41" i="3"/>
  <c r="O41" i="3" s="1"/>
  <c r="K34" i="3"/>
  <c r="O34" i="3" s="1"/>
  <c r="N36" i="3"/>
  <c r="P36" i="3" s="1"/>
  <c r="Q36" i="3" s="1"/>
  <c r="K38" i="3"/>
  <c r="O38" i="3" s="1"/>
  <c r="U205" i="3" l="1"/>
  <c r="E41" i="7" s="1"/>
  <c r="H38" i="7"/>
  <c r="N104" i="5"/>
  <c r="F42" i="7" s="1"/>
  <c r="F19" i="7"/>
  <c r="D17" i="7"/>
  <c r="D102" i="7" s="1"/>
  <c r="U163" i="3"/>
  <c r="D41" i="7" s="1"/>
  <c r="G11" i="7"/>
  <c r="K137" i="5"/>
  <c r="J14" i="7"/>
  <c r="K137" i="6"/>
  <c r="K101" i="6"/>
  <c r="E102" i="7"/>
  <c r="S214" i="6"/>
  <c r="K218" i="6" s="1"/>
  <c r="J117" i="7"/>
  <c r="G86" i="7"/>
  <c r="G87" i="7" s="1"/>
  <c r="J17" i="7"/>
  <c r="J102" i="7" s="1"/>
  <c r="U110" i="6"/>
  <c r="J41" i="7" s="1"/>
  <c r="S215" i="6"/>
  <c r="K219" i="6" s="1"/>
  <c r="K220" i="6" s="1"/>
  <c r="M14" i="7" s="1"/>
  <c r="S255" i="6"/>
  <c r="S254" i="6"/>
  <c r="K17" i="7"/>
  <c r="K102" i="7" s="1"/>
  <c r="U150" i="6"/>
  <c r="K41" i="7" s="1"/>
  <c r="M37" i="7"/>
  <c r="U233" i="6"/>
  <c r="L86" i="7"/>
  <c r="L87" i="7" s="1"/>
  <c r="E86" i="7"/>
  <c r="E87" i="7" s="1"/>
  <c r="M230" i="6"/>
  <c r="M23" i="7" s="1"/>
  <c r="G19" i="7"/>
  <c r="N144" i="5"/>
  <c r="G42" i="7" s="1"/>
  <c r="K225" i="6"/>
  <c r="M19" i="7" s="1"/>
  <c r="N10" i="7"/>
  <c r="N32" i="7" s="1"/>
  <c r="P44" i="3"/>
  <c r="H51" i="3" s="1"/>
  <c r="I51" i="3" s="1"/>
  <c r="K51" i="3"/>
  <c r="L51" i="3" s="1"/>
  <c r="G65" i="3" s="1"/>
  <c r="N163" i="3"/>
  <c r="D42" i="7" s="1"/>
  <c r="D19" i="7"/>
  <c r="N205" i="3"/>
  <c r="E19" i="7"/>
  <c r="D16" i="7"/>
  <c r="D101" i="7" s="1"/>
  <c r="N162" i="3"/>
  <c r="D40" i="7" s="1"/>
  <c r="N93" i="7"/>
  <c r="N95" i="7"/>
  <c r="N94" i="7"/>
  <c r="C16" i="7"/>
  <c r="C101" i="7" s="1"/>
  <c r="I13" i="7"/>
  <c r="K218" i="5"/>
  <c r="I18" i="7" s="1"/>
  <c r="H39" i="7"/>
  <c r="N206" i="5"/>
  <c r="K178" i="5"/>
  <c r="H20" i="7" s="1"/>
  <c r="H15" i="7"/>
  <c r="K172" i="5"/>
  <c r="K211" i="5"/>
  <c r="P41" i="3"/>
  <c r="Q41" i="3" s="1"/>
  <c r="K184" i="6"/>
  <c r="L20" i="7" s="1"/>
  <c r="L15" i="7"/>
  <c r="H11" i="7"/>
  <c r="K179" i="5"/>
  <c r="M13" i="7"/>
  <c r="K224" i="6"/>
  <c r="M18" i="7" s="1"/>
  <c r="K217" i="6"/>
  <c r="M231" i="6" s="1"/>
  <c r="M24" i="7" s="1"/>
  <c r="M229" i="6"/>
  <c r="M22" i="7" s="1"/>
  <c r="M228" i="6"/>
  <c r="M21" i="7" s="1"/>
  <c r="N150" i="6"/>
  <c r="K42" i="7" s="1"/>
  <c r="K19" i="7"/>
  <c r="K198" i="3"/>
  <c r="E11" i="7"/>
  <c r="K185" i="6"/>
  <c r="L11" i="7"/>
  <c r="H13" i="7"/>
  <c r="M181" i="5"/>
  <c r="H22" i="7" s="1"/>
  <c r="M180" i="5"/>
  <c r="H21" i="7" s="1"/>
  <c r="K169" i="5"/>
  <c r="K176" i="5"/>
  <c r="H18" i="7" s="1"/>
  <c r="H116" i="7" s="1"/>
  <c r="F11" i="7"/>
  <c r="K97" i="5"/>
  <c r="N103" i="5" s="1"/>
  <c r="Q103" i="5" s="1"/>
  <c r="S209" i="5"/>
  <c r="K213" i="5" s="1"/>
  <c r="K226" i="6"/>
  <c r="M20" i="7" s="1"/>
  <c r="M15" i="7"/>
  <c r="O7" i="7"/>
  <c r="H338" i="6"/>
  <c r="K297" i="6"/>
  <c r="S296" i="6" s="1"/>
  <c r="N213" i="6"/>
  <c r="M39" i="7" s="1"/>
  <c r="K178" i="6"/>
  <c r="L14" i="7" s="1"/>
  <c r="M186" i="6"/>
  <c r="L21" i="7" s="1"/>
  <c r="K182" i="6"/>
  <c r="L18" i="7" s="1"/>
  <c r="L116" i="7" s="1"/>
  <c r="M187" i="6"/>
  <c r="L22" i="7" s="1"/>
  <c r="K175" i="6"/>
  <c r="L12" i="7" s="1"/>
  <c r="P34" i="3"/>
  <c r="Q34" i="3" s="1"/>
  <c r="P38" i="3"/>
  <c r="Q38" i="3" s="1"/>
  <c r="F103" i="7" l="1"/>
  <c r="F31" i="7"/>
  <c r="K103" i="7"/>
  <c r="K31" i="7"/>
  <c r="D103" i="7"/>
  <c r="D31" i="7"/>
  <c r="G103" i="7"/>
  <c r="G31" i="7"/>
  <c r="M103" i="7"/>
  <c r="M31" i="7"/>
  <c r="E103" i="7"/>
  <c r="E31" i="7"/>
  <c r="S257" i="6"/>
  <c r="K261" i="6" s="1"/>
  <c r="K263" i="6"/>
  <c r="L117" i="7"/>
  <c r="I116" i="7"/>
  <c r="K11" i="7"/>
  <c r="K143" i="6"/>
  <c r="M117" i="7"/>
  <c r="H117" i="7"/>
  <c r="G16" i="7"/>
  <c r="G101" i="7" s="1"/>
  <c r="N143" i="5"/>
  <c r="G40" i="7" s="1"/>
  <c r="U227" i="5"/>
  <c r="O236" i="5"/>
  <c r="F50" i="7"/>
  <c r="N105" i="5"/>
  <c r="M116" i="7"/>
  <c r="J19" i="7"/>
  <c r="N110" i="6"/>
  <c r="J42" i="7" s="1"/>
  <c r="M51" i="3"/>
  <c r="M38" i="7"/>
  <c r="M55" i="7" s="1"/>
  <c r="H85" i="7"/>
  <c r="H55" i="7"/>
  <c r="M85" i="7"/>
  <c r="O95" i="7"/>
  <c r="O94" i="7"/>
  <c r="O93" i="7"/>
  <c r="I15" i="7"/>
  <c r="K220" i="5"/>
  <c r="I20" i="7" s="1"/>
  <c r="I117" i="7" s="1"/>
  <c r="K214" i="5"/>
  <c r="H12" i="7"/>
  <c r="K175" i="5"/>
  <c r="Q205" i="3"/>
  <c r="R206" i="3" s="1"/>
  <c r="E42" i="7"/>
  <c r="N204" i="3"/>
  <c r="E40" i="7" s="1"/>
  <c r="E16" i="7"/>
  <c r="E101" i="7" s="1"/>
  <c r="M222" i="5"/>
  <c r="I21" i="7" s="1"/>
  <c r="N15" i="7"/>
  <c r="K268" i="6"/>
  <c r="N20" i="7" s="1"/>
  <c r="S297" i="6"/>
  <c r="M314" i="6" s="1"/>
  <c r="O23" i="7" s="1"/>
  <c r="O10" i="7"/>
  <c r="O32" i="7" s="1"/>
  <c r="K223" i="6"/>
  <c r="M17" i="7" s="1"/>
  <c r="M12" i="7"/>
  <c r="K217" i="5"/>
  <c r="I17" i="7" s="1"/>
  <c r="I12" i="7"/>
  <c r="M223" i="5"/>
  <c r="I22" i="7" s="1"/>
  <c r="M272" i="6"/>
  <c r="N23" i="7" s="1"/>
  <c r="K269" i="6"/>
  <c r="N16" i="7" s="1"/>
  <c r="N11" i="7"/>
  <c r="F16" i="7"/>
  <c r="F101" i="7" s="1"/>
  <c r="N191" i="6"/>
  <c r="L40" i="7" s="1"/>
  <c r="L16" i="7"/>
  <c r="L101" i="7" s="1"/>
  <c r="H16" i="7"/>
  <c r="H101" i="7" s="1"/>
  <c r="N185" i="5"/>
  <c r="H40" i="7" s="1"/>
  <c r="K262" i="6"/>
  <c r="P7" i="7"/>
  <c r="H380" i="6"/>
  <c r="K339" i="6"/>
  <c r="H14" i="7"/>
  <c r="K215" i="5"/>
  <c r="M183" i="5"/>
  <c r="H24" i="7" s="1"/>
  <c r="K177" i="5"/>
  <c r="I37" i="7"/>
  <c r="N207" i="5"/>
  <c r="I39" i="7" s="1"/>
  <c r="S256" i="6"/>
  <c r="K260" i="6" s="1"/>
  <c r="K183" i="6"/>
  <c r="K221" i="6"/>
  <c r="N254" i="6"/>
  <c r="O284" i="6" s="1"/>
  <c r="N234" i="6"/>
  <c r="M42" i="7" s="1"/>
  <c r="K181" i="6"/>
  <c r="M189" i="6"/>
  <c r="L24" i="7" s="1"/>
  <c r="N117" i="7" l="1"/>
  <c r="J103" i="7"/>
  <c r="J31" i="7"/>
  <c r="N101" i="7"/>
  <c r="I38" i="7"/>
  <c r="U228" i="5"/>
  <c r="I41" i="7" s="1"/>
  <c r="I102" i="7"/>
  <c r="H17" i="7"/>
  <c r="H102" i="7" s="1"/>
  <c r="U186" i="5"/>
  <c r="H41" i="7" s="1"/>
  <c r="K16" i="7"/>
  <c r="K101" i="7" s="1"/>
  <c r="N149" i="6"/>
  <c r="K40" i="7" s="1"/>
  <c r="M102" i="7"/>
  <c r="K97" i="6"/>
  <c r="K103" i="6" s="1"/>
  <c r="N109" i="6" s="1"/>
  <c r="Q109" i="6" s="1"/>
  <c r="J50" i="7" s="1"/>
  <c r="K45" i="6"/>
  <c r="K51" i="6" s="1"/>
  <c r="H86" i="7"/>
  <c r="H87" i="7" s="1"/>
  <c r="M86" i="7"/>
  <c r="M87" i="7" s="1"/>
  <c r="L17" i="7"/>
  <c r="L102" i="7" s="1"/>
  <c r="U192" i="6"/>
  <c r="L41" i="7" s="1"/>
  <c r="N37" i="7"/>
  <c r="U275" i="6"/>
  <c r="U234" i="6"/>
  <c r="M41" i="7" s="1"/>
  <c r="I85" i="7"/>
  <c r="I55" i="7"/>
  <c r="S298" i="6"/>
  <c r="K302" i="6" s="1"/>
  <c r="K301" i="6" s="1"/>
  <c r="N14" i="7"/>
  <c r="K305" i="6"/>
  <c r="K267" i="6"/>
  <c r="N19" i="7" s="1"/>
  <c r="N31" i="7" s="1"/>
  <c r="P10" i="7"/>
  <c r="P32" i="7" s="1"/>
  <c r="S339" i="6"/>
  <c r="S338" i="6"/>
  <c r="C50" i="7"/>
  <c r="E52" i="7"/>
  <c r="E60" i="7" s="1"/>
  <c r="K227" i="6"/>
  <c r="M11" i="7"/>
  <c r="Q7" i="7"/>
  <c r="H422" i="6"/>
  <c r="K381" i="6"/>
  <c r="S299" i="6"/>
  <c r="K303" i="6" s="1"/>
  <c r="N13" i="7"/>
  <c r="M271" i="6"/>
  <c r="N22" i="7" s="1"/>
  <c r="K266" i="6"/>
  <c r="N18" i="7" s="1"/>
  <c r="M270" i="6"/>
  <c r="N21" i="7" s="1"/>
  <c r="K259" i="6"/>
  <c r="M273" i="6" s="1"/>
  <c r="N24" i="7" s="1"/>
  <c r="I14" i="7"/>
  <c r="K219" i="5"/>
  <c r="M225" i="5"/>
  <c r="I24" i="7" s="1"/>
  <c r="H19" i="7"/>
  <c r="N186" i="5"/>
  <c r="H42" i="7" s="1"/>
  <c r="N192" i="6"/>
  <c r="L42" i="7" s="1"/>
  <c r="L19" i="7"/>
  <c r="I11" i="7"/>
  <c r="K221" i="5"/>
  <c r="P95" i="7"/>
  <c r="P94" i="7"/>
  <c r="P93" i="7"/>
  <c r="F40" i="7"/>
  <c r="N255" i="6"/>
  <c r="N39" i="7" s="1"/>
  <c r="N275" i="6"/>
  <c r="N40" i="7" s="1"/>
  <c r="H103" i="7" l="1"/>
  <c r="H31" i="7"/>
  <c r="L103" i="7"/>
  <c r="L31" i="7"/>
  <c r="N103" i="7"/>
  <c r="S340" i="6"/>
  <c r="K344" i="6" s="1"/>
  <c r="K343" i="6" s="1"/>
  <c r="N116" i="7"/>
  <c r="C58" i="7"/>
  <c r="C77" i="7" s="1"/>
  <c r="C80" i="7" s="1"/>
  <c r="C82" i="7" s="1"/>
  <c r="N38" i="7"/>
  <c r="N55" i="7" s="1"/>
  <c r="I86" i="7"/>
  <c r="I87" i="7" s="1"/>
  <c r="N85" i="7"/>
  <c r="M312" i="6"/>
  <c r="O21" i="7" s="1"/>
  <c r="K308" i="6"/>
  <c r="O18" i="7" s="1"/>
  <c r="O13" i="7"/>
  <c r="P12" i="7"/>
  <c r="K349" i="6"/>
  <c r="P17" i="7" s="1"/>
  <c r="F58" i="7"/>
  <c r="F77" i="7" s="1"/>
  <c r="F80" i="7" s="1"/>
  <c r="F82" i="7" s="1"/>
  <c r="U105" i="5"/>
  <c r="N233" i="6"/>
  <c r="M40" i="7" s="1"/>
  <c r="M16" i="7"/>
  <c r="M101" i="7" s="1"/>
  <c r="R7" i="7"/>
  <c r="K423" i="6"/>
  <c r="I16" i="7"/>
  <c r="I101" i="7" s="1"/>
  <c r="N227" i="5"/>
  <c r="I40" i="7" s="1"/>
  <c r="J11" i="7"/>
  <c r="K265" i="6"/>
  <c r="N17" i="7" s="1"/>
  <c r="N12" i="7"/>
  <c r="Q94" i="7"/>
  <c r="Q95" i="7"/>
  <c r="Q93" i="7"/>
  <c r="K311" i="6"/>
  <c r="O16" i="7" s="1"/>
  <c r="O11" i="7"/>
  <c r="S381" i="6"/>
  <c r="M398" i="6" s="1"/>
  <c r="Q23" i="7" s="1"/>
  <c r="Q10" i="7"/>
  <c r="Q32" i="7" s="1"/>
  <c r="S380" i="6"/>
  <c r="P13" i="7"/>
  <c r="K350" i="6"/>
  <c r="P18" i="7" s="1"/>
  <c r="N228" i="5"/>
  <c r="I19" i="7"/>
  <c r="E66" i="7"/>
  <c r="E98" i="7" s="1"/>
  <c r="E63" i="7"/>
  <c r="S341" i="6"/>
  <c r="K345" i="6" s="1"/>
  <c r="M355" i="6" s="1"/>
  <c r="P22" i="7" s="1"/>
  <c r="K310" i="6"/>
  <c r="O20" i="7" s="1"/>
  <c r="O15" i="7"/>
  <c r="K304" i="6"/>
  <c r="C43" i="7"/>
  <c r="M356" i="6"/>
  <c r="P23" i="7" s="1"/>
  <c r="M313" i="6"/>
  <c r="O22" i="7" s="1"/>
  <c r="K307" i="6"/>
  <c r="O17" i="7" s="1"/>
  <c r="O12" i="7"/>
  <c r="N296" i="6"/>
  <c r="O326" i="6" s="1"/>
  <c r="N276" i="6"/>
  <c r="N42" i="7" s="1"/>
  <c r="E93" i="3"/>
  <c r="C64" i="7" l="1"/>
  <c r="C96" i="7" s="1"/>
  <c r="C110" i="7" s="1"/>
  <c r="C113" i="7" s="1"/>
  <c r="O102" i="7"/>
  <c r="I103" i="7"/>
  <c r="I31" i="7"/>
  <c r="E123" i="7"/>
  <c r="E125" i="7" s="1"/>
  <c r="E112" i="7"/>
  <c r="E115" i="7" s="1"/>
  <c r="O117" i="7"/>
  <c r="O101" i="7"/>
  <c r="P116" i="7"/>
  <c r="O116" i="7"/>
  <c r="C61" i="7"/>
  <c r="P102" i="7"/>
  <c r="S382" i="6"/>
  <c r="K386" i="6" s="1"/>
  <c r="K385" i="6" s="1"/>
  <c r="N102" i="7"/>
  <c r="O37" i="7"/>
  <c r="U317" i="6"/>
  <c r="U276" i="6"/>
  <c r="N41" i="7" s="1"/>
  <c r="N86" i="7"/>
  <c r="N87" i="7" s="1"/>
  <c r="F47" i="7"/>
  <c r="X103" i="5"/>
  <c r="F51" i="7" s="1"/>
  <c r="F59" i="7" s="1"/>
  <c r="C45" i="7"/>
  <c r="C49" i="7" s="1"/>
  <c r="N164" i="3"/>
  <c r="U164" i="3" s="1"/>
  <c r="K352" i="6"/>
  <c r="P20" i="7" s="1"/>
  <c r="P15" i="7"/>
  <c r="K346" i="6"/>
  <c r="Q13" i="7"/>
  <c r="K392" i="6"/>
  <c r="Q18" i="7" s="1"/>
  <c r="K347" i="6"/>
  <c r="O14" i="7"/>
  <c r="K309" i="6"/>
  <c r="O19" i="7" s="1"/>
  <c r="O31" i="7" s="1"/>
  <c r="M315" i="6"/>
  <c r="O24" i="7" s="1"/>
  <c r="E92" i="7"/>
  <c r="E69" i="7"/>
  <c r="J16" i="7"/>
  <c r="J101" i="7" s="1"/>
  <c r="R10" i="7"/>
  <c r="R32" i="7" s="1"/>
  <c r="S423" i="6"/>
  <c r="M440" i="6" s="1"/>
  <c r="R23" i="7" s="1"/>
  <c r="S422" i="6"/>
  <c r="K391" i="6"/>
  <c r="Q17" i="7" s="1"/>
  <c r="Q12" i="7"/>
  <c r="F43" i="7"/>
  <c r="N115" i="5"/>
  <c r="I42" i="7"/>
  <c r="Q228" i="5"/>
  <c r="I52" i="7" s="1"/>
  <c r="I60" i="7" s="1"/>
  <c r="F64" i="7"/>
  <c r="F61" i="7"/>
  <c r="M354" i="6"/>
  <c r="P21" i="7" s="1"/>
  <c r="S383" i="6"/>
  <c r="K387" i="6" s="1"/>
  <c r="M396" i="6" s="1"/>
  <c r="Q21" i="7" s="1"/>
  <c r="R93" i="7"/>
  <c r="R95" i="7"/>
  <c r="R94" i="7"/>
  <c r="N297" i="6"/>
  <c r="O39" i="7" s="1"/>
  <c r="N317" i="6"/>
  <c r="O40" i="7" s="1"/>
  <c r="N51" i="3"/>
  <c r="P51" i="3"/>
  <c r="C90" i="7" l="1"/>
  <c r="C99" i="7" s="1"/>
  <c r="C67" i="7"/>
  <c r="E119" i="7"/>
  <c r="E121" i="7" s="1"/>
  <c r="E106" i="7"/>
  <c r="E109" i="7" s="1"/>
  <c r="O103" i="7"/>
  <c r="Q102" i="7"/>
  <c r="Q116" i="7"/>
  <c r="P117" i="7"/>
  <c r="U106" i="5"/>
  <c r="F44" i="7" s="1"/>
  <c r="O38" i="7"/>
  <c r="O55" i="7" s="1"/>
  <c r="U318" i="6"/>
  <c r="O41" i="7" s="1"/>
  <c r="F62" i="7"/>
  <c r="F78" i="7"/>
  <c r="F81" i="7" s="1"/>
  <c r="F83" i="7" s="1"/>
  <c r="F65" i="7"/>
  <c r="F97" i="7" s="1"/>
  <c r="O85" i="7"/>
  <c r="D47" i="7"/>
  <c r="X162" i="3"/>
  <c r="D51" i="7" s="1"/>
  <c r="D59" i="7" s="1"/>
  <c r="S424" i="6"/>
  <c r="K428" i="6" s="1"/>
  <c r="K434" i="6" s="1"/>
  <c r="R18" i="7" s="1"/>
  <c r="K389" i="6"/>
  <c r="P14" i="7"/>
  <c r="K351" i="6"/>
  <c r="P19" i="7" s="1"/>
  <c r="M357" i="6"/>
  <c r="P24" i="7" s="1"/>
  <c r="K394" i="6"/>
  <c r="Q20" i="7" s="1"/>
  <c r="Q15" i="7"/>
  <c r="K388" i="6"/>
  <c r="R13" i="7"/>
  <c r="M397" i="6"/>
  <c r="Q22" i="7" s="1"/>
  <c r="D43" i="7"/>
  <c r="N174" i="3"/>
  <c r="I63" i="7"/>
  <c r="I66" i="7"/>
  <c r="I98" i="7" s="1"/>
  <c r="K353" i="6"/>
  <c r="P16" i="7" s="1"/>
  <c r="P11" i="7"/>
  <c r="J40" i="7"/>
  <c r="C48" i="7"/>
  <c r="N143" i="3"/>
  <c r="D46" i="7" s="1"/>
  <c r="F90" i="7"/>
  <c r="F67" i="7"/>
  <c r="R229" i="5"/>
  <c r="F96" i="7"/>
  <c r="F110" i="7" s="1"/>
  <c r="F113" i="7" s="1"/>
  <c r="F45" i="7"/>
  <c r="F49" i="7" s="1"/>
  <c r="N145" i="5"/>
  <c r="U145" i="5" s="1"/>
  <c r="N116" i="5"/>
  <c r="Q104" i="5" s="1"/>
  <c r="S425" i="6"/>
  <c r="K429" i="6" s="1"/>
  <c r="M438" i="6" s="1"/>
  <c r="R21" i="7" s="1"/>
  <c r="N338" i="6"/>
  <c r="O368" i="6" s="1"/>
  <c r="N318" i="6"/>
  <c r="O42" i="7" s="1"/>
  <c r="E72" i="3"/>
  <c r="E67" i="3"/>
  <c r="O71" i="3" s="1"/>
  <c r="O51" i="3"/>
  <c r="C104" i="7" l="1"/>
  <c r="C107" i="7" s="1"/>
  <c r="P103" i="7"/>
  <c r="P31" i="7"/>
  <c r="I123" i="7"/>
  <c r="I125" i="7" s="1"/>
  <c r="I112" i="7"/>
  <c r="I115" i="7" s="1"/>
  <c r="P101" i="7"/>
  <c r="Q117" i="7"/>
  <c r="R116" i="7"/>
  <c r="F99" i="7"/>
  <c r="F104" i="7"/>
  <c r="F107" i="7" s="1"/>
  <c r="F122" i="7"/>
  <c r="F124" i="7" s="1"/>
  <c r="F111" i="7"/>
  <c r="F114" i="7" s="1"/>
  <c r="E75" i="3"/>
  <c r="P37" i="7"/>
  <c r="U359" i="6"/>
  <c r="G47" i="7"/>
  <c r="X143" i="5"/>
  <c r="O86" i="7"/>
  <c r="O87" i="7" s="1"/>
  <c r="F91" i="7"/>
  <c r="F68" i="7"/>
  <c r="U165" i="3"/>
  <c r="D44" i="7" s="1"/>
  <c r="D78" i="7"/>
  <c r="D81" i="7" s="1"/>
  <c r="D83" i="7" s="1"/>
  <c r="D65" i="7"/>
  <c r="D97" i="7" s="1"/>
  <c r="D62" i="7"/>
  <c r="K427" i="6"/>
  <c r="C52" i="7"/>
  <c r="Q162" i="3"/>
  <c r="D50" i="7" s="1"/>
  <c r="D58" i="7" s="1"/>
  <c r="D77" i="7" s="1"/>
  <c r="D80" i="7" s="1"/>
  <c r="D82" i="7" s="1"/>
  <c r="D45" i="7"/>
  <c r="D49" i="7" s="1"/>
  <c r="N175" i="3"/>
  <c r="N206" i="3"/>
  <c r="U206" i="3" s="1"/>
  <c r="F48" i="7"/>
  <c r="N124" i="5"/>
  <c r="F52" i="7"/>
  <c r="F60" i="7" s="1"/>
  <c r="J58" i="7"/>
  <c r="J77" i="7" s="1"/>
  <c r="J80" i="7" s="1"/>
  <c r="J82" i="7" s="1"/>
  <c r="N111" i="6"/>
  <c r="U111" i="6" s="1"/>
  <c r="K395" i="6"/>
  <c r="Q16" i="7" s="1"/>
  <c r="Q11" i="7"/>
  <c r="K436" i="6"/>
  <c r="R20" i="7" s="1"/>
  <c r="R15" i="7"/>
  <c r="K430" i="6"/>
  <c r="I92" i="7"/>
  <c r="I69" i="7"/>
  <c r="K431" i="6"/>
  <c r="Q14" i="7"/>
  <c r="M399" i="6"/>
  <c r="Q24" i="7" s="1"/>
  <c r="K393" i="6"/>
  <c r="Q19" i="7" s="1"/>
  <c r="M439" i="6"/>
  <c r="R22" i="7" s="1"/>
  <c r="E62" i="3"/>
  <c r="E64" i="3" s="1"/>
  <c r="O70" i="3" s="1"/>
  <c r="G43" i="7"/>
  <c r="N155" i="5"/>
  <c r="N339" i="6"/>
  <c r="P39" i="7" s="1"/>
  <c r="N359" i="6"/>
  <c r="P40" i="7" s="1"/>
  <c r="I70" i="3"/>
  <c r="Q103" i="7" l="1"/>
  <c r="Q31" i="7"/>
  <c r="I119" i="7"/>
  <c r="I121" i="7" s="1"/>
  <c r="I106" i="7"/>
  <c r="I109" i="7" s="1"/>
  <c r="C60" i="7"/>
  <c r="C63" i="7" s="1"/>
  <c r="D122" i="7"/>
  <c r="D124" i="7" s="1"/>
  <c r="D111" i="7"/>
  <c r="D114" i="7" s="1"/>
  <c r="K433" i="6"/>
  <c r="R17" i="7" s="1"/>
  <c r="R12" i="7"/>
  <c r="F118" i="7"/>
  <c r="F120" i="7" s="1"/>
  <c r="F105" i="7"/>
  <c r="F108" i="7" s="1"/>
  <c r="R117" i="7"/>
  <c r="Q101" i="7"/>
  <c r="P38" i="7"/>
  <c r="P55" i="7" s="1"/>
  <c r="U360" i="6"/>
  <c r="P41" i="7" s="1"/>
  <c r="J47" i="7"/>
  <c r="X109" i="6"/>
  <c r="P85" i="7"/>
  <c r="U146" i="5"/>
  <c r="G44" i="7" s="1"/>
  <c r="G51" i="7"/>
  <c r="G59" i="7" s="1"/>
  <c r="D68" i="7"/>
  <c r="D91" i="7"/>
  <c r="E47" i="7"/>
  <c r="X204" i="3"/>
  <c r="E51" i="7" s="1"/>
  <c r="E59" i="7" s="1"/>
  <c r="E74" i="3"/>
  <c r="C80" i="3" s="1"/>
  <c r="E82" i="3" s="1"/>
  <c r="F66" i="7"/>
  <c r="F63" i="7"/>
  <c r="R14" i="7"/>
  <c r="K435" i="6"/>
  <c r="R19" i="7" s="1"/>
  <c r="R31" i="7" s="1"/>
  <c r="M441" i="6"/>
  <c r="R24" i="7" s="1"/>
  <c r="K437" i="6"/>
  <c r="R16" i="7" s="1"/>
  <c r="R11" i="7"/>
  <c r="J43" i="7"/>
  <c r="N121" i="6"/>
  <c r="D61" i="7"/>
  <c r="D64" i="7"/>
  <c r="G45" i="7"/>
  <c r="G49" i="7" s="1"/>
  <c r="N187" i="5"/>
  <c r="U187" i="5" s="1"/>
  <c r="N156" i="5"/>
  <c r="D48" i="7"/>
  <c r="N185" i="3"/>
  <c r="E46" i="7" s="1"/>
  <c r="Q163" i="3"/>
  <c r="G46" i="7"/>
  <c r="Q143" i="5"/>
  <c r="G50" i="7" s="1"/>
  <c r="G58" i="7" s="1"/>
  <c r="G77" i="7" s="1"/>
  <c r="G80" i="7" s="1"/>
  <c r="G82" i="7" s="1"/>
  <c r="J61" i="7"/>
  <c r="J64" i="7"/>
  <c r="E43" i="7"/>
  <c r="N216" i="3"/>
  <c r="E45" i="7" s="1"/>
  <c r="N380" i="6"/>
  <c r="O410" i="6" s="1"/>
  <c r="N360" i="6"/>
  <c r="P42" i="7" s="1"/>
  <c r="C66" i="7" l="1"/>
  <c r="C98" i="7" s="1"/>
  <c r="R102" i="7"/>
  <c r="R103" i="7"/>
  <c r="R101" i="7"/>
  <c r="D118" i="7"/>
  <c r="D120" i="7" s="1"/>
  <c r="D105" i="7"/>
  <c r="D108" i="7" s="1"/>
  <c r="P86" i="7"/>
  <c r="P87" i="7" s="1"/>
  <c r="Q37" i="7"/>
  <c r="U401" i="6"/>
  <c r="U112" i="6"/>
  <c r="J44" i="7" s="1"/>
  <c r="J51" i="7"/>
  <c r="J59" i="7" s="1"/>
  <c r="H47" i="7"/>
  <c r="X185" i="5"/>
  <c r="G62" i="7"/>
  <c r="G78" i="7"/>
  <c r="G81" i="7" s="1"/>
  <c r="G83" i="7" s="1"/>
  <c r="G65" i="7"/>
  <c r="G97" i="7" s="1"/>
  <c r="U207" i="3"/>
  <c r="E44" i="7" s="1"/>
  <c r="E49" i="7"/>
  <c r="E62" i="7"/>
  <c r="E65" i="7"/>
  <c r="E97" i="7" s="1"/>
  <c r="E78" i="7"/>
  <c r="E81" i="7" s="1"/>
  <c r="E83" i="7" s="1"/>
  <c r="C92" i="7"/>
  <c r="J96" i="7"/>
  <c r="J110" i="7" s="1"/>
  <c r="J113" i="7" s="1"/>
  <c r="D52" i="7"/>
  <c r="D60" i="7" s="1"/>
  <c r="Q204" i="3"/>
  <c r="E50" i="7" s="1"/>
  <c r="E58" i="7" s="1"/>
  <c r="E77" i="7" s="1"/>
  <c r="E80" i="7" s="1"/>
  <c r="E82" i="7" s="1"/>
  <c r="H43" i="7"/>
  <c r="N197" i="5"/>
  <c r="N151" i="6"/>
  <c r="U151" i="6" s="1"/>
  <c r="J45" i="7"/>
  <c r="J49" i="7" s="1"/>
  <c r="N122" i="6"/>
  <c r="F92" i="7"/>
  <c r="F69" i="7"/>
  <c r="J90" i="7"/>
  <c r="J67" i="7"/>
  <c r="F98" i="7"/>
  <c r="G48" i="7"/>
  <c r="Q144" i="5"/>
  <c r="G52" i="7" s="1"/>
  <c r="G60" i="7" s="1"/>
  <c r="N166" i="5"/>
  <c r="D90" i="7"/>
  <c r="D67" i="7"/>
  <c r="G61" i="7"/>
  <c r="G64" i="7"/>
  <c r="D96" i="7"/>
  <c r="D110" i="7" s="1"/>
  <c r="D113" i="7" s="1"/>
  <c r="N381" i="6"/>
  <c r="Q39" i="7" s="1"/>
  <c r="N401" i="6"/>
  <c r="Q40" i="7" s="1"/>
  <c r="C69" i="7" l="1"/>
  <c r="F123" i="7"/>
  <c r="F125" i="7" s="1"/>
  <c r="F112" i="7"/>
  <c r="F115" i="7" s="1"/>
  <c r="F119" i="7"/>
  <c r="F121" i="7" s="1"/>
  <c r="F106" i="7"/>
  <c r="F109" i="7" s="1"/>
  <c r="C123" i="7"/>
  <c r="C125" i="7" s="1"/>
  <c r="C112" i="7"/>
  <c r="C115" i="7" s="1"/>
  <c r="C119" i="7"/>
  <c r="C121" i="7" s="1"/>
  <c r="C106" i="7"/>
  <c r="C109" i="7" s="1"/>
  <c r="E122" i="7"/>
  <c r="E124" i="7" s="1"/>
  <c r="E111" i="7"/>
  <c r="E114" i="7" s="1"/>
  <c r="G122" i="7"/>
  <c r="G124" i="7" s="1"/>
  <c r="G111" i="7"/>
  <c r="G114" i="7" s="1"/>
  <c r="J99" i="7"/>
  <c r="J104" i="7"/>
  <c r="J107" i="7" s="1"/>
  <c r="D99" i="7"/>
  <c r="D104" i="7"/>
  <c r="D107" i="7" s="1"/>
  <c r="U402" i="6"/>
  <c r="Q41" i="7" s="1"/>
  <c r="Q38" i="7"/>
  <c r="Q55" i="7" s="1"/>
  <c r="J78" i="7"/>
  <c r="J81" i="7" s="1"/>
  <c r="J83" i="7" s="1"/>
  <c r="J65" i="7"/>
  <c r="J97" i="7" s="1"/>
  <c r="J62" i="7"/>
  <c r="K47" i="7"/>
  <c r="X149" i="6"/>
  <c r="G91" i="7"/>
  <c r="G68" i="7"/>
  <c r="U188" i="5"/>
  <c r="H44" i="7" s="1"/>
  <c r="H51" i="7"/>
  <c r="H59" i="7" s="1"/>
  <c r="Q85" i="7"/>
  <c r="E68" i="7"/>
  <c r="E91" i="7"/>
  <c r="G96" i="7"/>
  <c r="G110" i="7" s="1"/>
  <c r="G113" i="7" s="1"/>
  <c r="K43" i="7"/>
  <c r="N161" i="6"/>
  <c r="D63" i="7"/>
  <c r="D66" i="7"/>
  <c r="G63" i="7"/>
  <c r="G66" i="7"/>
  <c r="G98" i="7" s="1"/>
  <c r="J48" i="7"/>
  <c r="Q110" i="6"/>
  <c r="J52" i="7" s="1"/>
  <c r="J60" i="7" s="1"/>
  <c r="N130" i="6"/>
  <c r="E64" i="7"/>
  <c r="E61" i="7"/>
  <c r="G90" i="7"/>
  <c r="G67" i="7"/>
  <c r="H46" i="7"/>
  <c r="Q185" i="5"/>
  <c r="H50" i="7" s="1"/>
  <c r="H58" i="7" s="1"/>
  <c r="H77" i="7" s="1"/>
  <c r="H80" i="7" s="1"/>
  <c r="H82" i="7" s="1"/>
  <c r="H45" i="7"/>
  <c r="H49" i="7" s="1"/>
  <c r="N198" i="5"/>
  <c r="N229" i="5"/>
  <c r="U229" i="5" s="1"/>
  <c r="N422" i="6"/>
  <c r="N402" i="6"/>
  <c r="Q42" i="7" s="1"/>
  <c r="G123" i="7" l="1"/>
  <c r="G125" i="7" s="1"/>
  <c r="G112" i="7"/>
  <c r="G115" i="7" s="1"/>
  <c r="E118" i="7"/>
  <c r="E120" i="7" s="1"/>
  <c r="E105" i="7"/>
  <c r="E108" i="7" s="1"/>
  <c r="G118" i="7"/>
  <c r="G120" i="7" s="1"/>
  <c r="G105" i="7"/>
  <c r="G108" i="7" s="1"/>
  <c r="J122" i="7"/>
  <c r="J124" i="7" s="1"/>
  <c r="J111" i="7"/>
  <c r="J114" i="7" s="1"/>
  <c r="U443" i="6"/>
  <c r="U444" i="6" s="1"/>
  <c r="R41" i="7" s="1"/>
  <c r="O452" i="6"/>
  <c r="G99" i="7"/>
  <c r="G104" i="7"/>
  <c r="G107" i="7" s="1"/>
  <c r="Q86" i="7"/>
  <c r="Q87" i="7" s="1"/>
  <c r="R38" i="7"/>
  <c r="J68" i="7"/>
  <c r="J91" i="7"/>
  <c r="U152" i="6"/>
  <c r="K44" i="7" s="1"/>
  <c r="K51" i="7"/>
  <c r="K59" i="7" s="1"/>
  <c r="H78" i="7"/>
  <c r="H81" i="7" s="1"/>
  <c r="H83" i="7" s="1"/>
  <c r="H65" i="7"/>
  <c r="H97" i="7" s="1"/>
  <c r="H62" i="7"/>
  <c r="I47" i="7"/>
  <c r="X227" i="5"/>
  <c r="I51" i="7" s="1"/>
  <c r="I59" i="7" s="1"/>
  <c r="E96" i="7"/>
  <c r="E110" i="7" s="1"/>
  <c r="E113" i="7" s="1"/>
  <c r="H61" i="7"/>
  <c r="H64" i="7"/>
  <c r="K46" i="7"/>
  <c r="Q149" i="6"/>
  <c r="J66" i="7"/>
  <c r="J63" i="7"/>
  <c r="D98" i="7"/>
  <c r="N193" i="6"/>
  <c r="U193" i="6" s="1"/>
  <c r="K45" i="7"/>
  <c r="K49" i="7" s="1"/>
  <c r="N162" i="6"/>
  <c r="R37" i="7"/>
  <c r="G92" i="7"/>
  <c r="G69" i="7"/>
  <c r="I43" i="7"/>
  <c r="N239" i="5"/>
  <c r="I45" i="7" s="1"/>
  <c r="H48" i="7"/>
  <c r="N208" i="5"/>
  <c r="Q186" i="5"/>
  <c r="H52" i="7" s="1"/>
  <c r="H60" i="7" s="1"/>
  <c r="E90" i="7"/>
  <c r="E67" i="7"/>
  <c r="D92" i="7"/>
  <c r="D69" i="7"/>
  <c r="N443" i="6"/>
  <c r="R40" i="7" s="1"/>
  <c r="N423" i="6"/>
  <c r="G119" i="7" l="1"/>
  <c r="G121" i="7" s="1"/>
  <c r="G106" i="7"/>
  <c r="G109" i="7" s="1"/>
  <c r="D123" i="7"/>
  <c r="D125" i="7" s="1"/>
  <c r="D112" i="7"/>
  <c r="D115" i="7" s="1"/>
  <c r="D119" i="7"/>
  <c r="D121" i="7" s="1"/>
  <c r="D106" i="7"/>
  <c r="D109" i="7" s="1"/>
  <c r="E99" i="7"/>
  <c r="E104" i="7"/>
  <c r="E107" i="7" s="1"/>
  <c r="H122" i="7"/>
  <c r="H124" i="7" s="1"/>
  <c r="H111" i="7"/>
  <c r="H114" i="7" s="1"/>
  <c r="J118" i="7"/>
  <c r="J120" i="7" s="1"/>
  <c r="J105" i="7"/>
  <c r="J108" i="7" s="1"/>
  <c r="K50" i="7"/>
  <c r="K58" i="7" s="1"/>
  <c r="L47" i="7"/>
  <c r="X191" i="6"/>
  <c r="K62" i="7"/>
  <c r="K78" i="7"/>
  <c r="K81" i="7" s="1"/>
  <c r="K83" i="7" s="1"/>
  <c r="K65" i="7"/>
  <c r="K97" i="7" s="1"/>
  <c r="H91" i="7"/>
  <c r="H68" i="7"/>
  <c r="I78" i="7"/>
  <c r="I81" i="7" s="1"/>
  <c r="I83" i="7" s="1"/>
  <c r="I65" i="7"/>
  <c r="I97" i="7" s="1"/>
  <c r="I62" i="7"/>
  <c r="U230" i="5"/>
  <c r="I44" i="7" s="1"/>
  <c r="I49" i="7"/>
  <c r="J92" i="7"/>
  <c r="J69" i="7"/>
  <c r="H96" i="7"/>
  <c r="H110" i="7" s="1"/>
  <c r="H113" i="7" s="1"/>
  <c r="N444" i="6"/>
  <c r="R39" i="7"/>
  <c r="L43" i="7"/>
  <c r="N203" i="6"/>
  <c r="H90" i="7"/>
  <c r="H67" i="7"/>
  <c r="H63" i="7"/>
  <c r="H66" i="7"/>
  <c r="H98" i="7" s="1"/>
  <c r="J98" i="7"/>
  <c r="I46" i="7"/>
  <c r="Q227" i="5"/>
  <c r="K48" i="7"/>
  <c r="N172" i="6"/>
  <c r="Q150" i="6"/>
  <c r="K52" i="7" s="1"/>
  <c r="K60" i="7" s="1"/>
  <c r="H123" i="7" l="1"/>
  <c r="H125" i="7" s="1"/>
  <c r="H112" i="7"/>
  <c r="H115" i="7" s="1"/>
  <c r="J119" i="7"/>
  <c r="J121" i="7" s="1"/>
  <c r="J106" i="7"/>
  <c r="J109" i="7" s="1"/>
  <c r="J123" i="7"/>
  <c r="J125" i="7" s="1"/>
  <c r="J112" i="7"/>
  <c r="J115" i="7" s="1"/>
  <c r="I122" i="7"/>
  <c r="I124" i="7" s="1"/>
  <c r="I111" i="7"/>
  <c r="I114" i="7" s="1"/>
  <c r="H99" i="7"/>
  <c r="H104" i="7"/>
  <c r="H107" i="7" s="1"/>
  <c r="K122" i="7"/>
  <c r="K124" i="7" s="1"/>
  <c r="K111" i="7"/>
  <c r="K114" i="7" s="1"/>
  <c r="H118" i="7"/>
  <c r="H120" i="7" s="1"/>
  <c r="H105" i="7"/>
  <c r="H108" i="7" s="1"/>
  <c r="K77" i="7"/>
  <c r="K80" i="7" s="1"/>
  <c r="K82" i="7" s="1"/>
  <c r="K61" i="7"/>
  <c r="K90" i="7" s="1"/>
  <c r="K64" i="7"/>
  <c r="K96" i="7" s="1"/>
  <c r="K110" i="7" s="1"/>
  <c r="K113" i="7" s="1"/>
  <c r="I50" i="7"/>
  <c r="I58" i="7" s="1"/>
  <c r="I77" i="7" s="1"/>
  <c r="I80" i="7" s="1"/>
  <c r="I82" i="7" s="1"/>
  <c r="U194" i="6"/>
  <c r="L44" i="7" s="1"/>
  <c r="L51" i="7"/>
  <c r="L59" i="7" s="1"/>
  <c r="K91" i="7"/>
  <c r="K68" i="7"/>
  <c r="R85" i="7"/>
  <c r="R55" i="7"/>
  <c r="I91" i="7"/>
  <c r="I68" i="7"/>
  <c r="R42" i="7"/>
  <c r="Q444" i="6"/>
  <c r="K63" i="7"/>
  <c r="K66" i="7"/>
  <c r="K98" i="7" s="1"/>
  <c r="L46" i="7"/>
  <c r="Q191" i="6"/>
  <c r="H92" i="7"/>
  <c r="H69" i="7"/>
  <c r="N235" i="6"/>
  <c r="U235" i="6" s="1"/>
  <c r="L45" i="7"/>
  <c r="L49" i="7" s="1"/>
  <c r="N204" i="6"/>
  <c r="K123" i="7" l="1"/>
  <c r="K125" i="7" s="1"/>
  <c r="K112" i="7"/>
  <c r="K115" i="7" s="1"/>
  <c r="H119" i="7"/>
  <c r="H121" i="7" s="1"/>
  <c r="H106" i="7"/>
  <c r="H109" i="7" s="1"/>
  <c r="K67" i="7"/>
  <c r="I118" i="7"/>
  <c r="I120" i="7" s="1"/>
  <c r="I105" i="7"/>
  <c r="I108" i="7" s="1"/>
  <c r="K118" i="7"/>
  <c r="K120" i="7" s="1"/>
  <c r="K105" i="7"/>
  <c r="K108" i="7" s="1"/>
  <c r="K99" i="7"/>
  <c r="K104" i="7"/>
  <c r="K107" i="7" s="1"/>
  <c r="I61" i="7"/>
  <c r="I64" i="7"/>
  <c r="I96" i="7" s="1"/>
  <c r="I110" i="7" s="1"/>
  <c r="I113" i="7" s="1"/>
  <c r="L50" i="7"/>
  <c r="L58" i="7" s="1"/>
  <c r="R86" i="7"/>
  <c r="R87" i="7" s="1"/>
  <c r="C88" i="7" s="1"/>
  <c r="M47" i="7"/>
  <c r="X233" i="6"/>
  <c r="L62" i="7"/>
  <c r="L78" i="7"/>
  <c r="L81" i="7" s="1"/>
  <c r="L83" i="7" s="1"/>
  <c r="L65" i="7"/>
  <c r="L97" i="7" s="1"/>
  <c r="M43" i="7"/>
  <c r="N245" i="6"/>
  <c r="L48" i="7"/>
  <c r="Q192" i="6"/>
  <c r="L52" i="7" s="1"/>
  <c r="L60" i="7" s="1"/>
  <c r="N214" i="6"/>
  <c r="K92" i="7"/>
  <c r="K69" i="7"/>
  <c r="I90" i="7"/>
  <c r="R445" i="6"/>
  <c r="R52" i="7"/>
  <c r="R60" i="7" s="1"/>
  <c r="I67" i="7" l="1"/>
  <c r="K119" i="7"/>
  <c r="K121" i="7" s="1"/>
  <c r="K106" i="7"/>
  <c r="K109" i="7" s="1"/>
  <c r="I99" i="7"/>
  <c r="I104" i="7"/>
  <c r="I107" i="7" s="1"/>
  <c r="L122" i="7"/>
  <c r="L124" i="7" s="1"/>
  <c r="L111" i="7"/>
  <c r="L114" i="7" s="1"/>
  <c r="L77" i="7"/>
  <c r="L80" i="7" s="1"/>
  <c r="L82" i="7" s="1"/>
  <c r="L61" i="7"/>
  <c r="L90" i="7" s="1"/>
  <c r="L64" i="7"/>
  <c r="L96" i="7" s="1"/>
  <c r="L110" i="7" s="1"/>
  <c r="L113" i="7" s="1"/>
  <c r="L91" i="7"/>
  <c r="L68" i="7"/>
  <c r="U236" i="6"/>
  <c r="M44" i="7" s="1"/>
  <c r="M51" i="7"/>
  <c r="M59" i="7" s="1"/>
  <c r="R63" i="7"/>
  <c r="R66" i="7"/>
  <c r="R98" i="7" s="1"/>
  <c r="L63" i="7"/>
  <c r="L66" i="7"/>
  <c r="L98" i="7" s="1"/>
  <c r="N277" i="6"/>
  <c r="U277" i="6" s="1"/>
  <c r="M45" i="7"/>
  <c r="M49" i="7" s="1"/>
  <c r="N246" i="6"/>
  <c r="M46" i="7"/>
  <c r="Q233" i="6"/>
  <c r="R123" i="7" l="1"/>
  <c r="R125" i="7" s="1"/>
  <c r="R112" i="7"/>
  <c r="R115" i="7" s="1"/>
  <c r="L123" i="7"/>
  <c r="L125" i="7" s="1"/>
  <c r="L112" i="7"/>
  <c r="L115" i="7" s="1"/>
  <c r="L99" i="7"/>
  <c r="L104" i="7"/>
  <c r="L107" i="7" s="1"/>
  <c r="L118" i="7"/>
  <c r="L120" i="7" s="1"/>
  <c r="L105" i="7"/>
  <c r="L108" i="7" s="1"/>
  <c r="L67" i="7"/>
  <c r="M50" i="7"/>
  <c r="M58" i="7" s="1"/>
  <c r="M62" i="7"/>
  <c r="M65" i="7"/>
  <c r="M97" i="7" s="1"/>
  <c r="M78" i="7"/>
  <c r="M81" i="7" s="1"/>
  <c r="M83" i="7" s="1"/>
  <c r="N47" i="7"/>
  <c r="X275" i="6"/>
  <c r="N43" i="7"/>
  <c r="N287" i="6"/>
  <c r="L92" i="7"/>
  <c r="L69" i="7"/>
  <c r="M48" i="7"/>
  <c r="N256" i="6"/>
  <c r="Q234" i="6"/>
  <c r="M52" i="7" s="1"/>
  <c r="M60" i="7" s="1"/>
  <c r="R92" i="7"/>
  <c r="R69" i="7"/>
  <c r="R119" i="7" l="1"/>
  <c r="R121" i="7" s="1"/>
  <c r="R106" i="7"/>
  <c r="R109" i="7" s="1"/>
  <c r="L119" i="7"/>
  <c r="L121" i="7" s="1"/>
  <c r="L106" i="7"/>
  <c r="L109" i="7" s="1"/>
  <c r="M122" i="7"/>
  <c r="M124" i="7" s="1"/>
  <c r="M111" i="7"/>
  <c r="M114" i="7" s="1"/>
  <c r="M77" i="7"/>
  <c r="M80" i="7" s="1"/>
  <c r="M82" i="7" s="1"/>
  <c r="M61" i="7"/>
  <c r="M90" i="7" s="1"/>
  <c r="M64" i="7"/>
  <c r="M96" i="7" s="1"/>
  <c r="M110" i="7" s="1"/>
  <c r="M113" i="7" s="1"/>
  <c r="U278" i="6"/>
  <c r="N44" i="7" s="1"/>
  <c r="N51" i="7"/>
  <c r="N59" i="7" s="1"/>
  <c r="M68" i="7"/>
  <c r="M91" i="7"/>
  <c r="N319" i="6"/>
  <c r="U319" i="6" s="1"/>
  <c r="N45" i="7"/>
  <c r="N49" i="7" s="1"/>
  <c r="N288" i="6"/>
  <c r="M63" i="7"/>
  <c r="M66" i="7"/>
  <c r="M98" i="7" s="1"/>
  <c r="N46" i="7"/>
  <c r="Q275" i="6"/>
  <c r="N50" i="7" s="1"/>
  <c r="N58" i="7" s="1"/>
  <c r="N77" i="7" s="1"/>
  <c r="N80" i="7" s="1"/>
  <c r="N82" i="7" s="1"/>
  <c r="M123" i="7" l="1"/>
  <c r="M125" i="7" s="1"/>
  <c r="M112" i="7"/>
  <c r="M115" i="7" s="1"/>
  <c r="M99" i="7"/>
  <c r="M104" i="7"/>
  <c r="M107" i="7" s="1"/>
  <c r="M118" i="7"/>
  <c r="M120" i="7" s="1"/>
  <c r="M105" i="7"/>
  <c r="M108" i="7" s="1"/>
  <c r="M67" i="7"/>
  <c r="O47" i="7"/>
  <c r="X317" i="6"/>
  <c r="O51" i="7" s="1"/>
  <c r="O59" i="7" s="1"/>
  <c r="N62" i="7"/>
  <c r="N78" i="7"/>
  <c r="N81" i="7" s="1"/>
  <c r="N83" i="7" s="1"/>
  <c r="N65" i="7"/>
  <c r="N97" i="7" s="1"/>
  <c r="N48" i="7"/>
  <c r="N298" i="6"/>
  <c r="Q276" i="6"/>
  <c r="N52" i="7" s="1"/>
  <c r="N60" i="7" s="1"/>
  <c r="N61" i="7"/>
  <c r="N64" i="7"/>
  <c r="O43" i="7"/>
  <c r="N329" i="6"/>
  <c r="M92" i="7"/>
  <c r="M69" i="7"/>
  <c r="M119" i="7" l="1"/>
  <c r="M121" i="7" s="1"/>
  <c r="M106" i="7"/>
  <c r="M109" i="7" s="1"/>
  <c r="N122" i="7"/>
  <c r="N124" i="7" s="1"/>
  <c r="N111" i="7"/>
  <c r="N114" i="7" s="1"/>
  <c r="U320" i="6"/>
  <c r="O44" i="7" s="1"/>
  <c r="O65" i="7"/>
  <c r="O97" i="7" s="1"/>
  <c r="O62" i="7"/>
  <c r="O78" i="7"/>
  <c r="O81" i="7" s="1"/>
  <c r="O83" i="7" s="1"/>
  <c r="N91" i="7"/>
  <c r="N68" i="7"/>
  <c r="N361" i="6"/>
  <c r="U361" i="6" s="1"/>
  <c r="O45" i="7"/>
  <c r="O49" i="7" s="1"/>
  <c r="N330" i="6"/>
  <c r="O46" i="7"/>
  <c r="Q317" i="6"/>
  <c r="O50" i="7" s="1"/>
  <c r="O58" i="7" s="1"/>
  <c r="O77" i="7" s="1"/>
  <c r="O80" i="7" s="1"/>
  <c r="O82" i="7" s="1"/>
  <c r="N66" i="7"/>
  <c r="N98" i="7" s="1"/>
  <c r="N63" i="7"/>
  <c r="N96" i="7"/>
  <c r="N110" i="7" s="1"/>
  <c r="N113" i="7" s="1"/>
  <c r="N90" i="7"/>
  <c r="N67" i="7"/>
  <c r="N123" i="7" l="1"/>
  <c r="N125" i="7" s="1"/>
  <c r="N112" i="7"/>
  <c r="N115" i="7" s="1"/>
  <c r="N99" i="7"/>
  <c r="N104" i="7"/>
  <c r="N107" i="7" s="1"/>
  <c r="O111" i="7"/>
  <c r="O114" i="7" s="1"/>
  <c r="O122" i="7"/>
  <c r="O124" i="7" s="1"/>
  <c r="N118" i="7"/>
  <c r="N120" i="7" s="1"/>
  <c r="N105" i="7"/>
  <c r="N108" i="7" s="1"/>
  <c r="P47" i="7"/>
  <c r="X359" i="6"/>
  <c r="O91" i="7"/>
  <c r="O68" i="7"/>
  <c r="N92" i="7"/>
  <c r="N69" i="7"/>
  <c r="O48" i="7"/>
  <c r="N340" i="6"/>
  <c r="Q318" i="6"/>
  <c r="O52" i="7" s="1"/>
  <c r="O60" i="7" s="1"/>
  <c r="O61" i="7"/>
  <c r="O64" i="7"/>
  <c r="P43" i="7"/>
  <c r="N371" i="6"/>
  <c r="N119" i="7" l="1"/>
  <c r="N121" i="7" s="1"/>
  <c r="N106" i="7"/>
  <c r="N109" i="7" s="1"/>
  <c r="O105" i="7"/>
  <c r="O108" i="7" s="1"/>
  <c r="O118" i="7"/>
  <c r="O120" i="7" s="1"/>
  <c r="U362" i="6"/>
  <c r="P44" i="7" s="1"/>
  <c r="P51" i="7"/>
  <c r="P59" i="7" s="1"/>
  <c r="O96" i="7"/>
  <c r="O110" i="7" s="1"/>
  <c r="O113" i="7" s="1"/>
  <c r="O90" i="7"/>
  <c r="O67" i="7"/>
  <c r="P46" i="7"/>
  <c r="Q359" i="6"/>
  <c r="P50" i="7" s="1"/>
  <c r="P58" i="7" s="1"/>
  <c r="P77" i="7" s="1"/>
  <c r="P80" i="7" s="1"/>
  <c r="P82" i="7" s="1"/>
  <c r="N403" i="6"/>
  <c r="U403" i="6" s="1"/>
  <c r="P45" i="7"/>
  <c r="P49" i="7" s="1"/>
  <c r="N372" i="6"/>
  <c r="O63" i="7"/>
  <c r="O66" i="7"/>
  <c r="O98" i="7" s="1"/>
  <c r="O123" i="7" l="1"/>
  <c r="O125" i="7" s="1"/>
  <c r="O112" i="7"/>
  <c r="O115" i="7" s="1"/>
  <c r="O99" i="7"/>
  <c r="O104" i="7"/>
  <c r="O107" i="7" s="1"/>
  <c r="P62" i="7"/>
  <c r="P78" i="7"/>
  <c r="P81" i="7" s="1"/>
  <c r="P83" i="7" s="1"/>
  <c r="P65" i="7"/>
  <c r="P97" i="7" s="1"/>
  <c r="Q47" i="7"/>
  <c r="X401" i="6"/>
  <c r="Q43" i="7"/>
  <c r="N413" i="6"/>
  <c r="P64" i="7"/>
  <c r="P61" i="7"/>
  <c r="O92" i="7"/>
  <c r="O69" i="7"/>
  <c r="P48" i="7"/>
  <c r="Q360" i="6"/>
  <c r="P52" i="7" s="1"/>
  <c r="P60" i="7" s="1"/>
  <c r="N382" i="6"/>
  <c r="O119" i="7" l="1"/>
  <c r="O121" i="7" s="1"/>
  <c r="O106" i="7"/>
  <c r="O109" i="7" s="1"/>
  <c r="P122" i="7"/>
  <c r="P124" i="7" s="1"/>
  <c r="P111" i="7"/>
  <c r="P114" i="7" s="1"/>
  <c r="U404" i="6"/>
  <c r="Q44" i="7" s="1"/>
  <c r="Q51" i="7"/>
  <c r="Q59" i="7" s="1"/>
  <c r="P91" i="7"/>
  <c r="P68" i="7"/>
  <c r="P90" i="7"/>
  <c r="P67" i="7"/>
  <c r="N445" i="6"/>
  <c r="U445" i="6" s="1"/>
  <c r="Q45" i="7"/>
  <c r="Q49" i="7" s="1"/>
  <c r="N414" i="6"/>
  <c r="P63" i="7"/>
  <c r="P66" i="7"/>
  <c r="P98" i="7" s="1"/>
  <c r="P96" i="7"/>
  <c r="P110" i="7" s="1"/>
  <c r="P113" i="7" s="1"/>
  <c r="Q46" i="7"/>
  <c r="Q401" i="6"/>
  <c r="Q50" i="7" s="1"/>
  <c r="Q58" i="7" s="1"/>
  <c r="Q77" i="7" s="1"/>
  <c r="Q80" i="7" s="1"/>
  <c r="Q82" i="7" s="1"/>
  <c r="P123" i="7" l="1"/>
  <c r="P125" i="7" s="1"/>
  <c r="P112" i="7"/>
  <c r="P115" i="7" s="1"/>
  <c r="P99" i="7"/>
  <c r="P104" i="7"/>
  <c r="P107" i="7" s="1"/>
  <c r="P105" i="7"/>
  <c r="P108" i="7" s="1"/>
  <c r="P118" i="7"/>
  <c r="P120" i="7" s="1"/>
  <c r="Q65" i="7"/>
  <c r="Q97" i="7" s="1"/>
  <c r="Q62" i="7"/>
  <c r="Q78" i="7"/>
  <c r="Q81" i="7" s="1"/>
  <c r="Q83" i="7" s="1"/>
  <c r="R47" i="7"/>
  <c r="X443" i="6"/>
  <c r="P92" i="7"/>
  <c r="P69" i="7"/>
  <c r="Q61" i="7"/>
  <c r="Q64" i="7"/>
  <c r="R43" i="7"/>
  <c r="N455" i="6"/>
  <c r="R45" i="7" s="1"/>
  <c r="Q48" i="7"/>
  <c r="N424" i="6"/>
  <c r="Q402" i="6"/>
  <c r="Q52" i="7" s="1"/>
  <c r="Q60" i="7" s="1"/>
  <c r="P119" i="7" l="1"/>
  <c r="P121" i="7" s="1"/>
  <c r="P106" i="7"/>
  <c r="P109" i="7" s="1"/>
  <c r="Q122" i="7"/>
  <c r="Q124" i="7" s="1"/>
  <c r="Q111" i="7"/>
  <c r="Q114" i="7" s="1"/>
  <c r="Q91" i="7"/>
  <c r="Q68" i="7"/>
  <c r="U446" i="6"/>
  <c r="R44" i="7" s="1"/>
  <c r="R51" i="7"/>
  <c r="R59" i="7" s="1"/>
  <c r="R49" i="7"/>
  <c r="R46" i="7"/>
  <c r="Q443" i="6"/>
  <c r="R50" i="7" s="1"/>
  <c r="R58" i="7" s="1"/>
  <c r="R77" i="7" s="1"/>
  <c r="R80" i="7" s="1"/>
  <c r="R82" i="7" s="1"/>
  <c r="Q96" i="7"/>
  <c r="Q110" i="7" s="1"/>
  <c r="Q113" i="7" s="1"/>
  <c r="Q90" i="7"/>
  <c r="Q67" i="7"/>
  <c r="Q66" i="7"/>
  <c r="Q98" i="7" s="1"/>
  <c r="Q63" i="7"/>
  <c r="Q123" i="7" l="1"/>
  <c r="Q125" i="7" s="1"/>
  <c r="Q112" i="7"/>
  <c r="Q115" i="7" s="1"/>
  <c r="Q99" i="7"/>
  <c r="Q104" i="7"/>
  <c r="Q107" i="7" s="1"/>
  <c r="Q105" i="7"/>
  <c r="Q108" i="7" s="1"/>
  <c r="Q118" i="7"/>
  <c r="Q120" i="7" s="1"/>
  <c r="R62" i="7"/>
  <c r="R78" i="7"/>
  <c r="R81" i="7" s="1"/>
  <c r="R83" i="7" s="1"/>
  <c r="R65" i="7"/>
  <c r="R97" i="7" s="1"/>
  <c r="R64" i="7"/>
  <c r="R61" i="7"/>
  <c r="Q92" i="7"/>
  <c r="Q69" i="7"/>
  <c r="Q119" i="7" l="1"/>
  <c r="Q121" i="7" s="1"/>
  <c r="Q106" i="7"/>
  <c r="Q109" i="7" s="1"/>
  <c r="R122" i="7"/>
  <c r="R124" i="7" s="1"/>
  <c r="R111" i="7"/>
  <c r="R114" i="7" s="1"/>
  <c r="R91" i="7"/>
  <c r="R68" i="7"/>
  <c r="R90" i="7"/>
  <c r="R67" i="7"/>
  <c r="R96" i="7"/>
  <c r="R110" i="7" s="1"/>
  <c r="R113" i="7" s="1"/>
  <c r="R118" i="7" l="1"/>
  <c r="R120" i="7" s="1"/>
  <c r="R105" i="7"/>
  <c r="R108" i="7" s="1"/>
  <c r="R99" i="7"/>
  <c r="R104" i="7"/>
  <c r="R107" i="7" s="1"/>
</calcChain>
</file>

<file path=xl/comments1.xml><?xml version="1.0" encoding="utf-8"?>
<comments xmlns="http://schemas.openxmlformats.org/spreadsheetml/2006/main">
  <authors>
    <author>Dung Le Tran</author>
  </authors>
  <commentList>
    <comment ref="N50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stage repeatable</t>
        </r>
      </text>
    </comment>
    <comment ref="M119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  <comment ref="M160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  <comment ref="M202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</commentList>
</comments>
</file>

<file path=xl/comments2.xml><?xml version="1.0" encoding="utf-8"?>
<comments xmlns="http://schemas.openxmlformats.org/spreadsheetml/2006/main">
  <authors>
    <author>Dung Le Tran</author>
  </authors>
  <commentList>
    <comment ref="M54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  <comment ref="M225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Higher than the 1st stage due to the higher stage temperature rise and the lower work-done factor</t>
        </r>
      </text>
    </comment>
  </commentList>
</comments>
</file>

<file path=xl/comments3.xml><?xml version="1.0" encoding="utf-8"?>
<comments xmlns="http://schemas.openxmlformats.org/spreadsheetml/2006/main">
  <authors>
    <author>Dung Le Tran</author>
  </authors>
  <commentList>
    <comment ref="M54" authorId="0" shapeId="0">
      <text>
        <r>
          <rPr>
            <b/>
            <sz val="9"/>
            <color indexed="81"/>
            <rFont val="Tahoma"/>
            <family val="2"/>
          </rPr>
          <t>Dung Le Tran:</t>
        </r>
        <r>
          <rPr>
            <sz val="9"/>
            <color indexed="81"/>
            <rFont val="Tahoma"/>
            <family val="2"/>
          </rPr>
          <t xml:space="preserve">
the degree of reaction is high. This is necessary with low hub-tip ratios to avoid a negative value at hub</t>
        </r>
      </text>
    </comment>
  </commentList>
</comments>
</file>

<file path=xl/sharedStrings.xml><?xml version="1.0" encoding="utf-8"?>
<sst xmlns="http://schemas.openxmlformats.org/spreadsheetml/2006/main" count="1524" uniqueCount="344">
  <si>
    <t>r_hub/r_tip</t>
  </si>
  <si>
    <t>R</t>
  </si>
  <si>
    <t>J/kg.K</t>
  </si>
  <si>
    <t>Dm</t>
  </si>
  <si>
    <t>h_b</t>
  </si>
  <si>
    <t>r_tip</t>
  </si>
  <si>
    <t>M2_tip</t>
  </si>
  <si>
    <t>m_dot</t>
  </si>
  <si>
    <t>kg/s</t>
  </si>
  <si>
    <t>U2_tip</t>
  </si>
  <si>
    <t>W2_tip</t>
  </si>
  <si>
    <t>k</t>
  </si>
  <si>
    <t>Dm_in</t>
  </si>
  <si>
    <t>r_hub/r_tip = 0.65 is chosen for an estimation</t>
  </si>
  <si>
    <t>V2</t>
  </si>
  <si>
    <t>W2</t>
  </si>
  <si>
    <t>T1</t>
  </si>
  <si>
    <t>T3</t>
  </si>
  <si>
    <t>U</t>
  </si>
  <si>
    <t>Cp</t>
  </si>
  <si>
    <t>Specification</t>
  </si>
  <si>
    <t>LP-Comp</t>
  </si>
  <si>
    <t>Mass flow</t>
  </si>
  <si>
    <t>Inlet static pressure</t>
  </si>
  <si>
    <t>Pressure ratio</t>
  </si>
  <si>
    <t>Inlet mean dia</t>
  </si>
  <si>
    <t>Exit mean dia</t>
  </si>
  <si>
    <t>Angular Velocity</t>
  </si>
  <si>
    <t>=</t>
  </si>
  <si>
    <t>Pa</t>
  </si>
  <si>
    <t>PR_LP</t>
  </si>
  <si>
    <t>K</t>
  </si>
  <si>
    <t>T_in</t>
  </si>
  <si>
    <t>T_out</t>
  </si>
  <si>
    <t>m</t>
  </si>
  <si>
    <t>Dm_out</t>
  </si>
  <si>
    <t>N</t>
  </si>
  <si>
    <t>rad/s</t>
  </si>
  <si>
    <t>Estimation no of stgs</t>
  </si>
  <si>
    <t>Assume:</t>
  </si>
  <si>
    <t>- At 1st stg rotor, alpha2=90deg</t>
  </si>
  <si>
    <t>Select r_hub/r_tip for 1st stg</t>
  </si>
  <si>
    <t>a.</t>
  </si>
  <si>
    <t>b.</t>
  </si>
  <si>
    <t>p1 (Pa)</t>
  </si>
  <si>
    <t>- Vax, rho are const through out the comp</t>
  </si>
  <si>
    <t>V2ax (or Vax)</t>
  </si>
  <si>
    <t>W2^2=V2^2+U2^2 due to alpha2=90deg</t>
  </si>
  <si>
    <t>- Dm is constant through out the stg</t>
  </si>
  <si>
    <t>V2 (=V2ax=Vax)</t>
  </si>
  <si>
    <t>U2 (=U)</t>
  </si>
  <si>
    <t>List of eqs:</t>
  </si>
  <si>
    <t>beta3</t>
  </si>
  <si>
    <t>(2) W3=0.72*W2 (deHatler)</t>
  </si>
  <si>
    <t>(3) at station 3: Vx=W3*cos(beta3-90)</t>
  </si>
  <si>
    <t>(4) at station 3: tan(alpha3)=Vx/(U3-W3*sin(beta-90))</t>
  </si>
  <si>
    <t>(5) stg total temp increase (Euler eq)</t>
  </si>
  <si>
    <t>(1) at station 2: beta2=90+atan(U2/V2)</t>
  </si>
  <si>
    <t>beta2</t>
  </si>
  <si>
    <t xml:space="preserve">J/kg.K </t>
  </si>
  <si>
    <t>c.</t>
  </si>
  <si>
    <t>d.</t>
  </si>
  <si>
    <t>deltaT0 across the compressor</t>
  </si>
  <si>
    <t>Inlet vel</t>
  </si>
  <si>
    <t>V_in</t>
  </si>
  <si>
    <t>Vx/sin(alpha1) = Vx/sin(alpha3)</t>
  </si>
  <si>
    <t>Inlet total temp</t>
  </si>
  <si>
    <t>T0_in</t>
  </si>
  <si>
    <t>P0_out</t>
  </si>
  <si>
    <t>P0_in</t>
  </si>
  <si>
    <t>T0_out</t>
  </si>
  <si>
    <t>e.</t>
  </si>
  <si>
    <t>No of stage estimation</t>
  </si>
  <si>
    <t>no of stg</t>
  </si>
  <si>
    <t>deltaT0_comp/deltaT0_stg</t>
  </si>
  <si>
    <t>Select</t>
  </si>
  <si>
    <t xml:space="preserve">Set </t>
  </si>
  <si>
    <t>deltaT0_stg1</t>
  </si>
  <si>
    <t>deltaT0_stg2</t>
  </si>
  <si>
    <t>Recalculate stage 1 parameters</t>
  </si>
  <si>
    <t>Vx</t>
  </si>
  <si>
    <t>W3 (eq2)</t>
  </si>
  <si>
    <t>alpha3 (eq4)</t>
  </si>
  <si>
    <t>alpha2</t>
  </si>
  <si>
    <t>alpha1 (=alpha3)</t>
  </si>
  <si>
    <t>V1</t>
  </si>
  <si>
    <t>(6) V1 = Vx/sin(alpha1)</t>
  </si>
  <si>
    <t>V1 (eq6)</t>
  </si>
  <si>
    <t>beta2 (eq1)</t>
  </si>
  <si>
    <t>beta3 (eq3)</t>
  </si>
  <si>
    <t>deltaT0_23 (eq5)</t>
  </si>
  <si>
    <t>P01</t>
  </si>
  <si>
    <t>P03</t>
  </si>
  <si>
    <t>T01</t>
  </si>
  <si>
    <t>T03</t>
  </si>
  <si>
    <t>deltaT0_stg</t>
  </si>
  <si>
    <t>deltaT0_stg3</t>
  </si>
  <si>
    <t>V_out</t>
  </si>
  <si>
    <t>p_in</t>
  </si>
  <si>
    <t>PR_IP</t>
  </si>
  <si>
    <t>IP-Comp</t>
  </si>
  <si>
    <t>Pressure ratio (static pressure)</t>
  </si>
  <si>
    <t>deltaT0 across the 1st stage</t>
  </si>
  <si>
    <t xml:space="preserve">d. </t>
  </si>
  <si>
    <t>Estimate the compressor output</t>
  </si>
  <si>
    <t>(2) Vx is constant</t>
  </si>
  <si>
    <t>Outlet velocity</t>
  </si>
  <si>
    <t>V_out=Vx/sin(alpha3)</t>
  </si>
  <si>
    <t>Total outlet temp</t>
  </si>
  <si>
    <t>Re-check</t>
  </si>
  <si>
    <t>Total inlet temp</t>
  </si>
  <si>
    <t>Exit total temp</t>
  </si>
  <si>
    <t>deltaT0_23 = lamda*U*Vx/Cp*(tan(beta2-90)-tan(beta3-90)) [set lamda = 1 for this estimation]</t>
  </si>
  <si>
    <t>V3</t>
  </si>
  <si>
    <t>Outlet vel</t>
  </si>
  <si>
    <t>Rho_in</t>
  </si>
  <si>
    <t>Rho_out</t>
  </si>
  <si>
    <t>Inlet velocity</t>
  </si>
  <si>
    <t>Static Inlet temp</t>
  </si>
  <si>
    <t>Static outlet temp</t>
  </si>
  <si>
    <t>Total Inlet temp</t>
  </si>
  <si>
    <t>Total Outlet temp</t>
  </si>
  <si>
    <t>Total Inlet pressure</t>
  </si>
  <si>
    <t>Total Outlet pressure</t>
  </si>
  <si>
    <t>^k/(k-1)</t>
  </si>
  <si>
    <t>deltaT0_comp</t>
  </si>
  <si>
    <t>P1</t>
  </si>
  <si>
    <t>tan(beta2-90)+tan(beta3-90)</t>
  </si>
  <si>
    <t>tan(beta2-90)</t>
  </si>
  <si>
    <t>tan(beta3-90)</t>
  </si>
  <si>
    <t>tan(beta2-90)-tan(beta3-90)</t>
  </si>
  <si>
    <t>alpha3</t>
  </si>
  <si>
    <t>defelection in rotor blades</t>
  </si>
  <si>
    <t>diffusion</t>
  </si>
  <si>
    <t>polytropic eff</t>
  </si>
  <si>
    <t>P03/P01</t>
  </si>
  <si>
    <t>W3</t>
  </si>
  <si>
    <t>Assume</t>
  </si>
  <si>
    <t>alpha1=alpha3</t>
  </si>
  <si>
    <t>rho1</t>
  </si>
  <si>
    <t>degree of reaction</t>
  </si>
  <si>
    <t>P3</t>
  </si>
  <si>
    <t xml:space="preserve">2nd stage </t>
  </si>
  <si>
    <t>delta whirl velocity</t>
  </si>
  <si>
    <t>lamda (work done factor)</t>
  </si>
  <si>
    <t>alpha1=alpha3 of 1st stg</t>
  </si>
  <si>
    <t>3rd stage</t>
  </si>
  <si>
    <t>rho3</t>
  </si>
  <si>
    <t>P03 (based on rh03)</t>
  </si>
  <si>
    <t>This needs to be adjusted to get P03 converged</t>
  </si>
  <si>
    <t>- Comp polytropic Efficiency n_p = 0.9</t>
  </si>
  <si>
    <t>- Stg isentropic Efficiency n_s = 0.9</t>
  </si>
  <si>
    <t>T0_in (degK)</t>
  </si>
  <si>
    <t>(1) Assume the comp exit angle follow the exit angle in stage 1 (alpha3=52.41)</t>
  </si>
  <si>
    <t>b</t>
  </si>
  <si>
    <t>a</t>
  </si>
  <si>
    <t>alpha1=alpha3 of previous stg</t>
  </si>
  <si>
    <t>tan(90-alpha2)+tan(beta2-90)</t>
  </si>
  <si>
    <t>tan(90-alpha3)+tan(beta3-90)</t>
  </si>
  <si>
    <t>deltaT0_stg4</t>
  </si>
  <si>
    <t>ave deltaT0</t>
  </si>
  <si>
    <t xml:space="preserve">3rd stage </t>
  </si>
  <si>
    <t>4th stage</t>
  </si>
  <si>
    <t>HP-Comp</t>
  </si>
  <si>
    <t>deltaT0_stg5</t>
  </si>
  <si>
    <t>deltaT0_stg6</t>
  </si>
  <si>
    <t>deltaT0_stg7</t>
  </si>
  <si>
    <t>deltaT0_stg8</t>
  </si>
  <si>
    <t>deltaT0_stg9</t>
  </si>
  <si>
    <t xml:space="preserve">4th stage </t>
  </si>
  <si>
    <t xml:space="preserve">5th stage </t>
  </si>
  <si>
    <t xml:space="preserve">6th stage </t>
  </si>
  <si>
    <t xml:space="preserve">7th stage </t>
  </si>
  <si>
    <t xml:space="preserve">8th stage </t>
  </si>
  <si>
    <t xml:space="preserve">9th stage </t>
  </si>
  <si>
    <t>PR_HP</t>
  </si>
  <si>
    <t>Comp</t>
  </si>
  <si>
    <t>Stg</t>
  </si>
  <si>
    <t>LP</t>
  </si>
  <si>
    <t>IP</t>
  </si>
  <si>
    <t>HP</t>
  </si>
  <si>
    <t>Diffusion</t>
  </si>
  <si>
    <t>Degree of reaction</t>
  </si>
  <si>
    <t>r_h1/r_t1</t>
  </si>
  <si>
    <t>r_h3/r_t3</t>
  </si>
  <si>
    <t>Degree of reaction_h</t>
  </si>
  <si>
    <t>P_ratio</t>
  </si>
  <si>
    <t>T02=T01</t>
  </si>
  <si>
    <t>T2</t>
  </si>
  <si>
    <t>P2</t>
  </si>
  <si>
    <t>P02</t>
  </si>
  <si>
    <t>rho2</t>
  </si>
  <si>
    <t>r_h2/r_t2</t>
  </si>
  <si>
    <t>c/h</t>
  </si>
  <si>
    <t>c/s</t>
  </si>
  <si>
    <t>Number of stator baldes</t>
  </si>
  <si>
    <t>Number of rotary blades</t>
  </si>
  <si>
    <t>lm</t>
  </si>
  <si>
    <t>n_s</t>
  </si>
  <si>
    <t>Assume the isentropy eff</t>
  </si>
  <si>
    <t>Iteration</t>
  </si>
  <si>
    <t>LP1</t>
  </si>
  <si>
    <t>LP2</t>
  </si>
  <si>
    <t>LP3</t>
  </si>
  <si>
    <t>IP1</t>
  </si>
  <si>
    <t>IP2</t>
  </si>
  <si>
    <t>IP3</t>
  </si>
  <si>
    <t>IP4</t>
  </si>
  <si>
    <t>HP1</t>
  </si>
  <si>
    <t>HP2</t>
  </si>
  <si>
    <t>HP3</t>
  </si>
  <si>
    <t>HP4</t>
  </si>
  <si>
    <t>HP5</t>
  </si>
  <si>
    <t>HP6</t>
  </si>
  <si>
    <t>HP7</t>
  </si>
  <si>
    <t>HP8</t>
  </si>
  <si>
    <t>HP9</t>
  </si>
  <si>
    <t>Estimated rho (kg/m3)</t>
  </si>
  <si>
    <t>N
(rad/sec)</t>
  </si>
  <si>
    <t>N 
(rpm)</t>
  </si>
  <si>
    <t>At Rm</t>
  </si>
  <si>
    <t>lamda (work load factor)</t>
  </si>
  <si>
    <t>No of stage estimation for IP compressor</t>
  </si>
  <si>
    <t>No of stage estimation for HP compressor</t>
  </si>
  <si>
    <t xml:space="preserve">Assume the isentropy eff </t>
  </si>
  <si>
    <t xml:space="preserve">Aerodynamic </t>
  </si>
  <si>
    <t>Thermodynamic</t>
  </si>
  <si>
    <t>Power (W)</t>
  </si>
  <si>
    <t>Mass flow (kg/s)</t>
  </si>
  <si>
    <t>Dm (m)</t>
  </si>
  <si>
    <t>N (rad/s)</t>
  </si>
  <si>
    <t>Vax (m/s)</t>
  </si>
  <si>
    <t>U (m/s)</t>
  </si>
  <si>
    <t>alpha1 (deg)</t>
  </si>
  <si>
    <t>alpha2 (deg)</t>
  </si>
  <si>
    <t>beta2 (deg)</t>
  </si>
  <si>
    <t>alpha3 (deg)</t>
  </si>
  <si>
    <t>beta3 (deg)</t>
  </si>
  <si>
    <t>V1 (m/s)</t>
  </si>
  <si>
    <t>V2 (m/s)</t>
  </si>
  <si>
    <t>W2 (m/s)</t>
  </si>
  <si>
    <t>W3 (m/s)</t>
  </si>
  <si>
    <t>V3 (m/s)</t>
  </si>
  <si>
    <t>Delta whirl velocity  (m/s)</t>
  </si>
  <si>
    <t>Deflection in rotor blades (deg)</t>
  </si>
  <si>
    <t>deltaT0_stg (K)</t>
  </si>
  <si>
    <t>T01 (K)</t>
  </si>
  <si>
    <t>T02 (K)</t>
  </si>
  <si>
    <t>T03 (K)</t>
  </si>
  <si>
    <t>T1 (K)</t>
  </si>
  <si>
    <t>T2 (K)</t>
  </si>
  <si>
    <t>T3 (K)</t>
  </si>
  <si>
    <t>P01 (Pa)</t>
  </si>
  <si>
    <t>P02 (Pa)</t>
  </si>
  <si>
    <t>P03 (Pa)</t>
  </si>
  <si>
    <t>P1 (Pa)</t>
  </si>
  <si>
    <t>P2 (Pa)</t>
  </si>
  <si>
    <t>P3 (Pa)</t>
  </si>
  <si>
    <t>rho1 (kg/m3)</t>
  </si>
  <si>
    <t>rho2 (kg/m3)</t>
  </si>
  <si>
    <t>rho3 (kg/m3)</t>
  </si>
  <si>
    <t>Cp (kJ/kgK)</t>
  </si>
  <si>
    <t xml:space="preserve">k </t>
  </si>
  <si>
    <t>R (J/kgK)</t>
  </si>
  <si>
    <t>Isentropic eff (%)</t>
  </si>
  <si>
    <t>h_b1 (m)</t>
  </si>
  <si>
    <t>h_b2 (m)</t>
  </si>
  <si>
    <t>h_b3 (m)</t>
  </si>
  <si>
    <t>r_h1 (m)</t>
  </si>
  <si>
    <t>r_h2 (m)</t>
  </si>
  <si>
    <t>r_h3 (m)</t>
  </si>
  <si>
    <t>r_t1 (m)</t>
  </si>
  <si>
    <t>r_t2 (m)</t>
  </si>
  <si>
    <t>r_t3 (m)</t>
  </si>
  <si>
    <t>c1 (m)</t>
  </si>
  <si>
    <t>c2 (m)</t>
  </si>
  <si>
    <t>s1 (m)</t>
  </si>
  <si>
    <t>s2 (m)</t>
  </si>
  <si>
    <t>dT0 (K)</t>
  </si>
  <si>
    <t>r_m1 (m)</t>
  </si>
  <si>
    <t>r_m2 (m)</t>
  </si>
  <si>
    <t>r_m3 (m)</t>
  </si>
  <si>
    <t>Blade dimension</t>
  </si>
  <si>
    <t>Power</t>
  </si>
  <si>
    <t>Total required power (MW)</t>
  </si>
  <si>
    <t>r_h</t>
  </si>
  <si>
    <t>r_m</t>
  </si>
  <si>
    <t>r_t</t>
  </si>
  <si>
    <t>alpha1 (rad)</t>
  </si>
  <si>
    <t>alpha2 (rad)</t>
  </si>
  <si>
    <t>c1_ax (mm)</t>
  </si>
  <si>
    <t>c2_ax (mm)</t>
  </si>
  <si>
    <t>new r_h</t>
  </si>
  <si>
    <t>S</t>
  </si>
  <si>
    <t>blade base axial length</t>
  </si>
  <si>
    <t>gap</t>
  </si>
  <si>
    <t>final axial distance</t>
  </si>
  <si>
    <t>For mean diameter</t>
  </si>
  <si>
    <t>For blade twisting</t>
  </si>
  <si>
    <t>Vu*R 1 (mean dia)</t>
  </si>
  <si>
    <t>alpha1 (hub)</t>
  </si>
  <si>
    <t>alpha2 (hub)</t>
  </si>
  <si>
    <t>alpha1 (tip)</t>
  </si>
  <si>
    <t>alpha2 (tip)</t>
  </si>
  <si>
    <t>beta3 (hub)</t>
  </si>
  <si>
    <t>beta2 (hub)</t>
  </si>
  <si>
    <t>Wu*R 2 (mean)</t>
  </si>
  <si>
    <t>Wu*R 3 (mean)</t>
  </si>
  <si>
    <t>Wu 2 (hub)</t>
  </si>
  <si>
    <t>Wu 3 (hub)</t>
  </si>
  <si>
    <t>Vu*R 2 (mean)</t>
  </si>
  <si>
    <t>Vu 1 (hub)</t>
  </si>
  <si>
    <t>Vu 2 (hub)</t>
  </si>
  <si>
    <t>Vu 1 (tip)</t>
  </si>
  <si>
    <t>Vu 2 (tip)</t>
  </si>
  <si>
    <t>Wu 2 (tip)</t>
  </si>
  <si>
    <t>beta2 (tip)</t>
  </si>
  <si>
    <t>beta3 (tip)</t>
  </si>
  <si>
    <t>Wu 3 (tip)</t>
  </si>
  <si>
    <t>alpha1 (mean)</t>
  </si>
  <si>
    <t>alpha2 (mean)</t>
  </si>
  <si>
    <t>beta2 (mean)</t>
  </si>
  <si>
    <t>beta3 (mean)</t>
  </si>
  <si>
    <t>Vu*R 3 (mean)</t>
  </si>
  <si>
    <t>Vu 3 (hub)</t>
  </si>
  <si>
    <t>alpha3 (hub)</t>
  </si>
  <si>
    <t>alpha3 (tip)</t>
  </si>
  <si>
    <t>Vu 3 (tip)</t>
  </si>
  <si>
    <t>CL_mean_stator</t>
  </si>
  <si>
    <t>CL_mean_rotor</t>
  </si>
  <si>
    <t>CL_hub_stator</t>
  </si>
  <si>
    <t>CL_tip_rotor</t>
  </si>
  <si>
    <t>CL_hub_rotor</t>
  </si>
  <si>
    <t>CL_tip_stator</t>
  </si>
  <si>
    <t>Flow coefficient</t>
  </si>
  <si>
    <t>Stage load eoefficient</t>
  </si>
  <si>
    <t>Stagger_mean_rotor</t>
  </si>
  <si>
    <t>Stagger_mean_stator</t>
  </si>
  <si>
    <t>Stagger_tip_stator</t>
  </si>
  <si>
    <t>Stagger_tip_rotor</t>
  </si>
  <si>
    <t>Stagger_hub_stator</t>
  </si>
  <si>
    <t>Stagger_hub_rotor</t>
  </si>
  <si>
    <t>final stg isentropic eff</t>
  </si>
  <si>
    <t>Degree of reaction at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</si>
</sst>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quotePrefix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left"/>
    </xf>
    <xf numFmtId="0" fontId="0" fillId="4" borderId="0" xfId="0" applyFill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166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/>
    </xf>
    <xf numFmtId="166" fontId="0" fillId="0" borderId="4" xfId="0" applyNumberFormat="1" applyBorder="1"/>
    <xf numFmtId="2" fontId="0" fillId="0" borderId="4" xfId="0" applyNumberFormat="1" applyBorder="1"/>
    <xf numFmtId="166" fontId="0" fillId="0" borderId="4" xfId="0" applyNumberFormat="1" applyFill="1" applyBorder="1"/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center"/>
    </xf>
    <xf numFmtId="0" fontId="4" fillId="0" borderId="4" xfId="0" applyFont="1" applyFill="1" applyBorder="1"/>
    <xf numFmtId="0" fontId="4" fillId="0" borderId="5" xfId="0" applyFont="1" applyFill="1" applyBorder="1"/>
    <xf numFmtId="0" fontId="4" fillId="0" borderId="4" xfId="0" applyFont="1" applyBorder="1"/>
    <xf numFmtId="2" fontId="4" fillId="0" borderId="5" xfId="0" applyNumberFormat="1" applyFont="1" applyBorder="1"/>
    <xf numFmtId="0" fontId="0" fillId="3" borderId="4" xfId="0" applyFont="1" applyFill="1" applyBorder="1" applyAlignment="1">
      <alignment vertical="top" wrapText="1"/>
    </xf>
    <xf numFmtId="166" fontId="0" fillId="3" borderId="4" xfId="0" applyNumberFormat="1" applyFont="1" applyFill="1" applyBorder="1" applyAlignment="1">
      <alignment vertical="top" wrapText="1"/>
    </xf>
    <xf numFmtId="2" fontId="0" fillId="3" borderId="4" xfId="0" applyNumberFormat="1" applyFont="1" applyFill="1" applyBorder="1" applyAlignment="1">
      <alignment vertical="top" wrapText="1"/>
    </xf>
    <xf numFmtId="0" fontId="0" fillId="0" borderId="4" xfId="0" applyFill="1" applyBorder="1"/>
    <xf numFmtId="2" fontId="0" fillId="0" borderId="4" xfId="0" applyNumberFormat="1" applyFill="1" applyBorder="1"/>
    <xf numFmtId="164" fontId="0" fillId="0" borderId="4" xfId="0" applyNumberFormat="1" applyFill="1" applyBorder="1"/>
    <xf numFmtId="1" fontId="0" fillId="0" borderId="4" xfId="0" applyNumberFormat="1" applyFill="1" applyBorder="1"/>
    <xf numFmtId="165" fontId="0" fillId="0" borderId="4" xfId="0" applyNumberFormat="1" applyFill="1" applyBorder="1"/>
    <xf numFmtId="165" fontId="0" fillId="0" borderId="4" xfId="0" applyNumberFormat="1" applyBorder="1"/>
    <xf numFmtId="164" fontId="0" fillId="0" borderId="4" xfId="0" applyNumberFormat="1" applyBorder="1"/>
    <xf numFmtId="0" fontId="5" fillId="5" borderId="4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5" fillId="5" borderId="4" xfId="0" applyFont="1" applyFill="1" applyBorder="1" applyAlignment="1">
      <alignment wrapText="1"/>
    </xf>
    <xf numFmtId="166" fontId="5" fillId="5" borderId="4" xfId="0" applyNumberFormat="1" applyFont="1" applyFill="1" applyBorder="1" applyAlignment="1">
      <alignment wrapText="1"/>
    </xf>
    <xf numFmtId="2" fontId="5" fillId="5" borderId="4" xfId="0" applyNumberFormat="1" applyFont="1" applyFill="1" applyBorder="1" applyAlignment="1">
      <alignment wrapText="1"/>
    </xf>
    <xf numFmtId="164" fontId="5" fillId="5" borderId="4" xfId="0" applyNumberFormat="1" applyFont="1" applyFill="1" applyBorder="1" applyAlignment="1">
      <alignment wrapText="1"/>
    </xf>
    <xf numFmtId="1" fontId="5" fillId="5" borderId="4" xfId="0" applyNumberFormat="1" applyFont="1" applyFill="1" applyBorder="1" applyAlignment="1">
      <alignment wrapText="1"/>
    </xf>
    <xf numFmtId="165" fontId="5" fillId="5" borderId="4" xfId="0" applyNumberFormat="1" applyFont="1" applyFill="1" applyBorder="1" applyAlignment="1">
      <alignment wrapText="1"/>
    </xf>
    <xf numFmtId="0" fontId="5" fillId="5" borderId="4" xfId="0" applyFont="1" applyFill="1" applyBorder="1" applyAlignment="1">
      <alignment horizontal="left" wrapText="1"/>
    </xf>
    <xf numFmtId="0" fontId="5" fillId="0" borderId="0" xfId="0" applyFont="1" applyFill="1" applyAlignment="1">
      <alignment wrapText="1"/>
    </xf>
    <xf numFmtId="166" fontId="5" fillId="0" borderId="0" xfId="0" applyNumberFormat="1" applyFont="1" applyFill="1" applyAlignment="1">
      <alignment wrapText="1"/>
    </xf>
    <xf numFmtId="2" fontId="5" fillId="0" borderId="0" xfId="0" applyNumberFormat="1" applyFont="1" applyFill="1" applyAlignment="1">
      <alignment wrapText="1"/>
    </xf>
    <xf numFmtId="164" fontId="5" fillId="0" borderId="0" xfId="0" applyNumberFormat="1" applyFont="1" applyFill="1" applyAlignment="1">
      <alignment wrapText="1"/>
    </xf>
    <xf numFmtId="1" fontId="5" fillId="0" borderId="0" xfId="0" applyNumberFormat="1" applyFont="1" applyFill="1" applyAlignment="1">
      <alignment wrapText="1"/>
    </xf>
    <xf numFmtId="0" fontId="5" fillId="0" borderId="0" xfId="0" applyFont="1" applyAlignment="1">
      <alignment wrapText="1"/>
    </xf>
    <xf numFmtId="165" fontId="5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0" fontId="5" fillId="5" borderId="4" xfId="0" applyFont="1" applyFill="1" applyBorder="1" applyAlignment="1">
      <alignment horizontal="right"/>
    </xf>
    <xf numFmtId="164" fontId="5" fillId="5" borderId="4" xfId="0" applyNumberFormat="1" applyFont="1" applyFill="1" applyBorder="1" applyAlignment="1">
      <alignment vertical="top" wrapText="1"/>
    </xf>
    <xf numFmtId="165" fontId="1" fillId="0" borderId="0" xfId="0" applyNumberFormat="1" applyFont="1"/>
    <xf numFmtId="165" fontId="1" fillId="3" borderId="0" xfId="0" applyNumberFormat="1" applyFont="1" applyFill="1"/>
    <xf numFmtId="165" fontId="0" fillId="3" borderId="0" xfId="0" applyNumberFormat="1" applyFill="1"/>
    <xf numFmtId="165" fontId="1" fillId="0" borderId="0" xfId="0" applyNumberFormat="1" applyFont="1" applyFill="1"/>
    <xf numFmtId="165" fontId="1" fillId="4" borderId="0" xfId="0" applyNumberFormat="1" applyFont="1" applyFill="1"/>
    <xf numFmtId="165" fontId="0" fillId="4" borderId="0" xfId="0" applyNumberFormat="1" applyFill="1"/>
    <xf numFmtId="164" fontId="5" fillId="5" borderId="3" xfId="0" applyNumberFormat="1" applyFont="1" applyFill="1" applyBorder="1" applyAlignment="1">
      <alignment wrapText="1"/>
    </xf>
    <xf numFmtId="2" fontId="0" fillId="0" borderId="3" xfId="0" applyNumberFormat="1" applyBorder="1"/>
    <xf numFmtId="2" fontId="5" fillId="6" borderId="4" xfId="0" applyNumberFormat="1" applyFont="1" applyFill="1" applyBorder="1"/>
    <xf numFmtId="165" fontId="5" fillId="6" borderId="4" xfId="0" applyNumberFormat="1" applyFont="1" applyFill="1" applyBorder="1"/>
    <xf numFmtId="1" fontId="5" fillId="6" borderId="4" xfId="0" applyNumberFormat="1" applyFont="1" applyFill="1" applyBorder="1"/>
    <xf numFmtId="2" fontId="5" fillId="0" borderId="4" xfId="0" applyNumberFormat="1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2" fontId="0" fillId="0" borderId="4" xfId="0" applyNumberFormat="1" applyFont="1" applyFill="1" applyBorder="1"/>
    <xf numFmtId="0" fontId="6" fillId="0" borderId="0" xfId="0" applyFont="1"/>
    <xf numFmtId="2" fontId="5" fillId="5" borderId="4" xfId="0" applyNumberFormat="1" applyFont="1" applyFill="1" applyBorder="1"/>
    <xf numFmtId="0" fontId="7" fillId="5" borderId="4" xfId="0" applyFont="1" applyFill="1" applyBorder="1" applyAlignment="1">
      <alignment wrapText="1"/>
    </xf>
    <xf numFmtId="164" fontId="5" fillId="0" borderId="4" xfId="0" applyNumberFormat="1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left" wrapText="1"/>
    </xf>
    <xf numFmtId="165" fontId="5" fillId="0" borderId="4" xfId="0" applyNumberFormat="1" applyFont="1" applyFill="1" applyBorder="1"/>
    <xf numFmtId="0" fontId="0" fillId="0" borderId="0" xfId="0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r_h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Radial_Dimensions!$B$20:$AW$20</c:f>
              <c:numCache>
                <c:formatCode>General</c:formatCode>
                <c:ptCount val="4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1.6666666666666665</c:v>
                </c:pt>
                <c:pt idx="5">
                  <c:v>2</c:v>
                </c:pt>
                <c:pt idx="6">
                  <c:v>2.333333333333333</c:v>
                </c:pt>
                <c:pt idx="7">
                  <c:v>2.6666666666666665</c:v>
                </c:pt>
                <c:pt idx="8">
                  <c:v>3</c:v>
                </c:pt>
                <c:pt idx="9">
                  <c:v>3.333333333333333</c:v>
                </c:pt>
                <c:pt idx="10">
                  <c:v>3.6666666666666665</c:v>
                </c:pt>
                <c:pt idx="11">
                  <c:v>4</c:v>
                </c:pt>
                <c:pt idx="12">
                  <c:v>4.333333333333333</c:v>
                </c:pt>
                <c:pt idx="13">
                  <c:v>4.6666666666666661</c:v>
                </c:pt>
                <c:pt idx="14">
                  <c:v>5</c:v>
                </c:pt>
                <c:pt idx="15">
                  <c:v>5.333333333333333</c:v>
                </c:pt>
                <c:pt idx="16">
                  <c:v>5.6666666666666661</c:v>
                </c:pt>
                <c:pt idx="17">
                  <c:v>6</c:v>
                </c:pt>
                <c:pt idx="18">
                  <c:v>6.333333333333333</c:v>
                </c:pt>
                <c:pt idx="19">
                  <c:v>6.6666666666666661</c:v>
                </c:pt>
                <c:pt idx="20">
                  <c:v>7</c:v>
                </c:pt>
                <c:pt idx="21">
                  <c:v>7.333333333333333</c:v>
                </c:pt>
                <c:pt idx="22">
                  <c:v>7.6666666666666661</c:v>
                </c:pt>
                <c:pt idx="23">
                  <c:v>8</c:v>
                </c:pt>
                <c:pt idx="24">
                  <c:v>8.3333333333333321</c:v>
                </c:pt>
                <c:pt idx="25">
                  <c:v>8.6666666666666661</c:v>
                </c:pt>
                <c:pt idx="26">
                  <c:v>9</c:v>
                </c:pt>
                <c:pt idx="27">
                  <c:v>9.3333333333333321</c:v>
                </c:pt>
                <c:pt idx="28">
                  <c:v>9.6666666666666661</c:v>
                </c:pt>
                <c:pt idx="29">
                  <c:v>10</c:v>
                </c:pt>
                <c:pt idx="30">
                  <c:v>10.333333333333332</c:v>
                </c:pt>
                <c:pt idx="31">
                  <c:v>10.666666666666666</c:v>
                </c:pt>
                <c:pt idx="32">
                  <c:v>11</c:v>
                </c:pt>
                <c:pt idx="33">
                  <c:v>11.333333333333332</c:v>
                </c:pt>
                <c:pt idx="34">
                  <c:v>11.666666666666666</c:v>
                </c:pt>
                <c:pt idx="35">
                  <c:v>12</c:v>
                </c:pt>
                <c:pt idx="36">
                  <c:v>12.333333333333332</c:v>
                </c:pt>
                <c:pt idx="37">
                  <c:v>12.666666666666666</c:v>
                </c:pt>
                <c:pt idx="38">
                  <c:v>13</c:v>
                </c:pt>
                <c:pt idx="39">
                  <c:v>13.333333333333332</c:v>
                </c:pt>
                <c:pt idx="40">
                  <c:v>13.666666666666666</c:v>
                </c:pt>
                <c:pt idx="41">
                  <c:v>14</c:v>
                </c:pt>
                <c:pt idx="42">
                  <c:v>14.333333333333332</c:v>
                </c:pt>
                <c:pt idx="43">
                  <c:v>14.666666666666666</c:v>
                </c:pt>
                <c:pt idx="44">
                  <c:v>15</c:v>
                </c:pt>
                <c:pt idx="45">
                  <c:v>15.333333333333332</c:v>
                </c:pt>
                <c:pt idx="46">
                  <c:v>15.666666666666666</c:v>
                </c:pt>
                <c:pt idx="47">
                  <c:v>16</c:v>
                </c:pt>
              </c:numCache>
            </c:numRef>
          </c:xVal>
          <c:yVal>
            <c:numRef>
              <c:f>Radial_Dimensions!$B$17:$AW$17</c:f>
              <c:numCache>
                <c:formatCode>General</c:formatCode>
                <c:ptCount val="48"/>
                <c:pt idx="0">
                  <c:v>0.47900067669859359</c:v>
                </c:pt>
                <c:pt idx="1">
                  <c:v>0.48042011091791681</c:v>
                </c:pt>
                <c:pt idx="2">
                  <c:v>0.49161227749278591</c:v>
                </c:pt>
                <c:pt idx="3">
                  <c:v>0.46811378844828483</c:v>
                </c:pt>
                <c:pt idx="4">
                  <c:v>0.46958771615339934</c:v>
                </c:pt>
                <c:pt idx="5">
                  <c:v>0.4813777803269107</c:v>
                </c:pt>
                <c:pt idx="6">
                  <c:v>0.45808172356241494</c:v>
                </c:pt>
                <c:pt idx="7">
                  <c:v>0.46278468406264073</c:v>
                </c:pt>
                <c:pt idx="8">
                  <c:v>0.47524566239354893</c:v>
                </c:pt>
                <c:pt idx="9">
                  <c:v>0.47529559385316666</c:v>
                </c:pt>
                <c:pt idx="10">
                  <c:v>0.47548339534791656</c:v>
                </c:pt>
                <c:pt idx="11">
                  <c:v>0.4788751022879062</c:v>
                </c:pt>
                <c:pt idx="12">
                  <c:v>0.47033126449208384</c:v>
                </c:pt>
                <c:pt idx="13">
                  <c:v>0.47586665793837524</c:v>
                </c:pt>
                <c:pt idx="14">
                  <c:v>0.4785884370479212</c:v>
                </c:pt>
                <c:pt idx="15">
                  <c:v>0.47015294272311448</c:v>
                </c:pt>
                <c:pt idx="16">
                  <c:v>0.47491481668803426</c:v>
                </c:pt>
                <c:pt idx="17">
                  <c:v>0.47731238965555833</c:v>
                </c:pt>
                <c:pt idx="18">
                  <c:v>0.46894656799481482</c:v>
                </c:pt>
                <c:pt idx="19">
                  <c:v>0.4742112219215453</c:v>
                </c:pt>
                <c:pt idx="20">
                  <c:v>0.47644517142813653</c:v>
                </c:pt>
                <c:pt idx="21">
                  <c:v>0.4764591091294445</c:v>
                </c:pt>
                <c:pt idx="22">
                  <c:v>0.47820595791245962</c:v>
                </c:pt>
                <c:pt idx="23">
                  <c:v>0.4804919931244731</c:v>
                </c:pt>
                <c:pt idx="24">
                  <c:v>0.47568863010665052</c:v>
                </c:pt>
                <c:pt idx="25">
                  <c:v>0.48016299797012568</c:v>
                </c:pt>
                <c:pt idx="26">
                  <c:v>0.48220327420907233</c:v>
                </c:pt>
                <c:pt idx="27">
                  <c:v>0.47752871352502457</c:v>
                </c:pt>
                <c:pt idx="28">
                  <c:v>0.48107867975708085</c:v>
                </c:pt>
                <c:pt idx="29">
                  <c:v>0.48285557863098061</c:v>
                </c:pt>
                <c:pt idx="30">
                  <c:v>0.47821692604781529</c:v>
                </c:pt>
                <c:pt idx="31">
                  <c:v>0.48131152463665655</c:v>
                </c:pt>
                <c:pt idx="32">
                  <c:v>0.48286386351036065</c:v>
                </c:pt>
                <c:pt idx="33">
                  <c:v>0.47825648024317424</c:v>
                </c:pt>
                <c:pt idx="34">
                  <c:v>0.48097084907968624</c:v>
                </c:pt>
                <c:pt idx="35">
                  <c:v>0.48233530954880099</c:v>
                </c:pt>
                <c:pt idx="36">
                  <c:v>0.47775531907530816</c:v>
                </c:pt>
                <c:pt idx="37">
                  <c:v>0.48014974960771639</c:v>
                </c:pt>
                <c:pt idx="38">
                  <c:v>0.48135547675791829</c:v>
                </c:pt>
                <c:pt idx="39">
                  <c:v>0.47679961177901864</c:v>
                </c:pt>
                <c:pt idx="40">
                  <c:v>0.4789229453133913</c:v>
                </c:pt>
                <c:pt idx="41">
                  <c:v>0.47999391998052432</c:v>
                </c:pt>
                <c:pt idx="42">
                  <c:v>0.47545940968202305</c:v>
                </c:pt>
                <c:pt idx="43">
                  <c:v>0.47735152766476002</c:v>
                </c:pt>
                <c:pt idx="44">
                  <c:v>0.47830728964692648</c:v>
                </c:pt>
                <c:pt idx="45">
                  <c:v>0.47379176821825258</c:v>
                </c:pt>
                <c:pt idx="46">
                  <c:v>0.47544335633787582</c:v>
                </c:pt>
                <c:pt idx="47">
                  <c:v>0.47476109793361737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18-4D35-AAA4-CDC5F82290DE}"/>
            </c:ext>
          </c:extLst>
        </c:ser>
        <c:ser>
          <c:idx val="1"/>
          <c:order val="1"/>
          <c:tx>
            <c:v>r_m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Radial_Dimensions!$B$20:$AW$20</c:f>
              <c:numCache>
                <c:formatCode>General</c:formatCode>
                <c:ptCount val="4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1.6666666666666665</c:v>
                </c:pt>
                <c:pt idx="5">
                  <c:v>2</c:v>
                </c:pt>
                <c:pt idx="6">
                  <c:v>2.333333333333333</c:v>
                </c:pt>
                <c:pt idx="7">
                  <c:v>2.6666666666666665</c:v>
                </c:pt>
                <c:pt idx="8">
                  <c:v>3</c:v>
                </c:pt>
                <c:pt idx="9">
                  <c:v>3.333333333333333</c:v>
                </c:pt>
                <c:pt idx="10">
                  <c:v>3.6666666666666665</c:v>
                </c:pt>
                <c:pt idx="11">
                  <c:v>4</c:v>
                </c:pt>
                <c:pt idx="12">
                  <c:v>4.333333333333333</c:v>
                </c:pt>
                <c:pt idx="13">
                  <c:v>4.6666666666666661</c:v>
                </c:pt>
                <c:pt idx="14">
                  <c:v>5</c:v>
                </c:pt>
                <c:pt idx="15">
                  <c:v>5.333333333333333</c:v>
                </c:pt>
                <c:pt idx="16">
                  <c:v>5.6666666666666661</c:v>
                </c:pt>
                <c:pt idx="17">
                  <c:v>6</c:v>
                </c:pt>
                <c:pt idx="18">
                  <c:v>6.333333333333333</c:v>
                </c:pt>
                <c:pt idx="19">
                  <c:v>6.6666666666666661</c:v>
                </c:pt>
                <c:pt idx="20">
                  <c:v>7</c:v>
                </c:pt>
                <c:pt idx="21">
                  <c:v>7.333333333333333</c:v>
                </c:pt>
                <c:pt idx="22">
                  <c:v>7.6666666666666661</c:v>
                </c:pt>
                <c:pt idx="23">
                  <c:v>8</c:v>
                </c:pt>
                <c:pt idx="24">
                  <c:v>8.3333333333333321</c:v>
                </c:pt>
                <c:pt idx="25">
                  <c:v>8.6666666666666661</c:v>
                </c:pt>
                <c:pt idx="26">
                  <c:v>9</c:v>
                </c:pt>
                <c:pt idx="27">
                  <c:v>9.3333333333333321</c:v>
                </c:pt>
                <c:pt idx="28">
                  <c:v>9.6666666666666661</c:v>
                </c:pt>
                <c:pt idx="29">
                  <c:v>10</c:v>
                </c:pt>
                <c:pt idx="30">
                  <c:v>10.333333333333332</c:v>
                </c:pt>
                <c:pt idx="31">
                  <c:v>10.666666666666666</c:v>
                </c:pt>
                <c:pt idx="32">
                  <c:v>11</c:v>
                </c:pt>
                <c:pt idx="33">
                  <c:v>11.333333333333332</c:v>
                </c:pt>
                <c:pt idx="34">
                  <c:v>11.666666666666666</c:v>
                </c:pt>
                <c:pt idx="35">
                  <c:v>12</c:v>
                </c:pt>
                <c:pt idx="36">
                  <c:v>12.333333333333332</c:v>
                </c:pt>
                <c:pt idx="37">
                  <c:v>12.666666666666666</c:v>
                </c:pt>
                <c:pt idx="38">
                  <c:v>13</c:v>
                </c:pt>
                <c:pt idx="39">
                  <c:v>13.333333333333332</c:v>
                </c:pt>
                <c:pt idx="40">
                  <c:v>13.666666666666666</c:v>
                </c:pt>
                <c:pt idx="41">
                  <c:v>14</c:v>
                </c:pt>
                <c:pt idx="42">
                  <c:v>14.333333333333332</c:v>
                </c:pt>
                <c:pt idx="43">
                  <c:v>14.666666666666666</c:v>
                </c:pt>
                <c:pt idx="44">
                  <c:v>15</c:v>
                </c:pt>
                <c:pt idx="45">
                  <c:v>15.333333333333332</c:v>
                </c:pt>
                <c:pt idx="46">
                  <c:v>15.666666666666666</c:v>
                </c:pt>
                <c:pt idx="47">
                  <c:v>16</c:v>
                </c:pt>
              </c:numCache>
            </c:numRef>
          </c:xVal>
          <c:yVal>
            <c:numRef>
              <c:f>Radial_Dimensions!$B$18:$AW$18</c:f>
              <c:numCache>
                <c:formatCode>General</c:formatCode>
                <c:ptCount val="48"/>
                <c:pt idx="0">
                  <c:v>0.60214999999999996</c:v>
                </c:pt>
                <c:pt idx="1">
                  <c:v>0.60214999999999996</c:v>
                </c:pt>
                <c:pt idx="2">
                  <c:v>0.60214999999999996</c:v>
                </c:pt>
                <c:pt idx="3">
                  <c:v>0.58240000000000003</c:v>
                </c:pt>
                <c:pt idx="4">
                  <c:v>0.58240000000000003</c:v>
                </c:pt>
                <c:pt idx="5">
                  <c:v>0.58240000000000003</c:v>
                </c:pt>
                <c:pt idx="6">
                  <c:v>0.56264999999999998</c:v>
                </c:pt>
                <c:pt idx="7">
                  <c:v>0.56264999999999998</c:v>
                </c:pt>
                <c:pt idx="8">
                  <c:v>0.56264999999999998</c:v>
                </c:pt>
                <c:pt idx="9">
                  <c:v>0.56264999999999998</c:v>
                </c:pt>
                <c:pt idx="10">
                  <c:v>0.56264999999999998</c:v>
                </c:pt>
                <c:pt idx="11">
                  <c:v>0.56264999999999998</c:v>
                </c:pt>
                <c:pt idx="12">
                  <c:v>0.55525000000000002</c:v>
                </c:pt>
                <c:pt idx="13">
                  <c:v>0.55525000000000002</c:v>
                </c:pt>
                <c:pt idx="14">
                  <c:v>0.55525000000000002</c:v>
                </c:pt>
                <c:pt idx="15">
                  <c:v>0.54785000000000006</c:v>
                </c:pt>
                <c:pt idx="16">
                  <c:v>0.54785000000000006</c:v>
                </c:pt>
                <c:pt idx="17">
                  <c:v>0.54785000000000006</c:v>
                </c:pt>
                <c:pt idx="18">
                  <c:v>0.5404500000000001</c:v>
                </c:pt>
                <c:pt idx="19">
                  <c:v>0.5404500000000001</c:v>
                </c:pt>
                <c:pt idx="20">
                  <c:v>0.5404500000000001</c:v>
                </c:pt>
                <c:pt idx="21">
                  <c:v>0.54044999999999999</c:v>
                </c:pt>
                <c:pt idx="22">
                  <c:v>0.54044999999999999</c:v>
                </c:pt>
                <c:pt idx="23">
                  <c:v>0.54044999999999999</c:v>
                </c:pt>
                <c:pt idx="24">
                  <c:v>0.53620625</c:v>
                </c:pt>
                <c:pt idx="25">
                  <c:v>0.53620625</c:v>
                </c:pt>
                <c:pt idx="26">
                  <c:v>0.53620625</c:v>
                </c:pt>
                <c:pt idx="27">
                  <c:v>0.5319625</c:v>
                </c:pt>
                <c:pt idx="28">
                  <c:v>0.5319625</c:v>
                </c:pt>
                <c:pt idx="29">
                  <c:v>0.5319625</c:v>
                </c:pt>
                <c:pt idx="30">
                  <c:v>0.52771875000000001</c:v>
                </c:pt>
                <c:pt idx="31">
                  <c:v>0.52771875000000001</c:v>
                </c:pt>
                <c:pt idx="32">
                  <c:v>0.52771875000000001</c:v>
                </c:pt>
                <c:pt idx="33">
                  <c:v>0.52347500000000002</c:v>
                </c:pt>
                <c:pt idx="34">
                  <c:v>0.52347500000000002</c:v>
                </c:pt>
                <c:pt idx="35">
                  <c:v>0.52347500000000002</c:v>
                </c:pt>
                <c:pt idx="36">
                  <c:v>0.51923125000000003</c:v>
                </c:pt>
                <c:pt idx="37">
                  <c:v>0.51923125000000003</c:v>
                </c:pt>
                <c:pt idx="38">
                  <c:v>0.51923125000000003</c:v>
                </c:pt>
                <c:pt idx="39">
                  <c:v>0.51498750000000004</c:v>
                </c:pt>
                <c:pt idx="40">
                  <c:v>0.51498750000000004</c:v>
                </c:pt>
                <c:pt idx="41">
                  <c:v>0.51498750000000004</c:v>
                </c:pt>
                <c:pt idx="42">
                  <c:v>0.51074375000000005</c:v>
                </c:pt>
                <c:pt idx="43">
                  <c:v>0.51074375000000005</c:v>
                </c:pt>
                <c:pt idx="44">
                  <c:v>0.51074375000000005</c:v>
                </c:pt>
                <c:pt idx="45">
                  <c:v>0.50650000000000006</c:v>
                </c:pt>
                <c:pt idx="46">
                  <c:v>0.50650000000000006</c:v>
                </c:pt>
                <c:pt idx="47">
                  <c:v>0.50650000000000006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18-4D35-AAA4-CDC5F82290DE}"/>
            </c:ext>
          </c:extLst>
        </c:ser>
        <c:ser>
          <c:idx val="2"/>
          <c:order val="2"/>
          <c:tx>
            <c:v>r_t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Radial_Dimensions!$B$20:$AW$20</c:f>
              <c:numCache>
                <c:formatCode>General</c:formatCode>
                <c:ptCount val="4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1.6666666666666665</c:v>
                </c:pt>
                <c:pt idx="5">
                  <c:v>2</c:v>
                </c:pt>
                <c:pt idx="6">
                  <c:v>2.333333333333333</c:v>
                </c:pt>
                <c:pt idx="7">
                  <c:v>2.6666666666666665</c:v>
                </c:pt>
                <c:pt idx="8">
                  <c:v>3</c:v>
                </c:pt>
                <c:pt idx="9">
                  <c:v>3.333333333333333</c:v>
                </c:pt>
                <c:pt idx="10">
                  <c:v>3.6666666666666665</c:v>
                </c:pt>
                <c:pt idx="11">
                  <c:v>4</c:v>
                </c:pt>
                <c:pt idx="12">
                  <c:v>4.333333333333333</c:v>
                </c:pt>
                <c:pt idx="13">
                  <c:v>4.6666666666666661</c:v>
                </c:pt>
                <c:pt idx="14">
                  <c:v>5</c:v>
                </c:pt>
                <c:pt idx="15">
                  <c:v>5.333333333333333</c:v>
                </c:pt>
                <c:pt idx="16">
                  <c:v>5.6666666666666661</c:v>
                </c:pt>
                <c:pt idx="17">
                  <c:v>6</c:v>
                </c:pt>
                <c:pt idx="18">
                  <c:v>6.333333333333333</c:v>
                </c:pt>
                <c:pt idx="19">
                  <c:v>6.6666666666666661</c:v>
                </c:pt>
                <c:pt idx="20">
                  <c:v>7</c:v>
                </c:pt>
                <c:pt idx="21">
                  <c:v>7.333333333333333</c:v>
                </c:pt>
                <c:pt idx="22">
                  <c:v>7.6666666666666661</c:v>
                </c:pt>
                <c:pt idx="23">
                  <c:v>8</c:v>
                </c:pt>
                <c:pt idx="24">
                  <c:v>8.3333333333333321</c:v>
                </c:pt>
                <c:pt idx="25">
                  <c:v>8.6666666666666661</c:v>
                </c:pt>
                <c:pt idx="26">
                  <c:v>9</c:v>
                </c:pt>
                <c:pt idx="27">
                  <c:v>9.3333333333333321</c:v>
                </c:pt>
                <c:pt idx="28">
                  <c:v>9.6666666666666661</c:v>
                </c:pt>
                <c:pt idx="29">
                  <c:v>10</c:v>
                </c:pt>
                <c:pt idx="30">
                  <c:v>10.333333333333332</c:v>
                </c:pt>
                <c:pt idx="31">
                  <c:v>10.666666666666666</c:v>
                </c:pt>
                <c:pt idx="32">
                  <c:v>11</c:v>
                </c:pt>
                <c:pt idx="33">
                  <c:v>11.333333333333332</c:v>
                </c:pt>
                <c:pt idx="34">
                  <c:v>11.666666666666666</c:v>
                </c:pt>
                <c:pt idx="35">
                  <c:v>12</c:v>
                </c:pt>
                <c:pt idx="36">
                  <c:v>12.333333333333332</c:v>
                </c:pt>
                <c:pt idx="37">
                  <c:v>12.666666666666666</c:v>
                </c:pt>
                <c:pt idx="38">
                  <c:v>13</c:v>
                </c:pt>
                <c:pt idx="39">
                  <c:v>13.333333333333332</c:v>
                </c:pt>
                <c:pt idx="40">
                  <c:v>13.666666666666666</c:v>
                </c:pt>
                <c:pt idx="41">
                  <c:v>14</c:v>
                </c:pt>
                <c:pt idx="42">
                  <c:v>14.333333333333332</c:v>
                </c:pt>
                <c:pt idx="43">
                  <c:v>14.666666666666666</c:v>
                </c:pt>
                <c:pt idx="44">
                  <c:v>15</c:v>
                </c:pt>
                <c:pt idx="45">
                  <c:v>15.333333333333332</c:v>
                </c:pt>
                <c:pt idx="46">
                  <c:v>15.666666666666666</c:v>
                </c:pt>
                <c:pt idx="47">
                  <c:v>16</c:v>
                </c:pt>
              </c:numCache>
            </c:numRef>
          </c:xVal>
          <c:yVal>
            <c:numRef>
              <c:f>Radial_Dimensions!$B$19:$AW$19</c:f>
              <c:numCache>
                <c:formatCode>General</c:formatCode>
                <c:ptCount val="48"/>
                <c:pt idx="0">
                  <c:v>0.72529932330140634</c:v>
                </c:pt>
                <c:pt idx="1">
                  <c:v>0.72387988908208312</c:v>
                </c:pt>
                <c:pt idx="2">
                  <c:v>0.71268772250721402</c:v>
                </c:pt>
                <c:pt idx="3">
                  <c:v>0.69668621155171517</c:v>
                </c:pt>
                <c:pt idx="4">
                  <c:v>0.69521228384660072</c:v>
                </c:pt>
                <c:pt idx="5">
                  <c:v>0.68342221967308936</c:v>
                </c:pt>
                <c:pt idx="6">
                  <c:v>0.66721827643758502</c:v>
                </c:pt>
                <c:pt idx="7">
                  <c:v>0.66251531593735924</c:v>
                </c:pt>
                <c:pt idx="8">
                  <c:v>0.65005433760645104</c:v>
                </c:pt>
                <c:pt idx="9">
                  <c:v>0.6500044061468333</c:v>
                </c:pt>
                <c:pt idx="10">
                  <c:v>0.64981660465208346</c:v>
                </c:pt>
                <c:pt idx="11">
                  <c:v>0.64642489771209377</c:v>
                </c:pt>
                <c:pt idx="12">
                  <c:v>0.6401687355079162</c:v>
                </c:pt>
                <c:pt idx="13">
                  <c:v>0.63463334206162481</c:v>
                </c:pt>
                <c:pt idx="14">
                  <c:v>0.63191156295207884</c:v>
                </c:pt>
                <c:pt idx="15">
                  <c:v>0.62554705727688564</c:v>
                </c:pt>
                <c:pt idx="16">
                  <c:v>0.62078518331196586</c:v>
                </c:pt>
                <c:pt idx="17">
                  <c:v>0.61838761034444178</c:v>
                </c:pt>
                <c:pt idx="18">
                  <c:v>0.61195343200518537</c:v>
                </c:pt>
                <c:pt idx="19">
                  <c:v>0.60668877807845489</c:v>
                </c:pt>
                <c:pt idx="20">
                  <c:v>0.60445482857186372</c:v>
                </c:pt>
                <c:pt idx="21">
                  <c:v>0.60444089087055541</c:v>
                </c:pt>
                <c:pt idx="22">
                  <c:v>0.6026940420875404</c:v>
                </c:pt>
                <c:pt idx="23">
                  <c:v>0.60040800687552687</c:v>
                </c:pt>
                <c:pt idx="24">
                  <c:v>0.59672386989334947</c:v>
                </c:pt>
                <c:pt idx="25">
                  <c:v>0.59224950202987436</c:v>
                </c:pt>
                <c:pt idx="26">
                  <c:v>0.59020922579092772</c:v>
                </c:pt>
                <c:pt idx="27">
                  <c:v>0.58639628647497544</c:v>
                </c:pt>
                <c:pt idx="28">
                  <c:v>0.58284632024291916</c:v>
                </c:pt>
                <c:pt idx="29">
                  <c:v>0.5810694213690194</c:v>
                </c:pt>
                <c:pt idx="30">
                  <c:v>0.57722057395218473</c:v>
                </c:pt>
                <c:pt idx="31">
                  <c:v>0.57412597536334342</c:v>
                </c:pt>
                <c:pt idx="32">
                  <c:v>0.57257363648963933</c:v>
                </c:pt>
                <c:pt idx="33">
                  <c:v>0.5686935197568258</c:v>
                </c:pt>
                <c:pt idx="34">
                  <c:v>0.56597915092031381</c:v>
                </c:pt>
                <c:pt idx="35">
                  <c:v>0.56461469045119905</c:v>
                </c:pt>
                <c:pt idx="36">
                  <c:v>0.56070718092469185</c:v>
                </c:pt>
                <c:pt idx="37">
                  <c:v>0.55831275039228367</c:v>
                </c:pt>
                <c:pt idx="38">
                  <c:v>0.55710702324208172</c:v>
                </c:pt>
                <c:pt idx="39">
                  <c:v>0.55317538822098145</c:v>
                </c:pt>
                <c:pt idx="40">
                  <c:v>0.55105205468660878</c:v>
                </c:pt>
                <c:pt idx="41">
                  <c:v>0.54998108001947577</c:v>
                </c:pt>
                <c:pt idx="42">
                  <c:v>0.54602809031797706</c:v>
                </c:pt>
                <c:pt idx="43">
                  <c:v>0.54413597233524003</c:v>
                </c:pt>
                <c:pt idx="44">
                  <c:v>0.54318021035307362</c:v>
                </c:pt>
                <c:pt idx="45">
                  <c:v>0.53920823178174759</c:v>
                </c:pt>
                <c:pt idx="46">
                  <c:v>0.5375566436621243</c:v>
                </c:pt>
                <c:pt idx="47">
                  <c:v>0.5382389020663827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18-4D35-AAA4-CDC5F82290DE}"/>
            </c:ext>
          </c:extLst>
        </c:ser>
        <c:ser>
          <c:idx val="3"/>
          <c:order val="3"/>
          <c:tx>
            <c:v>R_H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Radial_Dimensions!$B$20:$AW$20</c:f>
              <c:numCache>
                <c:formatCode>General</c:formatCode>
                <c:ptCount val="48"/>
                <c:pt idx="0">
                  <c:v>0.33333333333333331</c:v>
                </c:pt>
                <c:pt idx="1">
                  <c:v>0.66666666666666663</c:v>
                </c:pt>
                <c:pt idx="2">
                  <c:v>1</c:v>
                </c:pt>
                <c:pt idx="3">
                  <c:v>1.3333333333333333</c:v>
                </c:pt>
                <c:pt idx="4">
                  <c:v>1.6666666666666665</c:v>
                </c:pt>
                <c:pt idx="5">
                  <c:v>2</c:v>
                </c:pt>
                <c:pt idx="6">
                  <c:v>2.333333333333333</c:v>
                </c:pt>
                <c:pt idx="7">
                  <c:v>2.6666666666666665</c:v>
                </c:pt>
                <c:pt idx="8">
                  <c:v>3</c:v>
                </c:pt>
                <c:pt idx="9">
                  <c:v>3.333333333333333</c:v>
                </c:pt>
                <c:pt idx="10">
                  <c:v>3.6666666666666665</c:v>
                </c:pt>
                <c:pt idx="11">
                  <c:v>4</c:v>
                </c:pt>
                <c:pt idx="12">
                  <c:v>4.333333333333333</c:v>
                </c:pt>
                <c:pt idx="13">
                  <c:v>4.6666666666666661</c:v>
                </c:pt>
                <c:pt idx="14">
                  <c:v>5</c:v>
                </c:pt>
                <c:pt idx="15">
                  <c:v>5.333333333333333</c:v>
                </c:pt>
                <c:pt idx="16">
                  <c:v>5.6666666666666661</c:v>
                </c:pt>
                <c:pt idx="17">
                  <c:v>6</c:v>
                </c:pt>
                <c:pt idx="18">
                  <c:v>6.333333333333333</c:v>
                </c:pt>
                <c:pt idx="19">
                  <c:v>6.6666666666666661</c:v>
                </c:pt>
                <c:pt idx="20">
                  <c:v>7</c:v>
                </c:pt>
                <c:pt idx="21">
                  <c:v>7.333333333333333</c:v>
                </c:pt>
                <c:pt idx="22">
                  <c:v>7.6666666666666661</c:v>
                </c:pt>
                <c:pt idx="23">
                  <c:v>8</c:v>
                </c:pt>
                <c:pt idx="24">
                  <c:v>8.3333333333333321</c:v>
                </c:pt>
                <c:pt idx="25">
                  <c:v>8.6666666666666661</c:v>
                </c:pt>
                <c:pt idx="26">
                  <c:v>9</c:v>
                </c:pt>
                <c:pt idx="27">
                  <c:v>9.3333333333333321</c:v>
                </c:pt>
                <c:pt idx="28">
                  <c:v>9.6666666666666661</c:v>
                </c:pt>
                <c:pt idx="29">
                  <c:v>10</c:v>
                </c:pt>
                <c:pt idx="30">
                  <c:v>10.333333333333332</c:v>
                </c:pt>
                <c:pt idx="31">
                  <c:v>10.666666666666666</c:v>
                </c:pt>
                <c:pt idx="32">
                  <c:v>11</c:v>
                </c:pt>
                <c:pt idx="33">
                  <c:v>11.333333333333332</c:v>
                </c:pt>
                <c:pt idx="34">
                  <c:v>11.666666666666666</c:v>
                </c:pt>
                <c:pt idx="35">
                  <c:v>12</c:v>
                </c:pt>
                <c:pt idx="36">
                  <c:v>12.333333333333332</c:v>
                </c:pt>
                <c:pt idx="37">
                  <c:v>12.666666666666666</c:v>
                </c:pt>
                <c:pt idx="38">
                  <c:v>13</c:v>
                </c:pt>
                <c:pt idx="39">
                  <c:v>13.333333333333332</c:v>
                </c:pt>
                <c:pt idx="40">
                  <c:v>13.666666666666666</c:v>
                </c:pt>
                <c:pt idx="41">
                  <c:v>14</c:v>
                </c:pt>
                <c:pt idx="42">
                  <c:v>14.333333333333332</c:v>
                </c:pt>
                <c:pt idx="43">
                  <c:v>14.666666666666666</c:v>
                </c:pt>
                <c:pt idx="44">
                  <c:v>15</c:v>
                </c:pt>
                <c:pt idx="45">
                  <c:v>15.333333333333332</c:v>
                </c:pt>
                <c:pt idx="46">
                  <c:v>15.666666666666666</c:v>
                </c:pt>
                <c:pt idx="47">
                  <c:v>16</c:v>
                </c:pt>
              </c:numCache>
            </c:numRef>
          </c:xVal>
          <c:yVal>
            <c:numRef>
              <c:f>Radial_Dimensions!$B$24:$AW$24</c:f>
              <c:numCache>
                <c:formatCode>0.00000</c:formatCode>
                <c:ptCount val="48"/>
                <c:pt idx="0">
                  <c:v>0.47900067669859359</c:v>
                </c:pt>
                <c:pt idx="1">
                  <c:v>0.48042011091791681</c:v>
                </c:pt>
                <c:pt idx="2">
                  <c:v>0.47986303297053534</c:v>
                </c:pt>
                <c:pt idx="3">
                  <c:v>0.47986303297053534</c:v>
                </c:pt>
                <c:pt idx="4">
                  <c:v>0.46958771615339934</c:v>
                </c:pt>
                <c:pt idx="5">
                  <c:v>0.46972975194466282</c:v>
                </c:pt>
                <c:pt idx="6">
                  <c:v>0.46972975194466282</c:v>
                </c:pt>
                <c:pt idx="7">
                  <c:v>0.46278468406264073</c:v>
                </c:pt>
                <c:pt idx="8">
                  <c:v>0.4752706281233578</c:v>
                </c:pt>
                <c:pt idx="9">
                  <c:v>0.4752706281233578</c:v>
                </c:pt>
                <c:pt idx="10">
                  <c:v>0.47548339534791656</c:v>
                </c:pt>
                <c:pt idx="11">
                  <c:v>0.47460318338999502</c:v>
                </c:pt>
                <c:pt idx="12">
                  <c:v>0.47460318338999502</c:v>
                </c:pt>
                <c:pt idx="13">
                  <c:v>0.47586665793837524</c:v>
                </c:pt>
                <c:pt idx="14">
                  <c:v>0.47437068988551784</c:v>
                </c:pt>
                <c:pt idx="15">
                  <c:v>0.47437068988551784</c:v>
                </c:pt>
                <c:pt idx="16">
                  <c:v>0.47491481668803426</c:v>
                </c:pt>
                <c:pt idx="17">
                  <c:v>0.47312947882518658</c:v>
                </c:pt>
                <c:pt idx="18">
                  <c:v>0.47312947882518658</c:v>
                </c:pt>
                <c:pt idx="19">
                  <c:v>0.4742112219215453</c:v>
                </c:pt>
                <c:pt idx="20">
                  <c:v>0.47645214027879051</c:v>
                </c:pt>
                <c:pt idx="21">
                  <c:v>0.47645214027879051</c:v>
                </c:pt>
                <c:pt idx="22">
                  <c:v>0.47820595791245962</c:v>
                </c:pt>
                <c:pt idx="23">
                  <c:v>0.47809031161556181</c:v>
                </c:pt>
                <c:pt idx="24">
                  <c:v>0.47809031161556181</c:v>
                </c:pt>
                <c:pt idx="25">
                  <c:v>0.48016299797012568</c:v>
                </c:pt>
                <c:pt idx="26">
                  <c:v>0.47986599386704842</c:v>
                </c:pt>
                <c:pt idx="27">
                  <c:v>0.47986599386704842</c:v>
                </c:pt>
                <c:pt idx="28">
                  <c:v>0.48107867975708085</c:v>
                </c:pt>
                <c:pt idx="29">
                  <c:v>0.48053625233939795</c:v>
                </c:pt>
                <c:pt idx="30">
                  <c:v>0.48053625233939795</c:v>
                </c:pt>
                <c:pt idx="31">
                  <c:v>0.48131152463665655</c:v>
                </c:pt>
                <c:pt idx="32">
                  <c:v>0.48056017187676747</c:v>
                </c:pt>
                <c:pt idx="33">
                  <c:v>0.48056017187676747</c:v>
                </c:pt>
                <c:pt idx="34">
                  <c:v>0.48097084907968624</c:v>
                </c:pt>
                <c:pt idx="35">
                  <c:v>0.48004531431205455</c:v>
                </c:pt>
                <c:pt idx="36">
                  <c:v>0.48004531431205455</c:v>
                </c:pt>
                <c:pt idx="37">
                  <c:v>0.48014974960771639</c:v>
                </c:pt>
                <c:pt idx="38">
                  <c:v>0.47907754426846849</c:v>
                </c:pt>
                <c:pt idx="39">
                  <c:v>0.47907754426846849</c:v>
                </c:pt>
                <c:pt idx="40">
                  <c:v>0.4789229453133913</c:v>
                </c:pt>
                <c:pt idx="41">
                  <c:v>0.47772666483127368</c:v>
                </c:pt>
                <c:pt idx="42">
                  <c:v>0.47772666483127368</c:v>
                </c:pt>
                <c:pt idx="43">
                  <c:v>0.47735152766476002</c:v>
                </c:pt>
                <c:pt idx="44">
                  <c:v>0.47604952893258956</c:v>
                </c:pt>
                <c:pt idx="45">
                  <c:v>0.47604952893258956</c:v>
                </c:pt>
                <c:pt idx="46">
                  <c:v>0.47544335633787582</c:v>
                </c:pt>
                <c:pt idx="47">
                  <c:v>0.47476109793361737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18-4D35-AAA4-CDC5F822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65992"/>
        <c:axId val="221447008"/>
      </c:scatterChart>
      <c:valAx>
        <c:axId val="221265992"/>
        <c:scaling>
          <c:orientation val="minMax"/>
          <c:max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7008"/>
        <c:crosses val="autoZero"/>
        <c:crossBetween val="midCat"/>
        <c:majorUnit val="1"/>
      </c:valAx>
      <c:valAx>
        <c:axId val="2214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6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94720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1805" y="0"/>
          <a:ext cx="5329764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104</xdr:row>
      <xdr:rowOff>164522</xdr:rowOff>
    </xdr:from>
    <xdr:to>
      <xdr:col>15</xdr:col>
      <xdr:colOff>249383</xdr:colOff>
      <xdr:row>106</xdr:row>
      <xdr:rowOff>135947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2887" y="19595522"/>
          <a:ext cx="201583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107</xdr:row>
      <xdr:rowOff>69273</xdr:rowOff>
    </xdr:from>
    <xdr:to>
      <xdr:col>15</xdr:col>
      <xdr:colOff>258040</xdr:colOff>
      <xdr:row>109</xdr:row>
      <xdr:rowOff>40698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1544" y="20071773"/>
          <a:ext cx="2015837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139709</xdr:colOff>
      <xdr:row>127</xdr:row>
      <xdr:rowOff>136072</xdr:rowOff>
    </xdr:from>
    <xdr:to>
      <xdr:col>18</xdr:col>
      <xdr:colOff>396884</xdr:colOff>
      <xdr:row>128</xdr:row>
      <xdr:rowOff>78791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2209" y="24710572"/>
          <a:ext cx="2066925" cy="378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164523</xdr:colOff>
      <xdr:row>167</xdr:row>
      <xdr:rowOff>142474</xdr:rowOff>
    </xdr:from>
    <xdr:to>
      <xdr:col>18</xdr:col>
      <xdr:colOff>421698</xdr:colOff>
      <xdr:row>168</xdr:row>
      <xdr:rowOff>49975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023" y="32568295"/>
          <a:ext cx="2066925" cy="356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218951</xdr:colOff>
      <xdr:row>208</xdr:row>
      <xdr:rowOff>11205</xdr:rowOff>
    </xdr:from>
    <xdr:to>
      <xdr:col>18</xdr:col>
      <xdr:colOff>476126</xdr:colOff>
      <xdr:row>209</xdr:row>
      <xdr:rowOff>131617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451" y="40506062"/>
          <a:ext cx="2066925" cy="310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18490</xdr:colOff>
      <xdr:row>173</xdr:row>
      <xdr:rowOff>76200</xdr:rowOff>
    </xdr:from>
    <xdr:to>
      <xdr:col>24</xdr:col>
      <xdr:colOff>409015</xdr:colOff>
      <xdr:row>175</xdr:row>
      <xdr:rowOff>28575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040" y="32842200"/>
          <a:ext cx="22193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568139</xdr:colOff>
      <xdr:row>170</xdr:row>
      <xdr:rowOff>29135</xdr:rowOff>
    </xdr:from>
    <xdr:to>
      <xdr:col>25</xdr:col>
      <xdr:colOff>39221</xdr:colOff>
      <xdr:row>172</xdr:row>
      <xdr:rowOff>29135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8089" y="32223635"/>
          <a:ext cx="2519082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448235</xdr:colOff>
      <xdr:row>133</xdr:row>
      <xdr:rowOff>89648</xdr:rowOff>
    </xdr:from>
    <xdr:to>
      <xdr:col>16</xdr:col>
      <xdr:colOff>350183</xdr:colOff>
      <xdr:row>135</xdr:row>
      <xdr:rowOff>108698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411" y="25235648"/>
          <a:ext cx="1224243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524034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85</xdr:row>
      <xdr:rowOff>164522</xdr:rowOff>
    </xdr:from>
    <xdr:to>
      <xdr:col>15</xdr:col>
      <xdr:colOff>249383</xdr:colOff>
      <xdr:row>87</xdr:row>
      <xdr:rowOff>135947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978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88</xdr:row>
      <xdr:rowOff>69273</xdr:rowOff>
    </xdr:from>
    <xdr:to>
      <xdr:col>15</xdr:col>
      <xdr:colOff>258040</xdr:colOff>
      <xdr:row>90</xdr:row>
      <xdr:rowOff>40698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2026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108493</xdr:colOff>
      <xdr:row>107</xdr:row>
      <xdr:rowOff>34127</xdr:rowOff>
    </xdr:from>
    <xdr:to>
      <xdr:col>17</xdr:col>
      <xdr:colOff>488934</xdr:colOff>
      <xdr:row>109</xdr:row>
      <xdr:rowOff>53177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2964" y="20417627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74875</xdr:colOff>
      <xdr:row>147</xdr:row>
      <xdr:rowOff>78950</xdr:rowOff>
    </xdr:from>
    <xdr:to>
      <xdr:col>17</xdr:col>
      <xdr:colOff>455316</xdr:colOff>
      <xdr:row>149</xdr:row>
      <xdr:rowOff>98000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346" y="28082450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6828" y="5397669"/>
          <a:ext cx="201329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74279" y="5885126"/>
          <a:ext cx="201329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6942" y="6488205"/>
          <a:ext cx="2215963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153316</xdr:colOff>
      <xdr:row>189</xdr:row>
      <xdr:rowOff>45333</xdr:rowOff>
    </xdr:from>
    <xdr:to>
      <xdr:col>17</xdr:col>
      <xdr:colOff>533757</xdr:colOff>
      <xdr:row>191</xdr:row>
      <xdr:rowOff>64383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7787" y="36049833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130904</xdr:colOff>
      <xdr:row>231</xdr:row>
      <xdr:rowOff>56539</xdr:rowOff>
    </xdr:from>
    <xdr:to>
      <xdr:col>17</xdr:col>
      <xdr:colOff>511345</xdr:colOff>
      <xdr:row>233</xdr:row>
      <xdr:rowOff>75589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5375" y="44062039"/>
          <a:ext cx="1657911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231914</xdr:colOff>
      <xdr:row>0</xdr:row>
      <xdr:rowOff>0</xdr:rowOff>
    </xdr:from>
    <xdr:to>
      <xdr:col>13</xdr:col>
      <xdr:colOff>524033</xdr:colOff>
      <xdr:row>17</xdr:row>
      <xdr:rowOff>33130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2014" y="0"/>
          <a:ext cx="5302270" cy="3271630"/>
        </a:xfrm>
        <a:prstGeom prst="rect">
          <a:avLst/>
        </a:prstGeom>
      </xdr:spPr>
    </xdr:pic>
    <xdr:clientData/>
  </xdr:twoCellAnchor>
  <xdr:twoCellAnchor>
    <xdr:from>
      <xdr:col>12</xdr:col>
      <xdr:colOff>320387</xdr:colOff>
      <xdr:row>91</xdr:row>
      <xdr:rowOff>164522</xdr:rowOff>
    </xdr:from>
    <xdr:to>
      <xdr:col>15</xdr:col>
      <xdr:colOff>249383</xdr:colOff>
      <xdr:row>93</xdr:row>
      <xdr:rowOff>135947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6262" y="15976022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329044</xdr:colOff>
      <xdr:row>94</xdr:row>
      <xdr:rowOff>69273</xdr:rowOff>
    </xdr:from>
    <xdr:to>
      <xdr:col>15</xdr:col>
      <xdr:colOff>258040</xdr:colOff>
      <xdr:row>96</xdr:row>
      <xdr:rowOff>40698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4919" y="16452273"/>
          <a:ext cx="2005446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341417</xdr:colOff>
      <xdr:row>112</xdr:row>
      <xdr:rowOff>166996</xdr:rowOff>
    </xdr:from>
    <xdr:to>
      <xdr:col>18</xdr:col>
      <xdr:colOff>122341</xdr:colOff>
      <xdr:row>114</xdr:row>
      <xdr:rowOff>186046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7988" y="21502996"/>
          <a:ext cx="16723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463881</xdr:colOff>
      <xdr:row>152</xdr:row>
      <xdr:rowOff>153389</xdr:rowOff>
    </xdr:from>
    <xdr:to>
      <xdr:col>18</xdr:col>
      <xdr:colOff>244805</xdr:colOff>
      <xdr:row>154</xdr:row>
      <xdr:rowOff>172439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452" y="29109389"/>
          <a:ext cx="16723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600534</xdr:colOff>
      <xdr:row>34</xdr:row>
      <xdr:rowOff>63669</xdr:rowOff>
    </xdr:from>
    <xdr:to>
      <xdr:col>23</xdr:col>
      <xdr:colOff>193353</xdr:colOff>
      <xdr:row>36</xdr:row>
      <xdr:rowOff>35094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7084" y="6540669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597985</xdr:colOff>
      <xdr:row>36</xdr:row>
      <xdr:rowOff>170126</xdr:rowOff>
    </xdr:from>
    <xdr:to>
      <xdr:col>23</xdr:col>
      <xdr:colOff>190804</xdr:colOff>
      <xdr:row>38</xdr:row>
      <xdr:rowOff>141551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4535" y="7028126"/>
          <a:ext cx="2031219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470648</xdr:colOff>
      <xdr:row>40</xdr:row>
      <xdr:rowOff>11205</xdr:rowOff>
    </xdr:from>
    <xdr:to>
      <xdr:col>23</xdr:col>
      <xdr:colOff>266140</xdr:colOff>
      <xdr:row>41</xdr:row>
      <xdr:rowOff>154080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77198" y="7631205"/>
          <a:ext cx="2233892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463881</xdr:colOff>
      <xdr:row>195</xdr:row>
      <xdr:rowOff>71747</xdr:rowOff>
    </xdr:from>
    <xdr:to>
      <xdr:col>18</xdr:col>
      <xdr:colOff>244805</xdr:colOff>
      <xdr:row>197</xdr:row>
      <xdr:rowOff>90797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452" y="37219247"/>
          <a:ext cx="16723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409452</xdr:colOff>
      <xdr:row>237</xdr:row>
      <xdr:rowOff>17318</xdr:rowOff>
    </xdr:from>
    <xdr:to>
      <xdr:col>18</xdr:col>
      <xdr:colOff>190376</xdr:colOff>
      <xdr:row>239</xdr:row>
      <xdr:rowOff>36368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6023" y="45165818"/>
          <a:ext cx="16723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164524</xdr:colOff>
      <xdr:row>278</xdr:row>
      <xdr:rowOff>139782</xdr:rowOff>
    </xdr:from>
    <xdr:to>
      <xdr:col>17</xdr:col>
      <xdr:colOff>557769</xdr:colOff>
      <xdr:row>280</xdr:row>
      <xdr:rowOff>158832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1095" y="53098782"/>
          <a:ext cx="16723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273381</xdr:colOff>
      <xdr:row>320</xdr:row>
      <xdr:rowOff>153390</xdr:rowOff>
    </xdr:from>
    <xdr:to>
      <xdr:col>18</xdr:col>
      <xdr:colOff>54305</xdr:colOff>
      <xdr:row>322</xdr:row>
      <xdr:rowOff>172440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9952" y="61113390"/>
          <a:ext cx="16723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232560</xdr:colOff>
      <xdr:row>363</xdr:row>
      <xdr:rowOff>3711</xdr:rowOff>
    </xdr:from>
    <xdr:to>
      <xdr:col>18</xdr:col>
      <xdr:colOff>13484</xdr:colOff>
      <xdr:row>365</xdr:row>
      <xdr:rowOff>22761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9131" y="69155211"/>
          <a:ext cx="16723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96488</xdr:colOff>
      <xdr:row>405</xdr:row>
      <xdr:rowOff>3711</xdr:rowOff>
    </xdr:from>
    <xdr:to>
      <xdr:col>17</xdr:col>
      <xdr:colOff>489733</xdr:colOff>
      <xdr:row>407</xdr:row>
      <xdr:rowOff>22761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3059" y="77156211"/>
          <a:ext cx="16723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273381</xdr:colOff>
      <xdr:row>447</xdr:row>
      <xdr:rowOff>30925</xdr:rowOff>
    </xdr:from>
    <xdr:to>
      <xdr:col>18</xdr:col>
      <xdr:colOff>54305</xdr:colOff>
      <xdr:row>449</xdr:row>
      <xdr:rowOff>49975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9952" y="85184425"/>
          <a:ext cx="1672317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253984</xdr:colOff>
      <xdr:row>46</xdr:row>
      <xdr:rowOff>144657</xdr:rowOff>
    </xdr:from>
    <xdr:to>
      <xdr:col>18</xdr:col>
      <xdr:colOff>590829</xdr:colOff>
      <xdr:row>73</xdr:row>
      <xdr:rowOff>77982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7"/>
  <sheetViews>
    <sheetView topLeftCell="A58" zoomScale="130" zoomScaleNormal="130" workbookViewId="0">
      <selection activeCell="D29" sqref="D29"/>
    </sheetView>
  </sheetViews>
  <sheetFormatPr defaultRowHeight="15" x14ac:dyDescent="0.25"/>
  <cols>
    <col min="2" max="2" width="25.28515625" customWidth="1"/>
    <col min="3" max="3" width="10" customWidth="1"/>
    <col min="4" max="4" width="3.5703125" customWidth="1"/>
    <col min="5" max="5" width="10.7109375" customWidth="1"/>
    <col min="7" max="7" width="13.85546875" customWidth="1"/>
    <col min="8" max="8" width="10.28515625" customWidth="1"/>
    <col min="9" max="9" width="12.28515625" customWidth="1"/>
    <col min="10" max="10" width="13" bestFit="1" customWidth="1"/>
    <col min="11" max="11" width="12.42578125" bestFit="1" customWidth="1"/>
    <col min="13" max="13" width="10.7109375" customWidth="1"/>
    <col min="14" max="14" width="15.7109375" customWidth="1"/>
    <col min="15" max="15" width="10.7109375" customWidth="1"/>
    <col min="17" max="17" width="18" customWidth="1"/>
    <col min="19" max="19" width="18" customWidth="1"/>
  </cols>
  <sheetData>
    <row r="1" spans="1:6" x14ac:dyDescent="0.25">
      <c r="A1" t="s">
        <v>20</v>
      </c>
    </row>
    <row r="2" spans="1:6" x14ac:dyDescent="0.25">
      <c r="A2" t="s">
        <v>21</v>
      </c>
    </row>
    <row r="3" spans="1:6" x14ac:dyDescent="0.25">
      <c r="B3" t="s">
        <v>22</v>
      </c>
      <c r="C3" t="s">
        <v>7</v>
      </c>
      <c r="D3" t="s">
        <v>28</v>
      </c>
      <c r="E3">
        <v>150</v>
      </c>
      <c r="F3" t="s">
        <v>8</v>
      </c>
    </row>
    <row r="4" spans="1:6" x14ac:dyDescent="0.25">
      <c r="B4" t="s">
        <v>23</v>
      </c>
      <c r="C4" t="s">
        <v>98</v>
      </c>
      <c r="D4" t="s">
        <v>28</v>
      </c>
      <c r="E4">
        <v>98610</v>
      </c>
      <c r="F4" t="s">
        <v>29</v>
      </c>
    </row>
    <row r="5" spans="1:6" x14ac:dyDescent="0.25">
      <c r="B5" t="s">
        <v>101</v>
      </c>
      <c r="C5" t="s">
        <v>30</v>
      </c>
      <c r="D5" t="s">
        <v>28</v>
      </c>
      <c r="E5">
        <v>1.8048</v>
      </c>
    </row>
    <row r="6" spans="1:6" x14ac:dyDescent="0.25">
      <c r="B6" t="s">
        <v>66</v>
      </c>
      <c r="C6" t="s">
        <v>67</v>
      </c>
      <c r="D6" t="s">
        <v>28</v>
      </c>
      <c r="E6">
        <v>288.20999999999998</v>
      </c>
      <c r="F6" t="s">
        <v>31</v>
      </c>
    </row>
    <row r="7" spans="1:6" x14ac:dyDescent="0.25">
      <c r="B7" t="s">
        <v>111</v>
      </c>
      <c r="C7" t="s">
        <v>70</v>
      </c>
      <c r="D7" t="s">
        <v>28</v>
      </c>
      <c r="E7">
        <v>347.2</v>
      </c>
      <c r="F7" t="s">
        <v>31</v>
      </c>
    </row>
    <row r="8" spans="1:6" x14ac:dyDescent="0.25">
      <c r="B8" t="s">
        <v>25</v>
      </c>
      <c r="C8" t="s">
        <v>12</v>
      </c>
      <c r="D8" t="s">
        <v>28</v>
      </c>
      <c r="E8">
        <v>1.2042999999999999</v>
      </c>
      <c r="F8" t="s">
        <v>34</v>
      </c>
    </row>
    <row r="9" spans="1:6" x14ac:dyDescent="0.25">
      <c r="B9" t="s">
        <v>26</v>
      </c>
      <c r="C9" t="s">
        <v>35</v>
      </c>
      <c r="D9" t="s">
        <v>28</v>
      </c>
      <c r="E9">
        <v>1.1253</v>
      </c>
      <c r="F9" t="s">
        <v>34</v>
      </c>
    </row>
    <row r="10" spans="1:6" x14ac:dyDescent="0.25">
      <c r="B10" t="s">
        <v>27</v>
      </c>
      <c r="C10" t="s">
        <v>36</v>
      </c>
      <c r="D10" t="s">
        <v>28</v>
      </c>
      <c r="E10">
        <v>469.35</v>
      </c>
      <c r="F10" t="s">
        <v>37</v>
      </c>
    </row>
    <row r="19" spans="1:17" x14ac:dyDescent="0.25">
      <c r="A19">
        <v>1</v>
      </c>
      <c r="B19" t="s">
        <v>38</v>
      </c>
    </row>
    <row r="20" spans="1:17" x14ac:dyDescent="0.25">
      <c r="A20" s="3" t="s">
        <v>42</v>
      </c>
      <c r="B20" t="s">
        <v>39</v>
      </c>
    </row>
    <row r="21" spans="1:17" x14ac:dyDescent="0.25">
      <c r="B21" s="2" t="s">
        <v>45</v>
      </c>
    </row>
    <row r="22" spans="1:17" x14ac:dyDescent="0.25">
      <c r="B22" s="2" t="s">
        <v>40</v>
      </c>
    </row>
    <row r="23" spans="1:17" x14ac:dyDescent="0.25">
      <c r="B23" s="2" t="s">
        <v>48</v>
      </c>
    </row>
    <row r="24" spans="1:17" x14ac:dyDescent="0.25">
      <c r="B24" s="2" t="s">
        <v>150</v>
      </c>
    </row>
    <row r="25" spans="1:17" x14ac:dyDescent="0.25">
      <c r="B25" s="2" t="s">
        <v>151</v>
      </c>
    </row>
    <row r="26" spans="1:17" x14ac:dyDescent="0.25">
      <c r="B26" s="2"/>
    </row>
    <row r="27" spans="1:17" x14ac:dyDescent="0.25">
      <c r="A27" s="3" t="s">
        <v>43</v>
      </c>
      <c r="B27" t="s">
        <v>41</v>
      </c>
    </row>
    <row r="28" spans="1:17" x14ac:dyDescent="0.25">
      <c r="B28" s="3" t="s">
        <v>1</v>
      </c>
      <c r="C28">
        <v>287</v>
      </c>
      <c r="D28" t="s">
        <v>2</v>
      </c>
    </row>
    <row r="29" spans="1:17" x14ac:dyDescent="0.25">
      <c r="B29" s="3" t="s">
        <v>11</v>
      </c>
      <c r="C29">
        <v>1.4</v>
      </c>
    </row>
    <row r="30" spans="1:17" x14ac:dyDescent="0.25">
      <c r="B30" s="3" t="s">
        <v>19</v>
      </c>
      <c r="C30">
        <v>1005</v>
      </c>
      <c r="D30" t="s">
        <v>59</v>
      </c>
    </row>
    <row r="31" spans="1:17" x14ac:dyDescent="0.25">
      <c r="B31" s="3"/>
    </row>
    <row r="32" spans="1:17" s="24" customFormat="1" ht="30" x14ac:dyDescent="0.25">
      <c r="E32" s="31" t="s">
        <v>152</v>
      </c>
      <c r="F32" s="31" t="s">
        <v>44</v>
      </c>
      <c r="G32" s="31" t="s">
        <v>217</v>
      </c>
      <c r="H32" s="32" t="s">
        <v>12</v>
      </c>
      <c r="I32" s="31" t="s">
        <v>0</v>
      </c>
      <c r="J32" s="31" t="s">
        <v>4</v>
      </c>
      <c r="K32" s="31" t="s">
        <v>5</v>
      </c>
      <c r="L32" s="31" t="s">
        <v>218</v>
      </c>
      <c r="M32" s="32" t="s">
        <v>219</v>
      </c>
      <c r="N32" s="31" t="s">
        <v>46</v>
      </c>
      <c r="O32" s="31" t="s">
        <v>9</v>
      </c>
      <c r="P32" s="31" t="s">
        <v>10</v>
      </c>
      <c r="Q32" s="31" t="s">
        <v>6</v>
      </c>
    </row>
    <row r="33" spans="1:19" x14ac:dyDescent="0.25">
      <c r="E33" s="34">
        <f>E6</f>
        <v>288.20999999999998</v>
      </c>
      <c r="F33" s="34">
        <f>E4</f>
        <v>98610</v>
      </c>
      <c r="G33" s="30">
        <f>F33/(E33*C28)</f>
        <v>1.1921475666153709</v>
      </c>
      <c r="H33" s="35">
        <f>E8</f>
        <v>1.2042999999999999</v>
      </c>
      <c r="I33" s="22">
        <v>0.4</v>
      </c>
      <c r="J33" s="28">
        <f>$H$33*(1-I33)/(1+I33)</f>
        <v>0.51612857142857138</v>
      </c>
      <c r="K33" s="22">
        <f>$H$33/2+J33/2</f>
        <v>0.8602142857142856</v>
      </c>
      <c r="L33" s="36">
        <f>E10</f>
        <v>469.35</v>
      </c>
      <c r="M33" s="37">
        <f>L33*60/(2*3.14)</f>
        <v>4484.2356687898091</v>
      </c>
      <c r="N33" s="29">
        <f>$E$3/($G$33*2*3.14*$H$33/2*J33)</f>
        <v>64.467229538332163</v>
      </c>
      <c r="O33" s="29">
        <f>K33*$L$33</f>
        <v>403.74157499999995</v>
      </c>
      <c r="P33" s="29">
        <f>SQRT(N33^2+O33^2)</f>
        <v>408.85606644371637</v>
      </c>
      <c r="Q33" s="29">
        <f>P33/SQRT($C$28*$C$29*$E$33)</f>
        <v>1.2014645387202341</v>
      </c>
    </row>
    <row r="34" spans="1:19" x14ac:dyDescent="0.25">
      <c r="I34" s="22">
        <v>0.45</v>
      </c>
      <c r="J34" s="28">
        <f t="shared" ref="J34:J41" si="0">$H$33*(1-I34)/(1+I34)</f>
        <v>0.45680344827586206</v>
      </c>
      <c r="K34" s="22">
        <f t="shared" ref="K34:K41" si="1">$H$33/2+J34/2</f>
        <v>0.83055172413793099</v>
      </c>
      <c r="N34" s="29">
        <f t="shared" ref="N34:N41" si="2">$E$3/($G$33*2*3.14*$H$33/2*J34)</f>
        <v>72.839597010842823</v>
      </c>
      <c r="O34" s="29">
        <f t="shared" ref="O34:O41" si="3">K34*$L$33</f>
        <v>389.81945172413793</v>
      </c>
      <c r="P34" s="29">
        <f t="shared" ref="P34:P41" si="4">SQRT(N34^2+O34^2)</f>
        <v>396.56627672459683</v>
      </c>
      <c r="Q34" s="29">
        <f t="shared" ref="Q34:Q41" si="5">P34/SQRT($C$28*$C$29*$E$33)</f>
        <v>1.165349759589561</v>
      </c>
    </row>
    <row r="35" spans="1:19" x14ac:dyDescent="0.25">
      <c r="I35" s="22">
        <v>0.5</v>
      </c>
      <c r="J35" s="28">
        <f t="shared" si="0"/>
        <v>0.40143333333333331</v>
      </c>
      <c r="K35" s="22">
        <f t="shared" si="1"/>
        <v>0.80286666666666662</v>
      </c>
      <c r="N35" s="29">
        <f t="shared" si="2"/>
        <v>82.886437977855635</v>
      </c>
      <c r="O35" s="29">
        <f t="shared" si="3"/>
        <v>376.82547</v>
      </c>
      <c r="P35" s="29">
        <f t="shared" si="4"/>
        <v>385.8336382968414</v>
      </c>
      <c r="Q35" s="29">
        <f t="shared" si="5"/>
        <v>1.1338108256316632</v>
      </c>
    </row>
    <row r="36" spans="1:19" x14ac:dyDescent="0.25">
      <c r="I36" s="22">
        <v>0.55000000000000004</v>
      </c>
      <c r="J36" s="28">
        <f t="shared" si="0"/>
        <v>0.34963548387096771</v>
      </c>
      <c r="K36" s="22">
        <f t="shared" si="1"/>
        <v>0.77696774193548379</v>
      </c>
      <c r="N36" s="29">
        <f t="shared" si="2"/>
        <v>95.165910270871279</v>
      </c>
      <c r="O36" s="29">
        <f t="shared" si="3"/>
        <v>364.66980967741932</v>
      </c>
      <c r="P36" s="29">
        <f t="shared" si="4"/>
        <v>376.88276767165775</v>
      </c>
      <c r="Q36" s="29">
        <f t="shared" si="5"/>
        <v>1.10750779498234</v>
      </c>
    </row>
    <row r="37" spans="1:19" x14ac:dyDescent="0.25">
      <c r="I37" s="22">
        <v>0.6</v>
      </c>
      <c r="J37" s="28">
        <f t="shared" si="0"/>
        <v>0.30107499999999998</v>
      </c>
      <c r="K37" s="22">
        <f t="shared" si="1"/>
        <v>0.75268749999999995</v>
      </c>
      <c r="N37" s="29">
        <f t="shared" si="2"/>
        <v>110.51525063714084</v>
      </c>
      <c r="O37" s="29">
        <f t="shared" si="3"/>
        <v>353.27387812500001</v>
      </c>
      <c r="P37" s="29">
        <f t="shared" si="4"/>
        <v>370.1567959512123</v>
      </c>
      <c r="Q37" s="29">
        <f t="shared" si="5"/>
        <v>1.0877428528088264</v>
      </c>
    </row>
    <row r="38" spans="1:19" s="25" customFormat="1" x14ac:dyDescent="0.25">
      <c r="I38" s="38">
        <v>0.65</v>
      </c>
      <c r="J38" s="39">
        <f t="shared" si="0"/>
        <v>0.25545757575757577</v>
      </c>
      <c r="K38" s="38">
        <f t="shared" si="1"/>
        <v>0.72987878787878779</v>
      </c>
      <c r="L38" s="26"/>
      <c r="M38" s="26"/>
      <c r="N38" s="40">
        <f t="shared" si="2"/>
        <v>130.25011682234455</v>
      </c>
      <c r="O38" s="40">
        <f t="shared" si="3"/>
        <v>342.56860909090909</v>
      </c>
      <c r="P38" s="40">
        <f t="shared" si="4"/>
        <v>366.49467235788637</v>
      </c>
      <c r="Q38" s="40">
        <f t="shared" si="5"/>
        <v>1.0769813355050406</v>
      </c>
      <c r="S38" s="27" t="s">
        <v>13</v>
      </c>
    </row>
    <row r="39" spans="1:19" x14ac:dyDescent="0.25">
      <c r="I39" s="22">
        <v>0.7</v>
      </c>
      <c r="J39" s="28">
        <f t="shared" si="0"/>
        <v>0.21252352941176475</v>
      </c>
      <c r="K39" s="22">
        <f t="shared" si="1"/>
        <v>0.7084117647058823</v>
      </c>
      <c r="N39" s="29">
        <f t="shared" si="2"/>
        <v>156.56327173594948</v>
      </c>
      <c r="O39" s="29">
        <f t="shared" si="3"/>
        <v>332.49306176470589</v>
      </c>
      <c r="P39" s="29">
        <f t="shared" si="4"/>
        <v>367.51012799422722</v>
      </c>
      <c r="Q39" s="29">
        <f t="shared" si="5"/>
        <v>1.0799653536909981</v>
      </c>
    </row>
    <row r="40" spans="1:19" x14ac:dyDescent="0.25">
      <c r="I40" s="22">
        <v>0.75</v>
      </c>
      <c r="J40" s="28">
        <f t="shared" si="0"/>
        <v>0.17204285714285714</v>
      </c>
      <c r="K40" s="22">
        <f t="shared" si="1"/>
        <v>0.68817142857142855</v>
      </c>
      <c r="N40" s="29">
        <f t="shared" si="2"/>
        <v>193.40168861499646</v>
      </c>
      <c r="O40" s="29">
        <f t="shared" si="3"/>
        <v>322.99326000000002</v>
      </c>
      <c r="P40" s="29">
        <f t="shared" si="4"/>
        <v>376.46893519194867</v>
      </c>
      <c r="Q40" s="29">
        <f t="shared" si="5"/>
        <v>1.1062917067543583</v>
      </c>
    </row>
    <row r="41" spans="1:19" x14ac:dyDescent="0.25">
      <c r="I41" s="22">
        <v>0.8</v>
      </c>
      <c r="J41" s="28">
        <f t="shared" si="0"/>
        <v>0.13381111111111108</v>
      </c>
      <c r="K41" s="22">
        <f t="shared" si="1"/>
        <v>0.66905555555555551</v>
      </c>
      <c r="N41" s="29">
        <f t="shared" si="2"/>
        <v>248.65931393356695</v>
      </c>
      <c r="O41" s="29">
        <f t="shared" si="3"/>
        <v>314.02122500000002</v>
      </c>
      <c r="P41" s="29">
        <f t="shared" si="4"/>
        <v>400.55060124335461</v>
      </c>
      <c r="Q41" s="29">
        <f t="shared" si="5"/>
        <v>1.1770580966130988</v>
      </c>
    </row>
    <row r="43" spans="1:19" x14ac:dyDescent="0.25">
      <c r="I43" s="33" t="s">
        <v>0</v>
      </c>
      <c r="J43" s="21"/>
      <c r="K43" s="21"/>
      <c r="L43" s="21"/>
      <c r="M43" s="21"/>
      <c r="N43" s="33" t="s">
        <v>49</v>
      </c>
      <c r="O43" s="33" t="s">
        <v>50</v>
      </c>
      <c r="P43" s="33" t="s">
        <v>15</v>
      </c>
    </row>
    <row r="44" spans="1:19" x14ac:dyDescent="0.25">
      <c r="H44" t="s">
        <v>220</v>
      </c>
      <c r="I44" s="22">
        <v>0.65</v>
      </c>
      <c r="N44" s="22">
        <f>N38</f>
        <v>130.25011682234455</v>
      </c>
      <c r="O44" s="22">
        <f>H33/2*L33</f>
        <v>282.6191025</v>
      </c>
      <c r="P44" s="22">
        <f>SQRT(N44^2+O44^2)</f>
        <v>311.18909047416798</v>
      </c>
      <c r="S44" t="s">
        <v>47</v>
      </c>
    </row>
    <row r="47" spans="1:19" x14ac:dyDescent="0.25">
      <c r="A47" s="3" t="s">
        <v>60</v>
      </c>
      <c r="B47" t="s">
        <v>102</v>
      </c>
    </row>
    <row r="48" spans="1:19" x14ac:dyDescent="0.25">
      <c r="B48" t="s">
        <v>51</v>
      </c>
    </row>
    <row r="49" spans="1:16" x14ac:dyDescent="0.25">
      <c r="B49" s="2" t="s">
        <v>57</v>
      </c>
    </row>
    <row r="50" spans="1:16" ht="30" x14ac:dyDescent="0.25">
      <c r="B50" s="2" t="s">
        <v>53</v>
      </c>
      <c r="H50" s="31" t="s">
        <v>15</v>
      </c>
      <c r="I50" s="31" t="s">
        <v>81</v>
      </c>
      <c r="J50" s="31" t="s">
        <v>88</v>
      </c>
      <c r="K50" s="31" t="s">
        <v>89</v>
      </c>
      <c r="L50" s="31" t="s">
        <v>82</v>
      </c>
      <c r="M50" s="31" t="s">
        <v>90</v>
      </c>
      <c r="N50" s="31" t="s">
        <v>84</v>
      </c>
      <c r="O50" s="31" t="s">
        <v>87</v>
      </c>
      <c r="P50" s="31" t="s">
        <v>113</v>
      </c>
    </row>
    <row r="51" spans="1:16" x14ac:dyDescent="0.25">
      <c r="B51" t="s">
        <v>54</v>
      </c>
      <c r="H51" s="23">
        <f>P44</f>
        <v>311.18909047416798</v>
      </c>
      <c r="I51" s="23">
        <f>H51*0.72</f>
        <v>224.05614514140095</v>
      </c>
      <c r="J51" s="23">
        <f>90+ATAN(O44/N44)/3.14*180</f>
        <v>155.28963248084665</v>
      </c>
      <c r="K51" s="23">
        <f>90+ACOS(N44/I51)/3.1416*180</f>
        <v>144.4558693573785</v>
      </c>
      <c r="L51" s="23">
        <f>ATAN(N44/(O44-I51*SIN((K51-90)/180*3.14)))/3.14*180</f>
        <v>52.407666045779415</v>
      </c>
      <c r="M51" s="23">
        <f>O44*N44/C30*(TAN((J51-90)/180*3.14)-TAN((K51-90)/180*3.14))</f>
        <v>28.261329282052596</v>
      </c>
      <c r="N51" s="23">
        <f>L51</f>
        <v>52.407666045779415</v>
      </c>
      <c r="O51" s="23">
        <f>N44/SIN((N51/180*3.14))</f>
        <v>164.43888333450971</v>
      </c>
      <c r="P51" s="23">
        <f>N44/SIN(L51/180*3.14)</f>
        <v>164.43888333450971</v>
      </c>
    </row>
    <row r="52" spans="1:16" x14ac:dyDescent="0.25">
      <c r="B52" t="s">
        <v>55</v>
      </c>
    </row>
    <row r="53" spans="1:16" x14ac:dyDescent="0.25">
      <c r="B53" t="s">
        <v>56</v>
      </c>
    </row>
    <row r="54" spans="1:16" x14ac:dyDescent="0.25">
      <c r="B54" t="s">
        <v>112</v>
      </c>
    </row>
    <row r="55" spans="1:16" x14ac:dyDescent="0.25">
      <c r="B55" t="s">
        <v>86</v>
      </c>
    </row>
    <row r="57" spans="1:16" x14ac:dyDescent="0.25">
      <c r="A57" s="3" t="s">
        <v>103</v>
      </c>
      <c r="B57" t="s">
        <v>104</v>
      </c>
    </row>
    <row r="58" spans="1:16" x14ac:dyDescent="0.25">
      <c r="B58" t="s">
        <v>39</v>
      </c>
    </row>
    <row r="59" spans="1:16" x14ac:dyDescent="0.25">
      <c r="B59" s="8" t="s">
        <v>153</v>
      </c>
    </row>
    <row r="60" spans="1:16" x14ac:dyDescent="0.25">
      <c r="B60" t="s">
        <v>105</v>
      </c>
    </row>
    <row r="62" spans="1:16" x14ac:dyDescent="0.25">
      <c r="B62" t="s">
        <v>117</v>
      </c>
      <c r="C62" t="s">
        <v>64</v>
      </c>
      <c r="D62" t="s">
        <v>28</v>
      </c>
      <c r="E62">
        <f>O51</f>
        <v>164.43888333450971</v>
      </c>
    </row>
    <row r="63" spans="1:16" x14ac:dyDescent="0.25">
      <c r="B63" t="s">
        <v>110</v>
      </c>
      <c r="C63" t="s">
        <v>70</v>
      </c>
      <c r="D63" t="s">
        <v>28</v>
      </c>
      <c r="E63">
        <v>288.20999999999998</v>
      </c>
    </row>
    <row r="64" spans="1:16" x14ac:dyDescent="0.25">
      <c r="B64" t="s">
        <v>118</v>
      </c>
      <c r="C64" t="s">
        <v>32</v>
      </c>
      <c r="D64" t="s">
        <v>28</v>
      </c>
      <c r="E64">
        <f>E63-0.5*E62^2/1005</f>
        <v>274.75719086950221</v>
      </c>
    </row>
    <row r="65" spans="2:15" x14ac:dyDescent="0.25">
      <c r="B65" t="s">
        <v>106</v>
      </c>
      <c r="C65" t="s">
        <v>107</v>
      </c>
      <c r="F65" t="s">
        <v>28</v>
      </c>
      <c r="G65">
        <f>N44/SIN(L51/180*3.14)</f>
        <v>164.43888333450971</v>
      </c>
    </row>
    <row r="66" spans="2:15" x14ac:dyDescent="0.25">
      <c r="B66" t="s">
        <v>108</v>
      </c>
      <c r="C66" t="s">
        <v>70</v>
      </c>
      <c r="D66" t="s">
        <v>28</v>
      </c>
      <c r="E66">
        <f>347.2</f>
        <v>347.2</v>
      </c>
    </row>
    <row r="67" spans="2:15" x14ac:dyDescent="0.25">
      <c r="B67" t="s">
        <v>119</v>
      </c>
      <c r="C67" t="s">
        <v>33</v>
      </c>
      <c r="D67" t="s">
        <v>28</v>
      </c>
      <c r="E67">
        <f>E66-0.5*G65^2/1008</f>
        <v>333.78722899191445</v>
      </c>
    </row>
    <row r="69" spans="2:15" x14ac:dyDescent="0.25">
      <c r="B69" t="s">
        <v>109</v>
      </c>
    </row>
    <row r="70" spans="2:15" x14ac:dyDescent="0.25">
      <c r="B70" t="s">
        <v>63</v>
      </c>
      <c r="C70" t="s">
        <v>64</v>
      </c>
      <c r="D70" t="s">
        <v>28</v>
      </c>
      <c r="E70" t="s">
        <v>65</v>
      </c>
      <c r="H70" t="s">
        <v>28</v>
      </c>
      <c r="I70">
        <f>O51</f>
        <v>164.43888333450971</v>
      </c>
      <c r="N70" t="s">
        <v>115</v>
      </c>
      <c r="O70">
        <f>E4/(C28*E64)</f>
        <v>1.2505181359835851</v>
      </c>
    </row>
    <row r="71" spans="2:15" x14ac:dyDescent="0.25">
      <c r="B71" t="s">
        <v>120</v>
      </c>
      <c r="C71" t="s">
        <v>67</v>
      </c>
      <c r="D71" t="s">
        <v>28</v>
      </c>
      <c r="E71">
        <v>288.20999999999998</v>
      </c>
      <c r="N71" t="s">
        <v>116</v>
      </c>
      <c r="O71">
        <f>E4*E5/(C28*E67)</f>
        <v>1.8577977314088503</v>
      </c>
    </row>
    <row r="72" spans="2:15" x14ac:dyDescent="0.25">
      <c r="B72" t="s">
        <v>114</v>
      </c>
      <c r="C72" t="s">
        <v>97</v>
      </c>
      <c r="D72" t="s">
        <v>28</v>
      </c>
      <c r="E72">
        <f>G65</f>
        <v>164.43888333450971</v>
      </c>
    </row>
    <row r="73" spans="2:15" x14ac:dyDescent="0.25">
      <c r="B73" t="s">
        <v>121</v>
      </c>
      <c r="C73" t="s">
        <v>70</v>
      </c>
      <c r="D73" t="s">
        <v>28</v>
      </c>
      <c r="E73">
        <v>347.2</v>
      </c>
    </row>
    <row r="74" spans="2:15" x14ac:dyDescent="0.25">
      <c r="B74" t="s">
        <v>122</v>
      </c>
      <c r="C74" t="s">
        <v>69</v>
      </c>
      <c r="D74" t="s">
        <v>28</v>
      </c>
      <c r="E74">
        <f>E4+0.5*I70^2/O70</f>
        <v>109421.57704723423</v>
      </c>
    </row>
    <row r="75" spans="2:15" x14ac:dyDescent="0.25">
      <c r="B75" t="s">
        <v>123</v>
      </c>
      <c r="C75" t="s">
        <v>68</v>
      </c>
      <c r="D75" t="s">
        <v>28</v>
      </c>
      <c r="E75">
        <f>E4*E5+0.5*O71*E72^2</f>
        <v>203088.88927513358</v>
      </c>
    </row>
    <row r="77" spans="2:15" x14ac:dyDescent="0.25">
      <c r="C77" s="5" t="s">
        <v>68</v>
      </c>
      <c r="D77" s="89"/>
      <c r="E77" s="6" t="s">
        <v>70</v>
      </c>
      <c r="F77" t="s">
        <v>124</v>
      </c>
    </row>
    <row r="78" spans="2:15" x14ac:dyDescent="0.25">
      <c r="C78" t="s">
        <v>69</v>
      </c>
      <c r="D78" s="89"/>
      <c r="E78" s="7" t="s">
        <v>67</v>
      </c>
    </row>
    <row r="79" spans="2:15" x14ac:dyDescent="0.25">
      <c r="C79" t="s">
        <v>28</v>
      </c>
      <c r="E79" t="s">
        <v>28</v>
      </c>
    </row>
    <row r="80" spans="2:15" x14ac:dyDescent="0.25">
      <c r="C80">
        <f>E75/E74</f>
        <v>1.8560223198708405</v>
      </c>
      <c r="E80">
        <f>(E73/E71)^(1.4/0.4)</f>
        <v>1.9188779342044833</v>
      </c>
    </row>
    <row r="82" spans="1:17" x14ac:dyDescent="0.25">
      <c r="C82" t="s">
        <v>134</v>
      </c>
      <c r="D82" t="s">
        <v>28</v>
      </c>
      <c r="E82">
        <f>LOG10(C80)/LOG10(E80)</f>
        <v>0.94889846428174218</v>
      </c>
    </row>
    <row r="86" spans="1:17" x14ac:dyDescent="0.25">
      <c r="A86" s="3" t="s">
        <v>61</v>
      </c>
      <c r="B86" t="s">
        <v>62</v>
      </c>
    </row>
    <row r="87" spans="1:17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25">
      <c r="C88" s="10" t="s">
        <v>125</v>
      </c>
      <c r="D88" s="10" t="s">
        <v>28</v>
      </c>
      <c r="E88" s="10">
        <f>E7-E6</f>
        <v>58.990000000000009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25">
      <c r="A90" s="3" t="s">
        <v>71</v>
      </c>
      <c r="B90" t="s">
        <v>72</v>
      </c>
    </row>
    <row r="92" spans="1:17" x14ac:dyDescent="0.25">
      <c r="C92" t="s">
        <v>73</v>
      </c>
      <c r="D92" t="s">
        <v>28</v>
      </c>
      <c r="E92" t="s">
        <v>74</v>
      </c>
    </row>
    <row r="93" spans="1:17" x14ac:dyDescent="0.25">
      <c r="D93" t="s">
        <v>28</v>
      </c>
      <c r="E93">
        <f>E88/M51</f>
        <v>2.0873045075576719</v>
      </c>
    </row>
    <row r="94" spans="1:17" x14ac:dyDescent="0.25">
      <c r="B94" s="3" t="s">
        <v>75</v>
      </c>
      <c r="C94" t="s">
        <v>73</v>
      </c>
      <c r="D94" t="s">
        <v>28</v>
      </c>
      <c r="E94">
        <v>3</v>
      </c>
      <c r="G94" t="s">
        <v>221</v>
      </c>
    </row>
    <row r="95" spans="1:17" x14ac:dyDescent="0.25">
      <c r="B95" s="3" t="s">
        <v>76</v>
      </c>
      <c r="C95" t="s">
        <v>77</v>
      </c>
      <c r="D95" t="s">
        <v>28</v>
      </c>
      <c r="E95">
        <v>17</v>
      </c>
      <c r="F95" t="s">
        <v>31</v>
      </c>
      <c r="G95">
        <v>0.98</v>
      </c>
    </row>
    <row r="96" spans="1:17" x14ac:dyDescent="0.25">
      <c r="C96" t="s">
        <v>78</v>
      </c>
      <c r="D96" t="s">
        <v>28</v>
      </c>
      <c r="E96">
        <v>21</v>
      </c>
      <c r="F96" t="s">
        <v>31</v>
      </c>
      <c r="G96">
        <v>0.93</v>
      </c>
    </row>
    <row r="97" spans="1:19" x14ac:dyDescent="0.25">
      <c r="C97" t="s">
        <v>96</v>
      </c>
      <c r="D97" t="s">
        <v>28</v>
      </c>
      <c r="E97">
        <v>21</v>
      </c>
      <c r="F97" t="s">
        <v>31</v>
      </c>
      <c r="G97">
        <v>0.88</v>
      </c>
    </row>
    <row r="100" spans="1:19" x14ac:dyDescent="0.25">
      <c r="A100">
        <v>2</v>
      </c>
      <c r="B100" t="s">
        <v>79</v>
      </c>
    </row>
    <row r="101" spans="1:19" x14ac:dyDescent="0.25">
      <c r="G101" t="s">
        <v>3</v>
      </c>
      <c r="H101">
        <v>1.2042999999999999</v>
      </c>
      <c r="J101" t="s">
        <v>80</v>
      </c>
      <c r="K101">
        <v>130.25</v>
      </c>
      <c r="M101" t="s">
        <v>93</v>
      </c>
      <c r="N101">
        <v>288.20999999999998</v>
      </c>
      <c r="P101" t="s">
        <v>130</v>
      </c>
      <c r="R101" s="11" t="s">
        <v>28</v>
      </c>
      <c r="S101">
        <f>E95*C30/(K101*K102*G95)</f>
        <v>0.473597785043537</v>
      </c>
    </row>
    <row r="102" spans="1:19" x14ac:dyDescent="0.25">
      <c r="B102" s="2"/>
      <c r="G102" t="s">
        <v>36</v>
      </c>
      <c r="H102">
        <v>469.35</v>
      </c>
      <c r="J102" t="s">
        <v>18</v>
      </c>
      <c r="K102">
        <f>H102*H101/2</f>
        <v>282.6191025</v>
      </c>
      <c r="M102" t="s">
        <v>94</v>
      </c>
      <c r="N102">
        <f>N101+E95</f>
        <v>305.20999999999998</v>
      </c>
      <c r="P102" t="s">
        <v>128</v>
      </c>
      <c r="R102" t="s">
        <v>28</v>
      </c>
      <c r="S102">
        <f>K102/K101</f>
        <v>2.1698203646833014</v>
      </c>
    </row>
    <row r="103" spans="1:19" x14ac:dyDescent="0.25">
      <c r="B103" s="2"/>
      <c r="M103" t="s">
        <v>126</v>
      </c>
      <c r="N103">
        <v>98610</v>
      </c>
      <c r="P103" t="s">
        <v>129</v>
      </c>
      <c r="R103" t="s">
        <v>28</v>
      </c>
      <c r="S103">
        <f>S102-S101</f>
        <v>1.6962225796397643</v>
      </c>
    </row>
    <row r="104" spans="1:19" x14ac:dyDescent="0.25">
      <c r="B104" s="2"/>
    </row>
    <row r="105" spans="1:19" x14ac:dyDescent="0.25">
      <c r="B105" s="2"/>
    </row>
    <row r="106" spans="1:19" x14ac:dyDescent="0.25">
      <c r="J106" t="s">
        <v>83</v>
      </c>
      <c r="K106">
        <v>90</v>
      </c>
    </row>
    <row r="107" spans="1:19" x14ac:dyDescent="0.25">
      <c r="J107" t="s">
        <v>58</v>
      </c>
      <c r="K107">
        <f>ATAN(S102)/3.14*180+90</f>
        <v>155.28965202521459</v>
      </c>
    </row>
    <row r="108" spans="1:19" x14ac:dyDescent="0.25">
      <c r="J108" t="s">
        <v>52</v>
      </c>
      <c r="K108">
        <f>ATAN(S103)/3.14*180+90</f>
        <v>149.5088939779337</v>
      </c>
    </row>
    <row r="109" spans="1:19" x14ac:dyDescent="0.25">
      <c r="J109" t="s">
        <v>131</v>
      </c>
      <c r="K109">
        <f>90-ATAN(K102/K101-TAN((K108-90)/180*3.14))/3.14*180</f>
        <v>64.645014652284644</v>
      </c>
    </row>
    <row r="110" spans="1:19" x14ac:dyDescent="0.25">
      <c r="I110" t="s">
        <v>137</v>
      </c>
      <c r="J110" t="s">
        <v>138</v>
      </c>
      <c r="K110">
        <f>K109</f>
        <v>64.645014652284644</v>
      </c>
    </row>
    <row r="112" spans="1:19" x14ac:dyDescent="0.25">
      <c r="J112" t="s">
        <v>14</v>
      </c>
      <c r="K112">
        <f>K101/COS((90-K106)/180*3.14)</f>
        <v>130.25</v>
      </c>
    </row>
    <row r="113" spans="10:24" x14ac:dyDescent="0.25">
      <c r="J113" t="s">
        <v>15</v>
      </c>
      <c r="K113">
        <f>K101/COS((K107-90)/180*3.14)</f>
        <v>311.1890415774721</v>
      </c>
    </row>
    <row r="114" spans="10:24" x14ac:dyDescent="0.25">
      <c r="J114" t="s">
        <v>113</v>
      </c>
      <c r="K114">
        <f>K101/COS((90-K109)/180*3.14)</f>
        <v>144.11883586897099</v>
      </c>
    </row>
    <row r="115" spans="10:24" x14ac:dyDescent="0.25">
      <c r="J115" t="s">
        <v>136</v>
      </c>
      <c r="K115">
        <f>K101/COS((K108-90)/180*3.14)</f>
        <v>256.46919700298781</v>
      </c>
    </row>
    <row r="116" spans="10:24" x14ac:dyDescent="0.25">
      <c r="J116" t="s">
        <v>85</v>
      </c>
      <c r="K116">
        <f>K101/COS((90-K110)/180*3.14)</f>
        <v>144.11883586897099</v>
      </c>
    </row>
    <row r="117" spans="10:24" x14ac:dyDescent="0.25">
      <c r="J117" t="s">
        <v>132</v>
      </c>
      <c r="M117">
        <f>K107-K108</f>
        <v>5.7807580472808979</v>
      </c>
    </row>
    <row r="118" spans="10:24" x14ac:dyDescent="0.25">
      <c r="J118" t="s">
        <v>133</v>
      </c>
      <c r="M118">
        <f>COS((K107-90)/180*3.14)/COS((K108-90)/180*3.14)</f>
        <v>0.82415883188848893</v>
      </c>
    </row>
    <row r="119" spans="10:24" x14ac:dyDescent="0.25">
      <c r="J119" t="s">
        <v>140</v>
      </c>
      <c r="M119">
        <f>K101/(2*K102)*(S102+S103)</f>
        <v>0.89086705223345497</v>
      </c>
    </row>
    <row r="120" spans="10:24" x14ac:dyDescent="0.25">
      <c r="J120" t="s">
        <v>143</v>
      </c>
      <c r="M120">
        <f>K101*(TAN((90-K109)/180*3.14)-TAN((90-K106)/180*3.14))</f>
        <v>61.686111501920749</v>
      </c>
    </row>
    <row r="122" spans="10:24" x14ac:dyDescent="0.25">
      <c r="M122" t="s">
        <v>16</v>
      </c>
      <c r="N122">
        <f>N101-0.5*K116^2/1005</f>
        <v>277.87654783471271</v>
      </c>
      <c r="P122" t="s">
        <v>139</v>
      </c>
      <c r="Q122">
        <f>N103/(N122*287)</f>
        <v>1.2364802026351303</v>
      </c>
      <c r="T122" t="s">
        <v>187</v>
      </c>
      <c r="U122">
        <f>N101</f>
        <v>288.20999999999998</v>
      </c>
      <c r="W122" t="s">
        <v>191</v>
      </c>
      <c r="X122">
        <f>U124/(U123*287)</f>
        <v>1.2508982089634904</v>
      </c>
    </row>
    <row r="123" spans="10:24" x14ac:dyDescent="0.25">
      <c r="M123" t="s">
        <v>17</v>
      </c>
      <c r="N123">
        <f>N102-0.5*K114^2/1005</f>
        <v>294.87654783471271</v>
      </c>
      <c r="P123" s="12" t="s">
        <v>147</v>
      </c>
      <c r="Q123" s="12">
        <f>N135/(N123*287)</f>
        <v>1.3775541668154452</v>
      </c>
      <c r="T123" t="s">
        <v>188</v>
      </c>
      <c r="U123">
        <f>U122-0.5*K112^2/$C$30</f>
        <v>279.76967039800991</v>
      </c>
    </row>
    <row r="124" spans="10:24" x14ac:dyDescent="0.25">
      <c r="M124" t="s">
        <v>91</v>
      </c>
      <c r="N124">
        <f>N103+0.5*Q122*K116^2</f>
        <v>111450.99457239109</v>
      </c>
      <c r="T124" t="s">
        <v>189</v>
      </c>
      <c r="U124">
        <f>N124/((N101/U123)^($C$29/($C$29-1)))</f>
        <v>100439.48995185169</v>
      </c>
    </row>
    <row r="125" spans="10:24" x14ac:dyDescent="0.25">
      <c r="T125" t="s">
        <v>190</v>
      </c>
      <c r="U125">
        <f>U124+X122*K112^2/2</f>
        <v>111050.27309995353</v>
      </c>
    </row>
    <row r="126" spans="10:24" x14ac:dyDescent="0.25">
      <c r="M126" t="s">
        <v>24</v>
      </c>
    </row>
    <row r="127" spans="10:24" x14ac:dyDescent="0.25">
      <c r="N127" t="s">
        <v>199</v>
      </c>
    </row>
    <row r="128" spans="10:24" ht="33.75" customHeight="1" x14ac:dyDescent="0.25">
      <c r="O128" t="s">
        <v>198</v>
      </c>
      <c r="P128">
        <f>'Comp Design Parameters'!V4</f>
        <v>0.82062087931791206</v>
      </c>
    </row>
    <row r="131" spans="1:19" x14ac:dyDescent="0.25">
      <c r="N131" t="s">
        <v>135</v>
      </c>
      <c r="O131">
        <f>(1+P128*17/288)^(1.4/0.4)</f>
        <v>1.1800535216072072</v>
      </c>
    </row>
    <row r="134" spans="1:19" x14ac:dyDescent="0.25">
      <c r="M134" t="s">
        <v>92</v>
      </c>
      <c r="N134">
        <f>O131*N124</f>
        <v>131518.13863177586</v>
      </c>
    </row>
    <row r="135" spans="1:19" x14ac:dyDescent="0.25">
      <c r="M135" s="12" t="s">
        <v>141</v>
      </c>
      <c r="N135" s="12">
        <f>N134*(N123/N102)^($C$29/($C$29-1))</f>
        <v>116581.81572660251</v>
      </c>
    </row>
    <row r="136" spans="1:19" x14ac:dyDescent="0.25">
      <c r="A136">
        <v>3</v>
      </c>
      <c r="B136" t="s">
        <v>142</v>
      </c>
    </row>
    <row r="137" spans="1:19" x14ac:dyDescent="0.25">
      <c r="C137" t="s">
        <v>78</v>
      </c>
      <c r="D137" t="s">
        <v>28</v>
      </c>
      <c r="E137">
        <v>21</v>
      </c>
      <c r="F137" t="s">
        <v>31</v>
      </c>
    </row>
    <row r="138" spans="1:19" x14ac:dyDescent="0.25">
      <c r="C138" t="s">
        <v>144</v>
      </c>
      <c r="D138" t="s">
        <v>28</v>
      </c>
      <c r="E138">
        <v>0.93</v>
      </c>
    </row>
    <row r="139" spans="1:19" x14ac:dyDescent="0.25">
      <c r="C139" t="s">
        <v>140</v>
      </c>
      <c r="D139" t="s">
        <v>28</v>
      </c>
      <c r="E139">
        <v>0.75</v>
      </c>
    </row>
    <row r="141" spans="1:19" x14ac:dyDescent="0.25">
      <c r="G141" t="s">
        <v>3</v>
      </c>
      <c r="H141">
        <f>(1.2043+1.1253)/2</f>
        <v>1.1648000000000001</v>
      </c>
      <c r="J141" t="s">
        <v>80</v>
      </c>
      <c r="K141">
        <v>130.25</v>
      </c>
      <c r="M141" t="s">
        <v>93</v>
      </c>
      <c r="N141">
        <f>N102</f>
        <v>305.20999999999998</v>
      </c>
      <c r="P141" t="s">
        <v>130</v>
      </c>
      <c r="R141" s="11" t="s">
        <v>28</v>
      </c>
      <c r="S141">
        <f>E137*1005/(E138*K141*K142)</f>
        <v>0.63739182267799976</v>
      </c>
    </row>
    <row r="142" spans="1:19" x14ac:dyDescent="0.25">
      <c r="G142" t="s">
        <v>36</v>
      </c>
      <c r="H142">
        <v>469.35</v>
      </c>
      <c r="J142" t="s">
        <v>18</v>
      </c>
      <c r="K142">
        <f>H142*H141/2</f>
        <v>273.34944000000002</v>
      </c>
      <c r="M142" t="s">
        <v>94</v>
      </c>
      <c r="N142">
        <f>N141+E137</f>
        <v>326.20999999999998</v>
      </c>
      <c r="P142" t="s">
        <v>127</v>
      </c>
      <c r="R142" t="s">
        <v>28</v>
      </c>
      <c r="S142">
        <f>E139*2*K142/K141</f>
        <v>3.1479781957773518</v>
      </c>
    </row>
    <row r="143" spans="1:19" x14ac:dyDescent="0.25">
      <c r="M143" s="12" t="s">
        <v>126</v>
      </c>
      <c r="N143" s="12">
        <f>N135</f>
        <v>116581.81572660251</v>
      </c>
      <c r="P143" t="s">
        <v>128</v>
      </c>
      <c r="R143" t="s">
        <v>28</v>
      </c>
      <c r="S143">
        <f>(S141+S142)/2</f>
        <v>1.8926850092276757</v>
      </c>
    </row>
    <row r="144" spans="1:19" x14ac:dyDescent="0.25">
      <c r="P144" t="s">
        <v>129</v>
      </c>
      <c r="R144" t="s">
        <v>28</v>
      </c>
      <c r="S144">
        <f>(S142-S141)/2</f>
        <v>1.2552931865496761</v>
      </c>
    </row>
    <row r="146" spans="1:23" x14ac:dyDescent="0.25">
      <c r="J146" t="s">
        <v>83</v>
      </c>
      <c r="K146">
        <f>90-ATAN(K142/K141-TAN((K147-90)/180*3.14))/3.14*180</f>
        <v>78.355803598312335</v>
      </c>
    </row>
    <row r="147" spans="1:23" x14ac:dyDescent="0.25">
      <c r="J147" t="s">
        <v>58</v>
      </c>
      <c r="K147">
        <f>ATAN(S143)/3.14*180+90</f>
        <v>152.18179308182386</v>
      </c>
    </row>
    <row r="148" spans="1:23" x14ac:dyDescent="0.25">
      <c r="J148" t="s">
        <v>52</v>
      </c>
      <c r="K148">
        <f>ATAN(S144)/3.14*180+90</f>
        <v>141.48433923901561</v>
      </c>
    </row>
    <row r="149" spans="1:23" x14ac:dyDescent="0.25">
      <c r="J149" t="s">
        <v>131</v>
      </c>
      <c r="K149">
        <f>90-ATAN(K142/K141-TAN((K148-90)/180*3.14))/3.14*180</f>
        <v>49.836730023842485</v>
      </c>
    </row>
    <row r="150" spans="1:23" x14ac:dyDescent="0.25">
      <c r="J150" t="s">
        <v>145</v>
      </c>
      <c r="K150">
        <f>K109</f>
        <v>64.645014652284644</v>
      </c>
    </row>
    <row r="152" spans="1:23" x14ac:dyDescent="0.25">
      <c r="A152" s="9"/>
      <c r="B152" s="9"/>
      <c r="C152" s="9"/>
      <c r="D152" s="9"/>
      <c r="E152" s="9"/>
      <c r="F152" s="9"/>
      <c r="G152" s="9"/>
      <c r="H152" s="9"/>
      <c r="I152" s="9"/>
      <c r="J152" t="s">
        <v>14</v>
      </c>
      <c r="K152">
        <f>K141/COS((90-K146)/180*3.14)</f>
        <v>132.98406709592254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 x14ac:dyDescent="0.25">
      <c r="A153" s="9"/>
      <c r="B153" s="9"/>
      <c r="C153" s="9"/>
      <c r="D153" s="9"/>
      <c r="E153" s="9"/>
      <c r="F153" s="9"/>
      <c r="G153" s="9"/>
      <c r="H153" s="9"/>
      <c r="I153" s="9"/>
      <c r="J153" t="s">
        <v>15</v>
      </c>
      <c r="K153">
        <f>K141/COS((K147-90)/180*3.14)</f>
        <v>278.81583287651802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 x14ac:dyDescent="0.25">
      <c r="A154" s="9"/>
      <c r="B154" s="9"/>
      <c r="C154" s="9"/>
      <c r="D154" s="9"/>
      <c r="E154" s="9"/>
      <c r="F154" s="9"/>
      <c r="G154" s="9"/>
      <c r="H154" s="9"/>
      <c r="I154" s="9"/>
      <c r="J154" t="s">
        <v>113</v>
      </c>
      <c r="K154">
        <f>K141/COS((90-K149)/180*3.14)</f>
        <v>170.38643225010972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 x14ac:dyDescent="0.25">
      <c r="A155" s="9"/>
      <c r="B155" s="9"/>
      <c r="C155" s="9"/>
      <c r="D155" s="9"/>
      <c r="E155" s="9"/>
      <c r="F155" s="9"/>
      <c r="G155" s="9"/>
      <c r="H155" s="9"/>
      <c r="I155" s="9"/>
      <c r="J155" t="s">
        <v>136</v>
      </c>
      <c r="K155">
        <f>K141/COS((K148-90)/180*3.14)</f>
        <v>209.04053693478028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 x14ac:dyDescent="0.25">
      <c r="A156" s="9"/>
      <c r="B156" s="9"/>
      <c r="C156" s="9"/>
      <c r="D156" s="9"/>
      <c r="E156" s="9"/>
      <c r="F156" s="9"/>
      <c r="G156" s="9"/>
      <c r="H156" s="9"/>
      <c r="I156" s="9"/>
      <c r="J156" t="s">
        <v>85</v>
      </c>
      <c r="K156">
        <f>K141/COS((90-K150)/180*3.14)</f>
        <v>144.11883586897099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 x14ac:dyDescent="0.25">
      <c r="A157" s="9"/>
      <c r="B157" s="9"/>
      <c r="C157" s="9"/>
      <c r="D157" s="9"/>
      <c r="E157" s="9"/>
      <c r="F157" s="9"/>
      <c r="G157" s="9"/>
      <c r="H157" s="9"/>
      <c r="I157" s="9"/>
      <c r="J157" t="s">
        <v>132</v>
      </c>
      <c r="M157">
        <f>K147-K148</f>
        <v>10.697453842808244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 x14ac:dyDescent="0.25">
      <c r="A158" s="9"/>
      <c r="B158" s="9"/>
      <c r="C158" s="9"/>
      <c r="D158" s="9"/>
      <c r="E158" s="9"/>
      <c r="F158" s="9"/>
      <c r="G158" s="9"/>
      <c r="H158" s="9"/>
      <c r="I158" s="9"/>
      <c r="J158" t="s">
        <v>133</v>
      </c>
      <c r="M158">
        <f>COS((K147-90)/180*3.14)/COS((K148-90)/180*3.14)</f>
        <v>0.74974414034571768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 x14ac:dyDescent="0.25">
      <c r="A159" s="9"/>
      <c r="B159" s="9"/>
      <c r="C159" s="9"/>
      <c r="D159" s="9"/>
      <c r="E159" s="9"/>
      <c r="F159" s="9"/>
      <c r="G159" s="9"/>
      <c r="H159" s="9"/>
      <c r="I159" s="9"/>
      <c r="J159" t="s">
        <v>140</v>
      </c>
      <c r="M159">
        <f>K141/(2*K142)*(S142)</f>
        <v>0.75000000000000011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 x14ac:dyDescent="0.25">
      <c r="A160" s="9"/>
      <c r="B160" s="9"/>
      <c r="C160" s="9"/>
      <c r="D160" s="9"/>
      <c r="E160" s="9"/>
      <c r="F160" s="9"/>
      <c r="G160" s="9"/>
      <c r="H160" s="9"/>
      <c r="I160" s="9"/>
      <c r="J160" t="s">
        <v>143</v>
      </c>
      <c r="M160">
        <f>K141*(TAN((90-K149)/180*3.14)-TAN((90-K146)/180*3.14))</f>
        <v>83.020284903809511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4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4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t="s">
        <v>16</v>
      </c>
      <c r="N162">
        <f>N141-0.5*K156^2/1005</f>
        <v>294.87654783471271</v>
      </c>
      <c r="P162" s="12" t="s">
        <v>139</v>
      </c>
      <c r="Q162" s="12">
        <f>Q123</f>
        <v>1.3775541668154452</v>
      </c>
      <c r="R162" s="9"/>
      <c r="S162" s="9"/>
      <c r="T162" t="s">
        <v>187</v>
      </c>
      <c r="U162">
        <f>N141</f>
        <v>305.20999999999998</v>
      </c>
      <c r="W162" t="s">
        <v>191</v>
      </c>
      <c r="X162">
        <f>U164/(U163*287)</f>
        <v>1.3955523420365601</v>
      </c>
    </row>
    <row r="163" spans="1:24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t="s">
        <v>17</v>
      </c>
      <c r="N163">
        <f>N142-0.5*K154^2/1005</f>
        <v>311.76644960451677</v>
      </c>
      <c r="P163" s="12" t="s">
        <v>147</v>
      </c>
      <c r="Q163" s="12">
        <f>N175/(N163*287)</f>
        <v>1.5584239530875701</v>
      </c>
      <c r="R163" s="9"/>
      <c r="S163" s="9"/>
      <c r="T163" t="s">
        <v>188</v>
      </c>
      <c r="U163">
        <f>U162-0.5*K152^2/$C$30</f>
        <v>296.41161089483938</v>
      </c>
    </row>
    <row r="164" spans="1:24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t="s">
        <v>91</v>
      </c>
      <c r="N164">
        <f>N134</f>
        <v>131518.13863177586</v>
      </c>
      <c r="R164" s="9"/>
      <c r="S164" s="9"/>
      <c r="T164" t="s">
        <v>189</v>
      </c>
      <c r="U164">
        <f>N164/((N141/U163)^($C$29/($C$29-1)))</f>
        <v>118719.82240605219</v>
      </c>
    </row>
    <row r="165" spans="1:24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R165" s="9"/>
      <c r="S165" s="9"/>
      <c r="T165" t="s">
        <v>190</v>
      </c>
      <c r="U165">
        <f>U164+X162*K152^2/2</f>
        <v>131059.82799051731</v>
      </c>
    </row>
    <row r="166" spans="1:24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t="s">
        <v>24</v>
      </c>
      <c r="R166" s="9"/>
      <c r="S166" s="9"/>
      <c r="T166" s="9"/>
      <c r="U166" s="9"/>
      <c r="V166" s="9"/>
      <c r="W166" s="9"/>
    </row>
    <row r="167" spans="1:24" ht="14.2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N167" t="s">
        <v>224</v>
      </c>
      <c r="R167" s="9"/>
      <c r="S167" s="9"/>
      <c r="T167" s="9"/>
      <c r="U167" s="9"/>
      <c r="V167" s="9"/>
      <c r="W167" s="9"/>
    </row>
    <row r="168" spans="1:24" ht="35.2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O168" t="s">
        <v>198</v>
      </c>
      <c r="P168">
        <f>'Comp Design Parameters'!W4</f>
        <v>0.92968731875953214</v>
      </c>
      <c r="R168" s="9"/>
      <c r="S168" s="9"/>
      <c r="T168" s="9"/>
      <c r="U168" s="9"/>
      <c r="V168" s="9"/>
      <c r="W168" s="9"/>
    </row>
    <row r="171" spans="1:24" x14ac:dyDescent="0.25">
      <c r="N171" t="s">
        <v>135</v>
      </c>
      <c r="O171">
        <f>(1+P168*E137/N141)^(1.4/0.4)</f>
        <v>1.2423640061439567</v>
      </c>
    </row>
    <row r="174" spans="1:24" x14ac:dyDescent="0.25">
      <c r="M174" t="s">
        <v>92</v>
      </c>
      <c r="N174">
        <f>N164*O171</f>
        <v>163393.40159116933</v>
      </c>
    </row>
    <row r="175" spans="1:24" x14ac:dyDescent="0.25">
      <c r="M175" s="12" t="s">
        <v>141</v>
      </c>
      <c r="N175" s="12">
        <f>N174*(N163/N142)^($C$29/($C$29-1))</f>
        <v>139443.0549129986</v>
      </c>
    </row>
    <row r="176" spans="1:24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x14ac:dyDescent="0.25">
      <c r="A178" s="9">
        <v>4</v>
      </c>
      <c r="B178" s="9" t="s">
        <v>146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x14ac:dyDescent="0.25">
      <c r="A179" s="9"/>
      <c r="B179" s="9"/>
      <c r="C179" t="s">
        <v>78</v>
      </c>
      <c r="D179" t="s">
        <v>28</v>
      </c>
      <c r="E179">
        <v>21</v>
      </c>
      <c r="F179" t="s">
        <v>31</v>
      </c>
      <c r="V179" s="9"/>
      <c r="W179" s="9"/>
      <c r="X179" s="9"/>
    </row>
    <row r="180" spans="1:24" x14ac:dyDescent="0.25">
      <c r="A180" s="9"/>
      <c r="B180" s="9"/>
      <c r="C180" t="s">
        <v>144</v>
      </c>
      <c r="D180" t="s">
        <v>28</v>
      </c>
      <c r="E180">
        <v>0.88</v>
      </c>
      <c r="V180" s="9"/>
      <c r="W180" s="9"/>
      <c r="X180" s="9"/>
    </row>
    <row r="181" spans="1:24" x14ac:dyDescent="0.25">
      <c r="A181" s="9"/>
      <c r="B181" s="9"/>
      <c r="C181" t="s">
        <v>140</v>
      </c>
      <c r="D181" t="s">
        <v>28</v>
      </c>
      <c r="E181">
        <v>0.75</v>
      </c>
      <c r="F181" t="s">
        <v>149</v>
      </c>
      <c r="V181" s="9"/>
      <c r="W181" s="9"/>
      <c r="X181" s="9"/>
    </row>
    <row r="182" spans="1:24" x14ac:dyDescent="0.25">
      <c r="A182" s="9"/>
      <c r="B182" s="9"/>
      <c r="V182" s="9"/>
      <c r="W182" s="9"/>
      <c r="X182" s="9"/>
    </row>
    <row r="183" spans="1:24" x14ac:dyDescent="0.25">
      <c r="A183" s="9"/>
      <c r="B183" s="9"/>
      <c r="G183" t="s">
        <v>3</v>
      </c>
      <c r="H183">
        <v>1.1253</v>
      </c>
      <c r="J183" t="s">
        <v>80</v>
      </c>
      <c r="K183">
        <v>130.25</v>
      </c>
      <c r="M183" t="s">
        <v>93</v>
      </c>
      <c r="N183">
        <f>N142</f>
        <v>326.20999999999998</v>
      </c>
      <c r="P183" t="s">
        <v>130</v>
      </c>
      <c r="R183" s="11" t="s">
        <v>28</v>
      </c>
      <c r="S183">
        <f>E179*1005/(E180*K183*K184)</f>
        <v>0.69725206147195173</v>
      </c>
      <c r="V183" s="9"/>
      <c r="W183" s="9"/>
      <c r="X183" s="9"/>
    </row>
    <row r="184" spans="1:24" x14ac:dyDescent="0.25">
      <c r="A184" s="9"/>
      <c r="B184" s="9"/>
      <c r="G184" t="s">
        <v>36</v>
      </c>
      <c r="H184">
        <v>469.35</v>
      </c>
      <c r="J184" t="s">
        <v>18</v>
      </c>
      <c r="K184">
        <f>H184*H183/2</f>
        <v>264.07977749999998</v>
      </c>
      <c r="M184" t="s">
        <v>94</v>
      </c>
      <c r="N184">
        <f>N183+E179</f>
        <v>347.21</v>
      </c>
      <c r="P184" t="s">
        <v>127</v>
      </c>
      <c r="R184" t="s">
        <v>28</v>
      </c>
      <c r="S184">
        <f>E181*2*K184/K183</f>
        <v>3.0412258445297504</v>
      </c>
      <c r="V184" s="9"/>
      <c r="W184" s="9"/>
      <c r="X184" s="9"/>
    </row>
    <row r="185" spans="1:24" x14ac:dyDescent="0.25">
      <c r="A185" s="9"/>
      <c r="B185" s="9"/>
      <c r="M185" s="12" t="s">
        <v>126</v>
      </c>
      <c r="N185" s="12">
        <f>N175</f>
        <v>139443.0549129986</v>
      </c>
      <c r="P185" t="s">
        <v>128</v>
      </c>
      <c r="R185" t="s">
        <v>28</v>
      </c>
      <c r="S185">
        <f>(S183+S184)/2</f>
        <v>1.8692389530008511</v>
      </c>
      <c r="V185" s="9"/>
      <c r="W185" s="9"/>
      <c r="X185" s="9"/>
    </row>
    <row r="186" spans="1:24" x14ac:dyDescent="0.25">
      <c r="A186" s="9"/>
      <c r="B186" s="9"/>
      <c r="P186" t="s">
        <v>129</v>
      </c>
      <c r="R186" t="s">
        <v>28</v>
      </c>
      <c r="S186">
        <f>(S184-S183)/2</f>
        <v>1.1719868915288993</v>
      </c>
      <c r="V186" s="9"/>
      <c r="W186" s="9"/>
      <c r="X186" s="9"/>
    </row>
    <row r="187" spans="1:24" x14ac:dyDescent="0.25">
      <c r="A187" s="9"/>
      <c r="B187" s="9"/>
      <c r="V187" s="9"/>
      <c r="W187" s="9"/>
      <c r="X187" s="9"/>
    </row>
    <row r="188" spans="1:24" x14ac:dyDescent="0.25">
      <c r="A188" s="9"/>
      <c r="B188" s="9"/>
      <c r="J188" t="s">
        <v>83</v>
      </c>
      <c r="K188">
        <f>90-ATAN(K184/K183-TAN((K189-90)/180*3.14))/3.14*180</f>
        <v>81.003236187389476</v>
      </c>
      <c r="V188" s="9"/>
      <c r="W188" s="9"/>
      <c r="X188" s="9"/>
    </row>
    <row r="189" spans="1:24" x14ac:dyDescent="0.25">
      <c r="J189" t="s">
        <v>58</v>
      </c>
      <c r="K189">
        <f>ATAN(S185)/3.14*180+90</f>
        <v>151.8856130773508</v>
      </c>
    </row>
    <row r="190" spans="1:24" x14ac:dyDescent="0.25">
      <c r="J190" t="s">
        <v>52</v>
      </c>
      <c r="K190">
        <f>ATAN(S186)/3.14*180+90</f>
        <v>139.55259065055554</v>
      </c>
    </row>
    <row r="191" spans="1:24" x14ac:dyDescent="0.25">
      <c r="J191" t="s">
        <v>131</v>
      </c>
      <c r="K191">
        <f>90-ATAN(K184/K183-TAN((K190-90)/180*3.14))/3.14*180</f>
        <v>49.432545015128468</v>
      </c>
    </row>
    <row r="192" spans="1:24" x14ac:dyDescent="0.25">
      <c r="J192" t="s">
        <v>145</v>
      </c>
      <c r="K192">
        <f>K149</f>
        <v>49.836730023842485</v>
      </c>
    </row>
    <row r="194" spans="3:24" x14ac:dyDescent="0.25">
      <c r="C194" s="9"/>
      <c r="D194" s="9"/>
      <c r="E194" s="9"/>
      <c r="F194" s="9"/>
      <c r="G194" s="9"/>
      <c r="H194" s="9"/>
      <c r="I194" s="9"/>
      <c r="J194" t="s">
        <v>14</v>
      </c>
      <c r="K194">
        <f>K183/COS((90-K188)/180*3.14)</f>
        <v>131.87074152199119</v>
      </c>
      <c r="N194" s="9"/>
      <c r="O194" s="9"/>
      <c r="P194" s="9"/>
      <c r="Q194" s="9"/>
      <c r="R194" s="9"/>
      <c r="S194" s="9"/>
      <c r="T194" s="9"/>
      <c r="U194" s="9"/>
    </row>
    <row r="195" spans="3:24" x14ac:dyDescent="0.25">
      <c r="C195" s="9"/>
      <c r="D195" s="9"/>
      <c r="E195" s="9"/>
      <c r="F195" s="9"/>
      <c r="G195" s="9"/>
      <c r="H195" s="9"/>
      <c r="I195" s="9"/>
      <c r="J195" t="s">
        <v>15</v>
      </c>
      <c r="K195">
        <f>K183/COS((K189-90)/180*3.14)</f>
        <v>276.11937899618562</v>
      </c>
      <c r="N195" s="9"/>
      <c r="O195" s="9"/>
      <c r="P195" s="9"/>
      <c r="Q195" s="9"/>
      <c r="R195" s="9"/>
      <c r="S195" s="9"/>
      <c r="T195" s="9"/>
      <c r="U195" s="9"/>
    </row>
    <row r="196" spans="3:24" x14ac:dyDescent="0.25">
      <c r="C196" s="9"/>
      <c r="D196" s="9"/>
      <c r="E196" s="9"/>
      <c r="F196" s="9"/>
      <c r="G196" s="9"/>
      <c r="H196" s="9"/>
      <c r="I196" s="9"/>
      <c r="J196" t="s">
        <v>113</v>
      </c>
      <c r="K196">
        <f>K183/COS((90-K191)/180*3.14)</f>
        <v>171.40994645086116</v>
      </c>
      <c r="N196" s="9"/>
      <c r="O196" s="9"/>
      <c r="P196" s="9"/>
      <c r="Q196" s="9"/>
      <c r="R196" s="9"/>
      <c r="S196" s="9"/>
      <c r="T196" s="9"/>
      <c r="U196" s="9"/>
    </row>
    <row r="197" spans="3:24" x14ac:dyDescent="0.25">
      <c r="C197" s="9"/>
      <c r="D197" s="9"/>
      <c r="E197" s="9"/>
      <c r="F197" s="9"/>
      <c r="G197" s="9"/>
      <c r="H197" s="9"/>
      <c r="I197" s="9"/>
      <c r="J197" t="s">
        <v>136</v>
      </c>
      <c r="K197">
        <f>K183/COS((K190-90)/180*3.14)</f>
        <v>200.66758492356786</v>
      </c>
      <c r="N197" s="9"/>
      <c r="O197" s="9"/>
      <c r="P197" s="9"/>
      <c r="Q197" s="9"/>
      <c r="R197" s="9"/>
      <c r="S197" s="9"/>
      <c r="T197" s="9"/>
      <c r="U197" s="9"/>
    </row>
    <row r="198" spans="3:24" x14ac:dyDescent="0.25">
      <c r="C198" s="9"/>
      <c r="D198" s="9"/>
      <c r="E198" s="9"/>
      <c r="F198" s="9"/>
      <c r="G198" s="9"/>
      <c r="H198" s="9"/>
      <c r="I198" s="9"/>
      <c r="J198" t="s">
        <v>85</v>
      </c>
      <c r="K198">
        <f>K183/COS((90-K192)/180*3.14)</f>
        <v>170.38643225010972</v>
      </c>
      <c r="N198" s="9"/>
      <c r="O198" s="9"/>
      <c r="P198" s="9"/>
      <c r="Q198" s="9"/>
      <c r="R198" s="9"/>
      <c r="S198" s="9"/>
      <c r="T198" s="9"/>
      <c r="U198" s="9"/>
    </row>
    <row r="199" spans="3:24" x14ac:dyDescent="0.25">
      <c r="C199" s="9"/>
      <c r="D199" s="9"/>
      <c r="E199" s="9"/>
      <c r="F199" s="9"/>
      <c r="G199" s="9"/>
      <c r="H199" s="9"/>
      <c r="I199" s="9"/>
      <c r="J199" t="s">
        <v>132</v>
      </c>
      <c r="M199">
        <f>K189-K190</f>
        <v>12.333022426795253</v>
      </c>
      <c r="N199" s="9"/>
      <c r="O199" s="9"/>
      <c r="P199" s="9"/>
      <c r="Q199" s="9"/>
      <c r="R199" s="9"/>
      <c r="S199" s="9"/>
      <c r="T199" s="9"/>
      <c r="U199" s="9"/>
    </row>
    <row r="200" spans="3:24" x14ac:dyDescent="0.25">
      <c r="C200" s="9"/>
      <c r="D200" s="9"/>
      <c r="E200" s="9"/>
      <c r="F200" s="9"/>
      <c r="G200" s="9"/>
      <c r="H200" s="9"/>
      <c r="I200" s="9"/>
      <c r="J200" t="s">
        <v>133</v>
      </c>
      <c r="M200">
        <f>COS((K189-90)/180*3.14)/COS((K190-90)/180*3.14)</f>
        <v>0.72674212745618227</v>
      </c>
      <c r="N200" s="9"/>
      <c r="O200" s="9"/>
      <c r="P200" s="9"/>
      <c r="Q200" s="9"/>
      <c r="R200" s="9"/>
      <c r="S200" s="9"/>
      <c r="T200" s="9"/>
      <c r="U200" s="9"/>
    </row>
    <row r="201" spans="3:24" x14ac:dyDescent="0.25">
      <c r="C201" s="9"/>
      <c r="D201" s="9"/>
      <c r="E201" s="9"/>
      <c r="F201" s="9"/>
      <c r="G201" s="9"/>
      <c r="H201" s="9"/>
      <c r="I201" s="9"/>
      <c r="J201" t="s">
        <v>140</v>
      </c>
      <c r="M201">
        <f>K183/(2*K184)*(S184)</f>
        <v>0.75000000000000011</v>
      </c>
      <c r="N201" s="9"/>
      <c r="O201" s="9"/>
      <c r="P201" s="9"/>
      <c r="Q201" s="9"/>
      <c r="R201" s="9"/>
      <c r="S201" s="9"/>
      <c r="T201" s="9"/>
      <c r="U201" s="9"/>
    </row>
    <row r="202" spans="3:24" x14ac:dyDescent="0.25">
      <c r="C202" s="9"/>
      <c r="D202" s="9"/>
      <c r="E202" s="9"/>
      <c r="F202" s="9"/>
      <c r="G202" s="9"/>
      <c r="H202" s="9"/>
      <c r="I202" s="9"/>
      <c r="J202" t="s">
        <v>143</v>
      </c>
      <c r="M202">
        <f>K183*(TAN((90-K191)/180*3.14)-TAN((90-K188)/180*3.14))</f>
        <v>90.81708100672185</v>
      </c>
      <c r="N202" s="9"/>
      <c r="O202" s="9"/>
      <c r="P202" s="9"/>
      <c r="Q202" s="9"/>
      <c r="R202" s="9"/>
      <c r="S202" s="9"/>
      <c r="T202" s="9"/>
      <c r="U202" s="9"/>
    </row>
    <row r="203" spans="3:24" x14ac:dyDescent="0.2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spans="3:24" x14ac:dyDescent="0.2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t="s">
        <v>16</v>
      </c>
      <c r="N204">
        <f>N183-0.5*K198^2/1005</f>
        <v>311.76644960451677</v>
      </c>
      <c r="P204" s="12" t="s">
        <v>139</v>
      </c>
      <c r="Q204" s="12">
        <f>Q163</f>
        <v>1.5584239530875701</v>
      </c>
      <c r="R204" s="9"/>
      <c r="S204" s="9"/>
      <c r="T204" t="s">
        <v>187</v>
      </c>
      <c r="U204">
        <f>N183</f>
        <v>326.20999999999998</v>
      </c>
      <c r="W204" t="s">
        <v>191</v>
      </c>
      <c r="X204">
        <f>U206/(U205*287)</f>
        <v>1.6318148618849131</v>
      </c>
    </row>
    <row r="205" spans="3:24" x14ac:dyDescent="0.2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t="s">
        <v>17</v>
      </c>
      <c r="N205">
        <f>N184-0.5*K196^2/1005</f>
        <v>332.59240311329</v>
      </c>
      <c r="P205" t="s">
        <v>147</v>
      </c>
      <c r="Q205">
        <f>N217/(N205*287)</f>
        <v>1.8644578884307839</v>
      </c>
      <c r="R205" s="9"/>
      <c r="T205" t="s">
        <v>188</v>
      </c>
      <c r="U205">
        <f>U204-0.5*K194^2/$C$30</f>
        <v>317.55831220419907</v>
      </c>
    </row>
    <row r="206" spans="3:24" x14ac:dyDescent="0.2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t="s">
        <v>91</v>
      </c>
      <c r="N206">
        <f>N174</f>
        <v>163393.40159116933</v>
      </c>
      <c r="P206" s="9" t="s">
        <v>148</v>
      </c>
      <c r="Q206" s="9"/>
      <c r="R206" s="9">
        <f>N217+0.5*Q205*K196^2</f>
        <v>205360.16329445437</v>
      </c>
      <c r="S206" s="9"/>
      <c r="T206" t="s">
        <v>189</v>
      </c>
      <c r="U206">
        <f>N206/((N183/U205)^($C$29/($C$29-1)))</f>
        <v>148722.35915716164</v>
      </c>
    </row>
    <row r="207" spans="3:24" x14ac:dyDescent="0.25">
      <c r="C207" s="9"/>
      <c r="D207" s="9"/>
      <c r="E207" s="9"/>
      <c r="F207" s="9"/>
      <c r="G207" s="9"/>
      <c r="H207" s="9"/>
      <c r="I207" s="9"/>
      <c r="J207" s="9"/>
      <c r="K207" s="9"/>
      <c r="L207" s="9"/>
      <c r="R207" s="9"/>
      <c r="S207" s="9"/>
      <c r="T207" t="s">
        <v>190</v>
      </c>
      <c r="U207">
        <f>U206+X204*K194^2/2</f>
        <v>162910.90164636576</v>
      </c>
    </row>
    <row r="208" spans="3:24" x14ac:dyDescent="0.2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t="s">
        <v>24</v>
      </c>
      <c r="R208" s="9"/>
      <c r="S208" s="9"/>
      <c r="T208" s="9"/>
      <c r="U208" s="9"/>
    </row>
    <row r="209" spans="3:21" x14ac:dyDescent="0.25">
      <c r="C209" s="9"/>
      <c r="D209" s="9"/>
      <c r="E209" s="9"/>
      <c r="F209" s="9"/>
      <c r="G209" s="9"/>
      <c r="H209" s="9"/>
      <c r="I209" s="9"/>
      <c r="J209" s="9"/>
      <c r="K209" s="9"/>
      <c r="L209" s="9"/>
      <c r="N209" t="s">
        <v>224</v>
      </c>
      <c r="R209" s="9"/>
      <c r="S209" s="9"/>
      <c r="T209" s="9"/>
      <c r="U209" s="9"/>
    </row>
    <row r="210" spans="3:21" x14ac:dyDescent="0.25">
      <c r="C210" s="9"/>
      <c r="D210" s="9"/>
      <c r="E210" s="9"/>
      <c r="F210" s="9"/>
      <c r="G210" s="9"/>
      <c r="H210" s="9"/>
      <c r="I210" s="9"/>
      <c r="J210" s="9"/>
      <c r="K210" s="9"/>
      <c r="L210" s="9"/>
      <c r="O210" t="s">
        <v>198</v>
      </c>
      <c r="P210">
        <f>'Comp Design Parameters'!X4</f>
        <v>0.90741659060029256</v>
      </c>
      <c r="R210" s="9"/>
      <c r="S210" s="9"/>
      <c r="T210" s="9"/>
      <c r="U210" s="9"/>
    </row>
    <row r="213" spans="3:21" x14ac:dyDescent="0.25">
      <c r="N213" t="s">
        <v>135</v>
      </c>
      <c r="O213">
        <f>(1+P210*E179/N183)^(1.4/0.4)</f>
        <v>1.2198229313077094</v>
      </c>
    </row>
    <row r="216" spans="3:21" x14ac:dyDescent="0.25">
      <c r="M216" t="s">
        <v>92</v>
      </c>
      <c r="N216">
        <f>N206*O213</f>
        <v>199311.0180852779</v>
      </c>
    </row>
    <row r="217" spans="3:21" x14ac:dyDescent="0.25">
      <c r="M217" t="s">
        <v>141</v>
      </c>
      <c r="N217" s="4">
        <v>177970</v>
      </c>
    </row>
  </sheetData>
  <mergeCells count="1">
    <mergeCell ref="D77:D78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0"/>
  <sheetViews>
    <sheetView zoomScale="145" zoomScaleNormal="145" workbookViewId="0">
      <selection activeCell="N104" sqref="N104"/>
    </sheetView>
  </sheetViews>
  <sheetFormatPr defaultRowHeight="15" x14ac:dyDescent="0.25"/>
  <cols>
    <col min="2" max="2" width="25.28515625" customWidth="1"/>
    <col min="3" max="3" width="12.855468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9.140625" customWidth="1"/>
    <col min="19" max="19" width="12.42578125" customWidth="1"/>
  </cols>
  <sheetData>
    <row r="1" spans="1:6" x14ac:dyDescent="0.25">
      <c r="A1" t="s">
        <v>20</v>
      </c>
    </row>
    <row r="2" spans="1:6" x14ac:dyDescent="0.25">
      <c r="A2" t="s">
        <v>100</v>
      </c>
    </row>
    <row r="3" spans="1:6" x14ac:dyDescent="0.25">
      <c r="B3" t="s">
        <v>22</v>
      </c>
      <c r="C3" t="s">
        <v>7</v>
      </c>
      <c r="D3" t="s">
        <v>28</v>
      </c>
      <c r="E3">
        <v>150</v>
      </c>
      <c r="F3" t="s">
        <v>8</v>
      </c>
    </row>
    <row r="4" spans="1:6" x14ac:dyDescent="0.25">
      <c r="B4" t="s">
        <v>23</v>
      </c>
      <c r="C4" t="s">
        <v>98</v>
      </c>
      <c r="D4" t="s">
        <v>28</v>
      </c>
      <c r="E4">
        <v>177970</v>
      </c>
      <c r="F4" t="s">
        <v>29</v>
      </c>
    </row>
    <row r="5" spans="1:6" x14ac:dyDescent="0.25">
      <c r="B5" t="s">
        <v>101</v>
      </c>
      <c r="C5" t="s">
        <v>99</v>
      </c>
      <c r="D5" t="s">
        <v>28</v>
      </c>
      <c r="E5">
        <v>1.6738999999999999</v>
      </c>
    </row>
    <row r="6" spans="1:6" x14ac:dyDescent="0.25">
      <c r="B6" t="s">
        <v>66</v>
      </c>
      <c r="C6" t="s">
        <v>67</v>
      </c>
      <c r="D6" t="s">
        <v>28</v>
      </c>
      <c r="E6">
        <v>347.02</v>
      </c>
      <c r="F6" t="s">
        <v>31</v>
      </c>
    </row>
    <row r="7" spans="1:6" x14ac:dyDescent="0.25">
      <c r="B7" t="s">
        <v>111</v>
      </c>
      <c r="C7" t="s">
        <v>70</v>
      </c>
      <c r="D7" t="s">
        <v>28</v>
      </c>
      <c r="E7">
        <v>407.51</v>
      </c>
      <c r="F7" t="s">
        <v>31</v>
      </c>
    </row>
    <row r="8" spans="1:6" x14ac:dyDescent="0.25">
      <c r="B8" t="s">
        <v>25</v>
      </c>
      <c r="C8" t="s">
        <v>12</v>
      </c>
      <c r="D8" t="s">
        <v>28</v>
      </c>
      <c r="E8">
        <v>1.1253</v>
      </c>
      <c r="F8" t="s">
        <v>34</v>
      </c>
    </row>
    <row r="9" spans="1:6" x14ac:dyDescent="0.25">
      <c r="B9" t="s">
        <v>26</v>
      </c>
      <c r="C9" t="s">
        <v>35</v>
      </c>
      <c r="D9" t="s">
        <v>28</v>
      </c>
      <c r="E9">
        <v>1.0809</v>
      </c>
      <c r="F9" t="s">
        <v>34</v>
      </c>
    </row>
    <row r="10" spans="1:6" x14ac:dyDescent="0.25">
      <c r="B10" t="s">
        <v>27</v>
      </c>
      <c r="C10" t="s">
        <v>36</v>
      </c>
      <c r="D10" t="s">
        <v>28</v>
      </c>
      <c r="E10">
        <v>469.35</v>
      </c>
      <c r="F10" t="s">
        <v>37</v>
      </c>
    </row>
    <row r="19" spans="1:4" x14ac:dyDescent="0.25">
      <c r="A19">
        <v>1</v>
      </c>
      <c r="B19" t="s">
        <v>38</v>
      </c>
    </row>
    <row r="20" spans="1:4" x14ac:dyDescent="0.25">
      <c r="A20" s="3" t="s">
        <v>155</v>
      </c>
      <c r="B20" t="s">
        <v>39</v>
      </c>
    </row>
    <row r="21" spans="1:4" x14ac:dyDescent="0.25">
      <c r="B21" s="2" t="s">
        <v>45</v>
      </c>
    </row>
    <row r="22" spans="1:4" x14ac:dyDescent="0.25">
      <c r="B22" s="2" t="s">
        <v>48</v>
      </c>
    </row>
    <row r="23" spans="1:4" x14ac:dyDescent="0.25">
      <c r="B23" s="2" t="s">
        <v>150</v>
      </c>
    </row>
    <row r="24" spans="1:4" x14ac:dyDescent="0.25">
      <c r="B24" s="2" t="s">
        <v>151</v>
      </c>
    </row>
    <row r="25" spans="1:4" x14ac:dyDescent="0.25">
      <c r="B25" s="2"/>
    </row>
    <row r="26" spans="1:4" x14ac:dyDescent="0.25">
      <c r="B26" s="3" t="s">
        <v>1</v>
      </c>
      <c r="C26">
        <v>287</v>
      </c>
      <c r="D26" t="s">
        <v>2</v>
      </c>
    </row>
    <row r="27" spans="1:4" x14ac:dyDescent="0.25">
      <c r="B27" s="3" t="s">
        <v>11</v>
      </c>
      <c r="C27">
        <v>1.395</v>
      </c>
    </row>
    <row r="28" spans="1:4" x14ac:dyDescent="0.25">
      <c r="B28" s="3" t="s">
        <v>19</v>
      </c>
      <c r="C28">
        <v>1010</v>
      </c>
      <c r="D28" t="s">
        <v>59</v>
      </c>
    </row>
    <row r="29" spans="1:4" x14ac:dyDescent="0.25">
      <c r="B29" s="2"/>
    </row>
    <row r="30" spans="1:4" x14ac:dyDescent="0.25">
      <c r="B30" s="2"/>
    </row>
    <row r="31" spans="1:4" x14ac:dyDescent="0.25">
      <c r="B31" s="2"/>
    </row>
    <row r="32" spans="1:4" x14ac:dyDescent="0.25">
      <c r="A32" s="3" t="s">
        <v>154</v>
      </c>
      <c r="B32" t="s">
        <v>102</v>
      </c>
    </row>
    <row r="33" spans="1:19" x14ac:dyDescent="0.25">
      <c r="A33" s="3"/>
      <c r="B33" s="1" t="s">
        <v>137</v>
      </c>
    </row>
    <row r="34" spans="1:19" x14ac:dyDescent="0.25">
      <c r="A34" s="3"/>
      <c r="B34" s="1" t="s">
        <v>140</v>
      </c>
      <c r="C34" s="1" t="s">
        <v>1</v>
      </c>
      <c r="D34" s="1" t="s">
        <v>28</v>
      </c>
      <c r="E34" s="1">
        <v>0.5</v>
      </c>
    </row>
    <row r="35" spans="1:19" x14ac:dyDescent="0.25">
      <c r="A35" s="3"/>
    </row>
    <row r="36" spans="1:19" x14ac:dyDescent="0.25">
      <c r="G36" t="s">
        <v>3</v>
      </c>
      <c r="H36">
        <v>1.1253</v>
      </c>
      <c r="J36" t="s">
        <v>80</v>
      </c>
      <c r="K36">
        <v>130.25</v>
      </c>
      <c r="M36" t="s">
        <v>93</v>
      </c>
      <c r="N36">
        <f>E6</f>
        <v>347.02</v>
      </c>
      <c r="P36" t="s">
        <v>157</v>
      </c>
      <c r="R36" s="11" t="s">
        <v>28</v>
      </c>
      <c r="S36">
        <f>K37/K36</f>
        <v>2.0274838963531669</v>
      </c>
    </row>
    <row r="37" spans="1:19" x14ac:dyDescent="0.25">
      <c r="B37" s="2"/>
      <c r="G37" t="s">
        <v>36</v>
      </c>
      <c r="H37">
        <v>469.35</v>
      </c>
      <c r="J37" t="s">
        <v>18</v>
      </c>
      <c r="K37">
        <f>H37*H36/2</f>
        <v>264.07977749999998</v>
      </c>
      <c r="M37" t="s">
        <v>94</v>
      </c>
      <c r="P37" t="s">
        <v>158</v>
      </c>
      <c r="R37" t="s">
        <v>28</v>
      </c>
      <c r="S37">
        <f>K37/K36</f>
        <v>2.0274838963531669</v>
      </c>
    </row>
    <row r="38" spans="1:19" x14ac:dyDescent="0.25">
      <c r="B38" s="2"/>
      <c r="M38" t="s">
        <v>126</v>
      </c>
      <c r="N38">
        <f>E4</f>
        <v>177970</v>
      </c>
      <c r="P38" t="s">
        <v>127</v>
      </c>
      <c r="R38" t="s">
        <v>28</v>
      </c>
      <c r="S38">
        <f>E34*2*K37/K36</f>
        <v>2.0274838963531669</v>
      </c>
    </row>
    <row r="39" spans="1:19" x14ac:dyDescent="0.25">
      <c r="B39" s="2"/>
    </row>
    <row r="40" spans="1:19" x14ac:dyDescent="0.25">
      <c r="B40" s="2"/>
    </row>
    <row r="41" spans="1:19" x14ac:dyDescent="0.25">
      <c r="I41" s="1" t="s">
        <v>137</v>
      </c>
      <c r="J41" s="1" t="s">
        <v>83</v>
      </c>
      <c r="K41" s="1">
        <v>55</v>
      </c>
    </row>
    <row r="42" spans="1:19" x14ac:dyDescent="0.25">
      <c r="J42" t="s">
        <v>58</v>
      </c>
      <c r="K42">
        <f>90+ATAN(S36-TAN((90-K41)/180*3.14))/3.14*180</f>
        <v>143.04126467275256</v>
      </c>
    </row>
    <row r="43" spans="1:19" x14ac:dyDescent="0.25">
      <c r="J43" t="s">
        <v>52</v>
      </c>
      <c r="K43">
        <f>90+ATAN(S38-TAN((K42-90)/180*3.14))/3.14*180</f>
        <v>124.99999999999996</v>
      </c>
    </row>
    <row r="44" spans="1:19" x14ac:dyDescent="0.25">
      <c r="J44" t="s">
        <v>131</v>
      </c>
      <c r="K44">
        <f>90-ATAN(S37-TAN((K43-90)/180*3.14))/3.14*180</f>
        <v>36.958735327247432</v>
      </c>
    </row>
    <row r="45" spans="1:19" x14ac:dyDescent="0.25">
      <c r="J45" t="s">
        <v>156</v>
      </c>
      <c r="K45">
        <f>'Comp LP Design'!K191</f>
        <v>49.432545015128468</v>
      </c>
    </row>
    <row r="47" spans="1:19" x14ac:dyDescent="0.25">
      <c r="J47" t="s">
        <v>14</v>
      </c>
      <c r="K47">
        <f>K36/COS((90-K41)/180*3.14)</f>
        <v>158.97142610850733</v>
      </c>
    </row>
    <row r="48" spans="1:19" x14ac:dyDescent="0.25">
      <c r="J48" t="s">
        <v>15</v>
      </c>
      <c r="K48">
        <f>K36/COS((K42-90)/180*3.14)</f>
        <v>216.50071780661111</v>
      </c>
    </row>
    <row r="49" spans="1:17" x14ac:dyDescent="0.25">
      <c r="J49" t="s">
        <v>113</v>
      </c>
      <c r="K49">
        <f>K36/COS((90-K44)/180*3.14)</f>
        <v>216.50071780661111</v>
      </c>
    </row>
    <row r="50" spans="1:17" x14ac:dyDescent="0.25">
      <c r="J50" t="s">
        <v>136</v>
      </c>
      <c r="K50">
        <f>K36/COS((K43-90)/180*3.14)</f>
        <v>158.97142610850725</v>
      </c>
    </row>
    <row r="51" spans="1:17" x14ac:dyDescent="0.25">
      <c r="J51" t="s">
        <v>85</v>
      </c>
      <c r="K51">
        <f>K36/COS((90-K45)/180*3.14)</f>
        <v>171.40994645086116</v>
      </c>
    </row>
    <row r="52" spans="1:17" x14ac:dyDescent="0.25">
      <c r="J52" t="s">
        <v>132</v>
      </c>
      <c r="M52">
        <f>K42-K43</f>
        <v>18.041264672752604</v>
      </c>
    </row>
    <row r="53" spans="1:17" x14ac:dyDescent="0.25">
      <c r="J53" t="s">
        <v>133</v>
      </c>
      <c r="M53">
        <f>COS((K42-90)/180*3.14)/COS((K43-90)/180*3.14)</f>
        <v>0.73427666993006557</v>
      </c>
    </row>
    <row r="54" spans="1:17" x14ac:dyDescent="0.25">
      <c r="J54" t="s">
        <v>140</v>
      </c>
      <c r="M54">
        <f>K36/(2*K37)*(S38)</f>
        <v>0.5</v>
      </c>
    </row>
    <row r="55" spans="1:17" x14ac:dyDescent="0.25">
      <c r="J55" t="s">
        <v>143</v>
      </c>
      <c r="M55">
        <f>K36*(TAN((90-K44)/180*3.14)-TAN((90-K41)/180*3.14))</f>
        <v>81.795912948333324</v>
      </c>
    </row>
    <row r="58" spans="1:17" x14ac:dyDescent="0.25">
      <c r="M58" t="s">
        <v>95</v>
      </c>
      <c r="N58">
        <f>K37*K36/C28*(TAN((K42-90)/180*3.14)-TAN((K43-90)/180*3.14))</f>
        <v>21.386778704757692</v>
      </c>
    </row>
    <row r="60" spans="1:17" x14ac:dyDescent="0.25">
      <c r="A60" s="3" t="s">
        <v>61</v>
      </c>
      <c r="B60" t="s">
        <v>62</v>
      </c>
    </row>
    <row r="61" spans="1:17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x14ac:dyDescent="0.25">
      <c r="C62" s="10" t="s">
        <v>125</v>
      </c>
      <c r="D62" s="10" t="s">
        <v>28</v>
      </c>
      <c r="E62" s="10">
        <f>E7-E6</f>
        <v>60.490000000000009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x14ac:dyDescent="0.25">
      <c r="A64" s="3" t="s">
        <v>71</v>
      </c>
      <c r="B64" t="s">
        <v>222</v>
      </c>
    </row>
    <row r="66" spans="1:7" x14ac:dyDescent="0.25">
      <c r="C66" t="s">
        <v>73</v>
      </c>
      <c r="D66" t="s">
        <v>28</v>
      </c>
      <c r="E66" t="s">
        <v>74</v>
      </c>
    </row>
    <row r="67" spans="1:7" x14ac:dyDescent="0.25">
      <c r="D67" t="s">
        <v>28</v>
      </c>
      <c r="E67">
        <f>E62/N58</f>
        <v>2.8283829385929651</v>
      </c>
    </row>
    <row r="68" spans="1:7" x14ac:dyDescent="0.25">
      <c r="B68" s="3" t="s">
        <v>75</v>
      </c>
      <c r="C68" t="s">
        <v>73</v>
      </c>
      <c r="D68" t="s">
        <v>28</v>
      </c>
      <c r="E68">
        <v>4</v>
      </c>
    </row>
    <row r="69" spans="1:7" x14ac:dyDescent="0.25">
      <c r="B69" s="3"/>
      <c r="C69" t="s">
        <v>160</v>
      </c>
      <c r="D69" t="s">
        <v>28</v>
      </c>
      <c r="E69">
        <f>E62/E68</f>
        <v>15.122500000000002</v>
      </c>
    </row>
    <row r="70" spans="1:7" x14ac:dyDescent="0.25">
      <c r="B70" s="3"/>
    </row>
    <row r="71" spans="1:7" x14ac:dyDescent="0.25">
      <c r="B71" s="3"/>
      <c r="G71" t="s">
        <v>221</v>
      </c>
    </row>
    <row r="72" spans="1:7" x14ac:dyDescent="0.25">
      <c r="B72" s="3" t="s">
        <v>76</v>
      </c>
      <c r="C72" t="s">
        <v>77</v>
      </c>
      <c r="D72" t="s">
        <v>28</v>
      </c>
      <c r="E72">
        <v>15</v>
      </c>
      <c r="F72" t="s">
        <v>31</v>
      </c>
      <c r="G72">
        <v>0.85</v>
      </c>
    </row>
    <row r="73" spans="1:7" x14ac:dyDescent="0.25">
      <c r="C73" t="s">
        <v>78</v>
      </c>
      <c r="D73" t="s">
        <v>28</v>
      </c>
      <c r="E73">
        <v>15</v>
      </c>
      <c r="F73" t="s">
        <v>31</v>
      </c>
      <c r="G73">
        <v>0.85</v>
      </c>
    </row>
    <row r="74" spans="1:7" x14ac:dyDescent="0.25">
      <c r="C74" t="s">
        <v>96</v>
      </c>
      <c r="D74" t="s">
        <v>28</v>
      </c>
      <c r="E74">
        <v>15</v>
      </c>
      <c r="F74" t="s">
        <v>31</v>
      </c>
      <c r="G74">
        <v>0.85</v>
      </c>
    </row>
    <row r="75" spans="1:7" x14ac:dyDescent="0.25">
      <c r="C75" t="s">
        <v>159</v>
      </c>
      <c r="D75" t="s">
        <v>28</v>
      </c>
      <c r="E75">
        <f>E62-SUM(E72:E74)</f>
        <v>15.490000000000009</v>
      </c>
      <c r="F75" t="s">
        <v>31</v>
      </c>
      <c r="G75">
        <v>0.85</v>
      </c>
    </row>
    <row r="77" spans="1:7" x14ac:dyDescent="0.25">
      <c r="A77">
        <v>2</v>
      </c>
      <c r="B77" t="s">
        <v>79</v>
      </c>
    </row>
    <row r="78" spans="1:7" x14ac:dyDescent="0.25">
      <c r="C78" t="s">
        <v>77</v>
      </c>
      <c r="D78" t="s">
        <v>28</v>
      </c>
      <c r="E78">
        <f>E72</f>
        <v>15</v>
      </c>
      <c r="F78" t="s">
        <v>31</v>
      </c>
    </row>
    <row r="79" spans="1:7" x14ac:dyDescent="0.25">
      <c r="C79" t="s">
        <v>144</v>
      </c>
      <c r="D79" t="s">
        <v>28</v>
      </c>
      <c r="E79">
        <f>G72</f>
        <v>0.85</v>
      </c>
    </row>
    <row r="80" spans="1:7" x14ac:dyDescent="0.25">
      <c r="C80" s="1" t="s">
        <v>140</v>
      </c>
      <c r="D80" s="1" t="s">
        <v>28</v>
      </c>
      <c r="E80" s="1">
        <v>0.5</v>
      </c>
    </row>
    <row r="82" spans="2:19" x14ac:dyDescent="0.25">
      <c r="G82" t="s">
        <v>3</v>
      </c>
      <c r="H82">
        <v>1.1253</v>
      </c>
      <c r="J82" t="s">
        <v>80</v>
      </c>
      <c r="K82">
        <v>130.25</v>
      </c>
      <c r="M82" t="s">
        <v>93</v>
      </c>
      <c r="N82">
        <v>347.02</v>
      </c>
      <c r="P82" t="s">
        <v>130</v>
      </c>
      <c r="R82" s="11" t="s">
        <v>28</v>
      </c>
      <c r="S82">
        <f>E78*C28/(E79*K82*K83)</f>
        <v>0.51818021843410744</v>
      </c>
    </row>
    <row r="83" spans="2:19" x14ac:dyDescent="0.25">
      <c r="B83" s="2"/>
      <c r="G83" t="s">
        <v>36</v>
      </c>
      <c r="H83">
        <v>469.35</v>
      </c>
      <c r="J83" t="s">
        <v>18</v>
      </c>
      <c r="K83">
        <f>H83*H82/2</f>
        <v>264.07977749999998</v>
      </c>
      <c r="M83" t="s">
        <v>94</v>
      </c>
      <c r="N83">
        <f>N82+E78</f>
        <v>362.02</v>
      </c>
      <c r="P83" t="s">
        <v>127</v>
      </c>
      <c r="R83" t="s">
        <v>28</v>
      </c>
      <c r="S83">
        <f>E80*2*K83/K82</f>
        <v>2.0274838963531669</v>
      </c>
    </row>
    <row r="84" spans="2:19" x14ac:dyDescent="0.25">
      <c r="B84" s="2"/>
      <c r="M84" t="s">
        <v>126</v>
      </c>
      <c r="N84">
        <f>E4</f>
        <v>177970</v>
      </c>
      <c r="P84" t="s">
        <v>128</v>
      </c>
      <c r="R84" t="s">
        <v>28</v>
      </c>
      <c r="S84">
        <f>(S82+S83)/2</f>
        <v>1.2728320573936371</v>
      </c>
    </row>
    <row r="85" spans="2:19" x14ac:dyDescent="0.25">
      <c r="B85" s="2"/>
      <c r="P85" t="s">
        <v>129</v>
      </c>
      <c r="R85" t="s">
        <v>28</v>
      </c>
      <c r="S85">
        <f>(S83-S82)/2</f>
        <v>0.75465183895952981</v>
      </c>
    </row>
    <row r="86" spans="2:19" x14ac:dyDescent="0.25">
      <c r="B86" s="2"/>
    </row>
    <row r="87" spans="2:19" x14ac:dyDescent="0.25">
      <c r="J87" t="s">
        <v>83</v>
      </c>
      <c r="K87">
        <f>90-ATAN(K83/K82-TAN((K88-90)/180*3.14))/3.14*180</f>
        <v>52.941115942538183</v>
      </c>
    </row>
    <row r="88" spans="2:19" x14ac:dyDescent="0.25">
      <c r="J88" t="s">
        <v>58</v>
      </c>
      <c r="K88">
        <f>ATAN(S84)/3.14*180+90</f>
        <v>141.87136150608546</v>
      </c>
    </row>
    <row r="89" spans="2:19" x14ac:dyDescent="0.25">
      <c r="J89" t="s">
        <v>52</v>
      </c>
      <c r="K89">
        <f>ATAN(S85)/3.14*180+90</f>
        <v>127.05888405746185</v>
      </c>
    </row>
    <row r="90" spans="2:19" x14ac:dyDescent="0.25">
      <c r="J90" t="s">
        <v>131</v>
      </c>
      <c r="K90">
        <f>90-ATAN(K83/K82-TAN((K89-90)/180*3.14))/3.14*180</f>
        <v>38.128638493914551</v>
      </c>
    </row>
    <row r="91" spans="2:19" x14ac:dyDescent="0.25">
      <c r="J91" t="s">
        <v>145</v>
      </c>
      <c r="K91">
        <f>'Comp LP Design'!K191</f>
        <v>49.432545015128468</v>
      </c>
    </row>
    <row r="93" spans="2:19" x14ac:dyDescent="0.25">
      <c r="J93" t="s">
        <v>14</v>
      </c>
      <c r="K93">
        <f>K82/COS((90-K87)/180*3.14)</f>
        <v>163.17676115656232</v>
      </c>
    </row>
    <row r="94" spans="2:19" x14ac:dyDescent="0.25">
      <c r="J94" t="s">
        <v>15</v>
      </c>
      <c r="K94">
        <f>K82/COS((K88-90)/180*3.14)</f>
        <v>210.83212467105321</v>
      </c>
    </row>
    <row r="95" spans="2:19" x14ac:dyDescent="0.25">
      <c r="J95" t="s">
        <v>113</v>
      </c>
      <c r="K95">
        <f>K82/COS((90-K90)/180*3.14)</f>
        <v>210.83212467105315</v>
      </c>
    </row>
    <row r="96" spans="2:19" x14ac:dyDescent="0.25">
      <c r="J96" t="s">
        <v>136</v>
      </c>
      <c r="K96">
        <f>K82/COS((K89-90)/180*3.14)</f>
        <v>163.17676115656238</v>
      </c>
    </row>
    <row r="97" spans="10:24" x14ac:dyDescent="0.25">
      <c r="J97" t="s">
        <v>85</v>
      </c>
      <c r="K97">
        <f>K82/COS((90-K91)/180*3.14)</f>
        <v>171.40994645086116</v>
      </c>
    </row>
    <row r="98" spans="10:24" x14ac:dyDescent="0.25">
      <c r="J98" t="s">
        <v>132</v>
      </c>
      <c r="M98">
        <f>K88-K89</f>
        <v>14.812477448623611</v>
      </c>
      <c r="T98" s="9"/>
      <c r="U98" s="9"/>
      <c r="V98" s="9"/>
      <c r="W98" s="9"/>
    </row>
    <row r="99" spans="10:24" x14ac:dyDescent="0.25">
      <c r="J99" t="s">
        <v>133</v>
      </c>
      <c r="M99">
        <f>COS((K88-90)/180*3.14)/COS((K89-90)/180*3.14)</f>
        <v>0.77396535945912326</v>
      </c>
      <c r="T99" s="9"/>
      <c r="U99" s="9"/>
      <c r="V99" s="9"/>
      <c r="W99" s="9"/>
    </row>
    <row r="100" spans="10:24" x14ac:dyDescent="0.25">
      <c r="J100" t="s">
        <v>140</v>
      </c>
      <c r="M100">
        <f>K82/(2*K83)*(S83)</f>
        <v>0.5</v>
      </c>
      <c r="T100" s="9"/>
      <c r="U100" s="9"/>
      <c r="V100" s="9"/>
      <c r="W100" s="9"/>
    </row>
    <row r="101" spans="10:24" x14ac:dyDescent="0.25">
      <c r="J101" t="s">
        <v>143</v>
      </c>
      <c r="M101">
        <f>K82*(TAN((90-K90)/180*3.14)-TAN((90-K87)/180*3.14))</f>
        <v>67.492973451042573</v>
      </c>
      <c r="T101" s="9"/>
      <c r="U101" s="9"/>
      <c r="V101" s="9"/>
      <c r="W101" s="9"/>
    </row>
    <row r="102" spans="10:24" x14ac:dyDescent="0.25">
      <c r="T102" s="9"/>
      <c r="U102" s="9"/>
      <c r="V102" s="9"/>
      <c r="W102" s="9"/>
    </row>
    <row r="103" spans="10:24" x14ac:dyDescent="0.25">
      <c r="M103" t="s">
        <v>16</v>
      </c>
      <c r="N103">
        <f>N82-0.5*K97^2/1005</f>
        <v>332.40240311329001</v>
      </c>
      <c r="P103" t="s">
        <v>139</v>
      </c>
      <c r="Q103">
        <f>N84/(N103*287)</f>
        <v>1.8655236057525719</v>
      </c>
      <c r="T103" t="s">
        <v>187</v>
      </c>
      <c r="U103">
        <f>N82</f>
        <v>347.02</v>
      </c>
      <c r="W103" t="s">
        <v>191</v>
      </c>
      <c r="X103">
        <f>U105/(U104*287)</f>
        <v>1.86954289872664</v>
      </c>
    </row>
    <row r="104" spans="10:24" x14ac:dyDescent="0.25">
      <c r="M104" t="s">
        <v>17</v>
      </c>
      <c r="N104">
        <f>N83-0.5*K95^2/1005</f>
        <v>339.90548020233308</v>
      </c>
      <c r="P104" s="12" t="s">
        <v>147</v>
      </c>
      <c r="Q104" s="12">
        <f>N116/(N104*287)</f>
        <v>1.9452331328825947</v>
      </c>
      <c r="T104" t="s">
        <v>188</v>
      </c>
      <c r="U104">
        <f>U103-0.5*K93^2/$C$28</f>
        <v>333.83848743487829</v>
      </c>
    </row>
    <row r="105" spans="10:24" x14ac:dyDescent="0.25">
      <c r="M105" t="s">
        <v>91</v>
      </c>
      <c r="N105">
        <f>N84+0.5*Q103*K97^2</f>
        <v>205375.81941179046</v>
      </c>
      <c r="T105" t="s">
        <v>189</v>
      </c>
      <c r="U105">
        <f>N105/((N82/U104)^($C$27/($C$27-1)))</f>
        <v>179123.98219608405</v>
      </c>
    </row>
    <row r="106" spans="10:24" x14ac:dyDescent="0.25">
      <c r="T106" t="s">
        <v>190</v>
      </c>
      <c r="U106">
        <f>U105+X103*K93^2/2</f>
        <v>204013.81943878924</v>
      </c>
    </row>
    <row r="107" spans="10:24" x14ac:dyDescent="0.25">
      <c r="M107" t="s">
        <v>24</v>
      </c>
      <c r="T107" s="9"/>
      <c r="U107" s="9"/>
      <c r="V107" s="9"/>
      <c r="W107" s="9"/>
    </row>
    <row r="108" spans="10:24" x14ac:dyDescent="0.25">
      <c r="N108" t="s">
        <v>224</v>
      </c>
      <c r="T108" s="9"/>
      <c r="U108" s="9"/>
      <c r="V108" s="9"/>
      <c r="W108" s="9"/>
    </row>
    <row r="109" spans="10:24" x14ac:dyDescent="0.25">
      <c r="O109" t="s">
        <v>198</v>
      </c>
      <c r="P109">
        <f>'Comp Design Parameters'!Y4</f>
        <v>0.95966112034700823</v>
      </c>
      <c r="T109" s="9"/>
      <c r="U109" s="9"/>
      <c r="V109" s="9"/>
      <c r="W109" s="9"/>
    </row>
    <row r="110" spans="10:24" x14ac:dyDescent="0.25">
      <c r="T110" s="9"/>
      <c r="U110" s="9"/>
      <c r="V110" s="9"/>
      <c r="W110" s="9"/>
    </row>
    <row r="111" spans="10:24" x14ac:dyDescent="0.25">
      <c r="T111" s="9"/>
      <c r="U111" s="9"/>
      <c r="V111" s="9"/>
      <c r="W111" s="9"/>
    </row>
    <row r="112" spans="10:24" x14ac:dyDescent="0.25">
      <c r="N112" t="s">
        <v>135</v>
      </c>
      <c r="O112">
        <f>(1+P109*E78/N82)^($C$27/($C$27-1))</f>
        <v>1.1543541847594407</v>
      </c>
      <c r="T112" s="9"/>
      <c r="U112" s="9"/>
      <c r="V112" s="9"/>
      <c r="W112" s="9"/>
    </row>
    <row r="113" spans="1:24" x14ac:dyDescent="0.25">
      <c r="T113" s="9"/>
      <c r="U113" s="9"/>
      <c r="V113" s="9"/>
      <c r="W113" s="9"/>
    </row>
    <row r="114" spans="1:24" x14ac:dyDescent="0.25">
      <c r="T114" s="9"/>
      <c r="U114" s="9"/>
      <c r="V114" s="9"/>
      <c r="W114" s="9"/>
    </row>
    <row r="115" spans="1:24" x14ac:dyDescent="0.25">
      <c r="M115" t="s">
        <v>92</v>
      </c>
      <c r="N115">
        <f>O112*N105</f>
        <v>237076.4365863995</v>
      </c>
    </row>
    <row r="116" spans="1:24" x14ac:dyDescent="0.25">
      <c r="M116" s="12" t="s">
        <v>141</v>
      </c>
      <c r="N116" s="12">
        <f>N115*(N104/N83)^($C$27/($C$27-1))</f>
        <v>189763.08041359083</v>
      </c>
    </row>
    <row r="117" spans="1:24" x14ac:dyDescent="0.25">
      <c r="A117">
        <v>3</v>
      </c>
      <c r="B117" t="s">
        <v>142</v>
      </c>
    </row>
    <row r="118" spans="1:24" x14ac:dyDescent="0.25">
      <c r="C118" t="s">
        <v>78</v>
      </c>
      <c r="D118" t="s">
        <v>28</v>
      </c>
      <c r="E118">
        <f>E73</f>
        <v>15</v>
      </c>
      <c r="F118" t="s">
        <v>31</v>
      </c>
    </row>
    <row r="119" spans="1:24" x14ac:dyDescent="0.25">
      <c r="C119" t="s">
        <v>144</v>
      </c>
      <c r="D119" t="s">
        <v>28</v>
      </c>
      <c r="E119">
        <f>G73</f>
        <v>0.85</v>
      </c>
    </row>
    <row r="120" spans="1:24" x14ac:dyDescent="0.25">
      <c r="C120" s="1" t="s">
        <v>140</v>
      </c>
      <c r="D120" s="1" t="s">
        <v>28</v>
      </c>
      <c r="E120" s="1">
        <v>0.5</v>
      </c>
    </row>
    <row r="122" spans="1:24" x14ac:dyDescent="0.25">
      <c r="G122" t="s">
        <v>3</v>
      </c>
      <c r="H122">
        <f>H82-($E$8-$E$9)/3</f>
        <v>1.1105</v>
      </c>
      <c r="J122" t="s">
        <v>80</v>
      </c>
      <c r="K122">
        <v>130.25</v>
      </c>
      <c r="M122" t="s">
        <v>93</v>
      </c>
      <c r="N122">
        <f>N83</f>
        <v>362.02</v>
      </c>
      <c r="P122" t="s">
        <v>130</v>
      </c>
      <c r="R122" s="11" t="s">
        <v>28</v>
      </c>
      <c r="S122">
        <f>E118*1005/(E119*K122*K123)</f>
        <v>0.52248674070008638</v>
      </c>
      <c r="T122" s="9"/>
      <c r="U122" s="9"/>
      <c r="V122" s="9"/>
      <c r="W122" s="9"/>
      <c r="X122" s="9"/>
    </row>
    <row r="123" spans="1:24" x14ac:dyDescent="0.25">
      <c r="G123" t="s">
        <v>36</v>
      </c>
      <c r="H123">
        <v>469.35</v>
      </c>
      <c r="J123" t="s">
        <v>18</v>
      </c>
      <c r="K123">
        <f>H123*H122/2</f>
        <v>260.60658750000005</v>
      </c>
      <c r="M123" t="s">
        <v>94</v>
      </c>
      <c r="N123">
        <f>N122+E118</f>
        <v>377.02</v>
      </c>
      <c r="P123" t="s">
        <v>127</v>
      </c>
      <c r="R123" t="s">
        <v>28</v>
      </c>
      <c r="S123">
        <f>E120*2*K123/K122</f>
        <v>2.0008183301343574</v>
      </c>
      <c r="T123" s="9"/>
      <c r="U123" s="9"/>
      <c r="V123" s="9"/>
      <c r="W123" s="9"/>
      <c r="X123" s="9"/>
    </row>
    <row r="124" spans="1:24" x14ac:dyDescent="0.25">
      <c r="M124" s="12" t="s">
        <v>126</v>
      </c>
      <c r="N124" s="12">
        <f>N116</f>
        <v>189763.08041359083</v>
      </c>
      <c r="P124" t="s">
        <v>128</v>
      </c>
      <c r="R124" t="s">
        <v>28</v>
      </c>
      <c r="S124">
        <f>(S122+S123)/2</f>
        <v>1.2616525354172219</v>
      </c>
      <c r="T124" s="9"/>
      <c r="U124" s="9"/>
      <c r="V124" s="9"/>
      <c r="W124" s="9"/>
      <c r="X124" s="9"/>
    </row>
    <row r="125" spans="1:24" x14ac:dyDescent="0.25">
      <c r="P125" t="s">
        <v>129</v>
      </c>
      <c r="R125" t="s">
        <v>28</v>
      </c>
      <c r="S125">
        <f>(S123-S122)/2</f>
        <v>0.7391657947171355</v>
      </c>
      <c r="V125" s="9"/>
      <c r="W125" s="9"/>
      <c r="X125" s="9"/>
    </row>
    <row r="126" spans="1:24" x14ac:dyDescent="0.25">
      <c r="V126" s="9"/>
      <c r="W126" s="9"/>
      <c r="X126" s="9"/>
    </row>
    <row r="127" spans="1:24" x14ac:dyDescent="0.25">
      <c r="J127" t="s">
        <v>83</v>
      </c>
      <c r="K127">
        <f>90-ATAN(K123/K122-TAN((K128-90)/180*3.14))/3.14*180</f>
        <v>53.510957045817882</v>
      </c>
      <c r="V127" s="9"/>
      <c r="W127" s="9"/>
      <c r="X127" s="9"/>
    </row>
    <row r="128" spans="1:24" x14ac:dyDescent="0.25">
      <c r="J128" t="s">
        <v>58</v>
      </c>
      <c r="K128">
        <f>ATAN(S124)/3.14*180+90</f>
        <v>141.6254321448271</v>
      </c>
      <c r="V128" s="9"/>
      <c r="W128" s="9"/>
      <c r="X128" s="9"/>
    </row>
    <row r="129" spans="1:24" x14ac:dyDescent="0.25">
      <c r="J129" t="s">
        <v>52</v>
      </c>
      <c r="K129">
        <f>ATAN(S125)/3.14*180+90</f>
        <v>126.48904295418208</v>
      </c>
      <c r="V129" s="9"/>
      <c r="W129" s="9"/>
      <c r="X129" s="9"/>
    </row>
    <row r="130" spans="1:24" x14ac:dyDescent="0.25">
      <c r="J130" t="s">
        <v>131</v>
      </c>
      <c r="K130">
        <f>90-ATAN(K123/K122-TAN((K129-90)/180*3.14))/3.14*180</f>
        <v>38.374567855172891</v>
      </c>
      <c r="V130" s="9"/>
      <c r="W130" s="9"/>
      <c r="X130" s="9"/>
    </row>
    <row r="131" spans="1:24" x14ac:dyDescent="0.25">
      <c r="J131" t="s">
        <v>145</v>
      </c>
      <c r="K131">
        <f>K90</f>
        <v>38.128638493914551</v>
      </c>
      <c r="V131" s="9"/>
      <c r="W131" s="9"/>
      <c r="X131" s="9"/>
    </row>
    <row r="132" spans="1:24" x14ac:dyDescent="0.25">
      <c r="V132" s="9"/>
      <c r="W132" s="9"/>
      <c r="X132" s="9"/>
    </row>
    <row r="133" spans="1:24" x14ac:dyDescent="0.25">
      <c r="A133" s="9"/>
      <c r="B133" s="9"/>
      <c r="C133" s="9"/>
      <c r="D133" s="9"/>
      <c r="E133" s="9"/>
      <c r="F133" s="9"/>
      <c r="G133" s="9"/>
      <c r="H133" s="9"/>
      <c r="I133" s="9"/>
      <c r="J133" t="s">
        <v>14</v>
      </c>
      <c r="K133">
        <f>K122/COS((90-K127)/180*3.14)</f>
        <v>161.96974118863554</v>
      </c>
      <c r="N133" s="9"/>
      <c r="O133" s="9"/>
      <c r="P133" s="9"/>
      <c r="Q133" s="9"/>
      <c r="R133" s="9"/>
      <c r="S133" s="9"/>
      <c r="V133" s="9"/>
      <c r="W133" s="9"/>
      <c r="X133" s="9"/>
    </row>
    <row r="134" spans="1:24" x14ac:dyDescent="0.25">
      <c r="A134" s="9"/>
      <c r="B134" s="9"/>
      <c r="C134" s="9"/>
      <c r="D134" s="9"/>
      <c r="E134" s="9"/>
      <c r="F134" s="9"/>
      <c r="G134" s="9"/>
      <c r="H134" s="9"/>
      <c r="I134" s="9"/>
      <c r="J134" t="s">
        <v>15</v>
      </c>
      <c r="K134">
        <f>K122/COS((K128-90)/180*3.14)</f>
        <v>209.68903447333767</v>
      </c>
      <c r="N134" s="9"/>
      <c r="O134" s="9"/>
      <c r="P134" s="9"/>
      <c r="Q134" s="9"/>
      <c r="R134" s="9"/>
      <c r="S134" s="9"/>
      <c r="V134" s="9"/>
      <c r="W134" s="9"/>
      <c r="X134" s="9"/>
    </row>
    <row r="135" spans="1:24" x14ac:dyDescent="0.25">
      <c r="A135" s="9"/>
      <c r="B135" s="9"/>
      <c r="C135" s="9"/>
      <c r="D135" s="9"/>
      <c r="E135" s="9"/>
      <c r="F135" s="9"/>
      <c r="G135" s="9"/>
      <c r="H135" s="9"/>
      <c r="I135" s="9"/>
      <c r="J135" t="s">
        <v>113</v>
      </c>
      <c r="K135">
        <f>K122/COS((90-K130)/180*3.14)</f>
        <v>209.68903447333773</v>
      </c>
      <c r="N135" s="9"/>
      <c r="O135" s="9"/>
      <c r="P135" s="9"/>
      <c r="Q135" s="9"/>
      <c r="R135" s="9"/>
      <c r="S135" s="9"/>
    </row>
    <row r="136" spans="1:24" x14ac:dyDescent="0.25">
      <c r="A136" s="9"/>
      <c r="B136" s="9"/>
      <c r="C136" s="9"/>
      <c r="D136" s="9"/>
      <c r="E136" s="9"/>
      <c r="F136" s="9"/>
      <c r="G136" s="9"/>
      <c r="H136" s="9"/>
      <c r="I136" s="9"/>
      <c r="J136" t="s">
        <v>136</v>
      </c>
      <c r="K136">
        <f>K122/COS((K129-90)/180*3.14)</f>
        <v>161.96974118863548</v>
      </c>
      <c r="N136" s="9"/>
      <c r="O136" s="9"/>
      <c r="P136" s="9"/>
      <c r="Q136" s="9"/>
      <c r="R136" s="9"/>
      <c r="S136" s="9"/>
    </row>
    <row r="137" spans="1:24" x14ac:dyDescent="0.25">
      <c r="A137" s="9"/>
      <c r="B137" s="9"/>
      <c r="C137" s="9"/>
      <c r="D137" s="9"/>
      <c r="E137" s="9"/>
      <c r="F137" s="9"/>
      <c r="G137" s="9"/>
      <c r="H137" s="9"/>
      <c r="I137" s="9"/>
      <c r="J137" t="s">
        <v>85</v>
      </c>
      <c r="K137">
        <f>K122/COS((90-K131)/180*3.14)</f>
        <v>210.83212467105315</v>
      </c>
      <c r="N137" s="9"/>
      <c r="O137" s="9"/>
      <c r="P137" s="9"/>
      <c r="Q137" s="9"/>
      <c r="R137" s="9"/>
      <c r="S137" s="9"/>
    </row>
    <row r="138" spans="1:24" x14ac:dyDescent="0.25">
      <c r="A138" s="9"/>
      <c r="B138" s="9"/>
      <c r="C138" s="9"/>
      <c r="D138" s="9"/>
      <c r="E138" s="9"/>
      <c r="F138" s="9"/>
      <c r="G138" s="9"/>
      <c r="H138" s="9"/>
      <c r="I138" s="9"/>
      <c r="J138" t="s">
        <v>132</v>
      </c>
      <c r="M138">
        <f>K128-K129</f>
        <v>15.136389190645019</v>
      </c>
      <c r="N138" s="9"/>
      <c r="O138" s="9"/>
      <c r="P138" s="9"/>
      <c r="Q138" s="9"/>
      <c r="R138" s="9"/>
      <c r="S138" s="9"/>
    </row>
    <row r="139" spans="1:24" x14ac:dyDescent="0.25">
      <c r="A139" s="9"/>
      <c r="B139" s="9"/>
      <c r="C139" s="9"/>
      <c r="D139" s="9"/>
      <c r="E139" s="9"/>
      <c r="F139" s="9"/>
      <c r="G139" s="9"/>
      <c r="H139" s="9"/>
      <c r="I139" s="9"/>
      <c r="J139" t="s">
        <v>133</v>
      </c>
      <c r="M139">
        <f>COS((K128-90)/180*3.14)/COS((K129-90)/180*3.14)</f>
        <v>0.77242828455691237</v>
      </c>
      <c r="N139" s="9"/>
      <c r="O139" s="9"/>
      <c r="P139" s="9"/>
      <c r="Q139" s="9"/>
      <c r="R139" s="9"/>
      <c r="S139" s="9"/>
    </row>
    <row r="140" spans="1:24" x14ac:dyDescent="0.25">
      <c r="A140" s="9"/>
      <c r="B140" s="9"/>
      <c r="C140" s="9"/>
      <c r="D140" s="9"/>
      <c r="E140" s="9"/>
      <c r="F140" s="9"/>
      <c r="G140" s="9"/>
      <c r="H140" s="9"/>
      <c r="I140" s="9"/>
      <c r="J140" t="s">
        <v>140</v>
      </c>
      <c r="M140">
        <f>K122/(2*K123)*(S123)</f>
        <v>0.5</v>
      </c>
      <c r="N140" s="9"/>
      <c r="O140" s="9"/>
      <c r="P140" s="9"/>
      <c r="Q140" s="9"/>
      <c r="R140" s="9"/>
      <c r="S140" s="9"/>
      <c r="T140" s="9"/>
      <c r="U140" s="9"/>
    </row>
    <row r="141" spans="1:24" x14ac:dyDescent="0.25">
      <c r="A141" s="9"/>
      <c r="B141" s="9"/>
      <c r="C141" s="9"/>
      <c r="D141" s="9"/>
      <c r="E141" s="9"/>
      <c r="F141" s="9"/>
      <c r="G141" s="9"/>
      <c r="H141" s="9"/>
      <c r="I141" s="9"/>
      <c r="J141" t="s">
        <v>143</v>
      </c>
      <c r="M141">
        <f>K122*(TAN((90-K130)/180*3.14)-TAN((90-K127)/180*3.14))</f>
        <v>68.053897976186136</v>
      </c>
      <c r="N141" s="9"/>
      <c r="O141" s="9"/>
      <c r="P141" s="9"/>
      <c r="Q141" s="9"/>
      <c r="R141" s="9"/>
      <c r="S141" s="9"/>
      <c r="T141" s="9"/>
      <c r="U141" s="9"/>
    </row>
    <row r="142" spans="1:24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4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t="s">
        <v>16</v>
      </c>
      <c r="N143">
        <f>N122-0.5*K137^2/C28</f>
        <v>340.01495802311359</v>
      </c>
      <c r="P143" s="12" t="s">
        <v>139</v>
      </c>
      <c r="Q143" s="12">
        <f>N124/(N143*287)</f>
        <v>1.9446068078363783</v>
      </c>
      <c r="R143" s="9"/>
      <c r="S143" s="9"/>
      <c r="T143" t="s">
        <v>187</v>
      </c>
      <c r="U143">
        <f>N122</f>
        <v>362.02</v>
      </c>
      <c r="W143" t="s">
        <v>191</v>
      </c>
      <c r="X143">
        <f>U145/(U144*287)</f>
        <v>2.0802040691781216</v>
      </c>
    </row>
    <row r="144" spans="1:24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t="s">
        <v>17</v>
      </c>
      <c r="N144">
        <f>N123-0.5*K135^2/$C$28</f>
        <v>355.2529251592274</v>
      </c>
      <c r="P144" s="12" t="s">
        <v>147</v>
      </c>
      <c r="Q144" s="12">
        <f>N156/(N144*287)</f>
        <v>2.1540592811129575</v>
      </c>
      <c r="R144" s="9"/>
      <c r="S144" s="9"/>
      <c r="T144" t="s">
        <v>188</v>
      </c>
      <c r="U144">
        <f>U143-0.5*K133^2/$C$28</f>
        <v>349.03277373231998</v>
      </c>
    </row>
    <row r="145" spans="1:2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t="s">
        <v>91</v>
      </c>
      <c r="N145">
        <f>N115</f>
        <v>237076.4365863995</v>
      </c>
      <c r="R145" s="9"/>
      <c r="S145" s="9"/>
      <c r="T145" t="s">
        <v>189</v>
      </c>
      <c r="U145">
        <f>N145/((N122/U144)^($C$27/($C$27-1)))</f>
        <v>208379.04670782108</v>
      </c>
    </row>
    <row r="146" spans="1:2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R146" s="9"/>
      <c r="S146" s="9"/>
      <c r="T146" t="s">
        <v>190</v>
      </c>
      <c r="U146">
        <f>U145+X143*K133^2/2</f>
        <v>235665.28844647962</v>
      </c>
    </row>
    <row r="147" spans="1:2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t="s">
        <v>24</v>
      </c>
      <c r="R147" s="9"/>
      <c r="S147" s="9"/>
      <c r="T147" s="9"/>
      <c r="U147" s="9"/>
    </row>
    <row r="148" spans="1:2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N148" t="s">
        <v>224</v>
      </c>
      <c r="R148" s="9"/>
      <c r="S148" s="9"/>
      <c r="T148" s="9"/>
      <c r="U148" s="9"/>
    </row>
    <row r="149" spans="1:2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O149" t="s">
        <v>198</v>
      </c>
      <c r="P149">
        <f>'Comp Design Parameters'!Z4</f>
        <v>0.93012786624515553</v>
      </c>
      <c r="R149" s="9"/>
      <c r="S149" s="9"/>
      <c r="T149" s="9"/>
      <c r="U149" s="9"/>
    </row>
    <row r="150" spans="1:21" x14ac:dyDescent="0.25">
      <c r="T150" s="9"/>
      <c r="U150" s="9"/>
    </row>
    <row r="151" spans="1:21" x14ac:dyDescent="0.25">
      <c r="T151" s="9"/>
      <c r="U151" s="9"/>
    </row>
    <row r="152" spans="1:21" x14ac:dyDescent="0.25">
      <c r="N152" t="s">
        <v>135</v>
      </c>
      <c r="O152">
        <f>(1+P149*E118/N122)^($C$27/($C$27-1))</f>
        <v>1.1428774501023458</v>
      </c>
      <c r="T152" s="9"/>
      <c r="U152" s="9"/>
    </row>
    <row r="153" spans="1:21" x14ac:dyDescent="0.25">
      <c r="T153" s="9"/>
      <c r="U153" s="9"/>
    </row>
    <row r="154" spans="1:21" x14ac:dyDescent="0.25">
      <c r="T154" s="9"/>
      <c r="U154" s="9"/>
    </row>
    <row r="155" spans="1:21" x14ac:dyDescent="0.25">
      <c r="M155" t="s">
        <v>92</v>
      </c>
      <c r="N155">
        <f>N145*O152</f>
        <v>270949.31332521472</v>
      </c>
      <c r="T155" s="9"/>
      <c r="U155" s="9"/>
    </row>
    <row r="156" spans="1:21" x14ac:dyDescent="0.25">
      <c r="M156" s="12" t="s">
        <v>141</v>
      </c>
      <c r="N156" s="12">
        <f>N155*(N144/N123)^($C$27/($C$27-1))</f>
        <v>219622.69198696531</v>
      </c>
      <c r="T156" s="9"/>
      <c r="U156" s="9"/>
    </row>
    <row r="157" spans="1:2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2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21" x14ac:dyDescent="0.25">
      <c r="A159">
        <v>4</v>
      </c>
      <c r="B159" t="s">
        <v>161</v>
      </c>
    </row>
    <row r="160" spans="1:21" x14ac:dyDescent="0.25">
      <c r="C160" t="s">
        <v>78</v>
      </c>
      <c r="D160" t="s">
        <v>28</v>
      </c>
      <c r="E160">
        <f>E74</f>
        <v>15</v>
      </c>
      <c r="F160" t="s">
        <v>31</v>
      </c>
    </row>
    <row r="161" spans="1:20" x14ac:dyDescent="0.25">
      <c r="C161" t="s">
        <v>144</v>
      </c>
      <c r="D161" t="s">
        <v>28</v>
      </c>
      <c r="E161">
        <f>G74</f>
        <v>0.85</v>
      </c>
    </row>
    <row r="162" spans="1:20" x14ac:dyDescent="0.25">
      <c r="C162" s="1" t="s">
        <v>140</v>
      </c>
      <c r="D162" s="1" t="s">
        <v>28</v>
      </c>
      <c r="E162" s="1">
        <v>0.5</v>
      </c>
    </row>
    <row r="164" spans="1:20" x14ac:dyDescent="0.25">
      <c r="G164" t="s">
        <v>3</v>
      </c>
      <c r="H164">
        <f>H122-($E$8-$E$9)/3</f>
        <v>1.0957000000000001</v>
      </c>
      <c r="J164" t="s">
        <v>80</v>
      </c>
      <c r="K164">
        <v>130.25</v>
      </c>
      <c r="M164" t="s">
        <v>93</v>
      </c>
      <c r="N164">
        <f>N123</f>
        <v>377.02</v>
      </c>
      <c r="P164" t="s">
        <v>130</v>
      </c>
      <c r="R164" s="11" t="s">
        <v>28</v>
      </c>
      <c r="S164">
        <f>E160*1005/(E161*K164*K165)</f>
        <v>0.52954415035816915</v>
      </c>
      <c r="T164" s="9"/>
    </row>
    <row r="165" spans="1:20" x14ac:dyDescent="0.25">
      <c r="G165" t="s">
        <v>36</v>
      </c>
      <c r="H165">
        <v>469.35</v>
      </c>
      <c r="J165" t="s">
        <v>18</v>
      </c>
      <c r="K165">
        <f>H165*H164/2</f>
        <v>257.13339750000006</v>
      </c>
      <c r="M165" t="s">
        <v>94</v>
      </c>
      <c r="N165">
        <f>N164+E160</f>
        <v>392.02</v>
      </c>
      <c r="P165" t="s">
        <v>127</v>
      </c>
      <c r="R165" t="s">
        <v>28</v>
      </c>
      <c r="S165">
        <f>E162*2*K165/K164</f>
        <v>1.9741527639155474</v>
      </c>
      <c r="T165" s="9"/>
    </row>
    <row r="166" spans="1:20" x14ac:dyDescent="0.25">
      <c r="M166" s="12" t="s">
        <v>126</v>
      </c>
      <c r="N166" s="12">
        <f>N156</f>
        <v>219622.69198696531</v>
      </c>
      <c r="P166" t="s">
        <v>128</v>
      </c>
      <c r="R166" t="s">
        <v>28</v>
      </c>
      <c r="S166">
        <f>(S164+S165)/2</f>
        <v>1.2518484571368582</v>
      </c>
      <c r="T166" s="9"/>
    </row>
    <row r="167" spans="1:20" x14ac:dyDescent="0.25">
      <c r="P167" t="s">
        <v>129</v>
      </c>
      <c r="R167" t="s">
        <v>28</v>
      </c>
      <c r="S167">
        <f>(S165-S164)/2</f>
        <v>0.72230430677868918</v>
      </c>
    </row>
    <row r="169" spans="1:20" x14ac:dyDescent="0.25">
      <c r="J169" t="s">
        <v>83</v>
      </c>
      <c r="K169">
        <f>90-ATAN(K165/K164-TAN((K170-90)/180*3.14))/3.14*180</f>
        <v>54.141077340310936</v>
      </c>
    </row>
    <row r="170" spans="1:20" x14ac:dyDescent="0.25">
      <c r="J170" t="s">
        <v>58</v>
      </c>
      <c r="K170">
        <f>ATAN(S166)/3.14*180+90</f>
        <v>141.40754620099091</v>
      </c>
    </row>
    <row r="171" spans="1:20" x14ac:dyDescent="0.25">
      <c r="J171" t="s">
        <v>52</v>
      </c>
      <c r="K171">
        <f>ATAN(S167)/3.14*180+90</f>
        <v>125.85892265968906</v>
      </c>
    </row>
    <row r="172" spans="1:20" x14ac:dyDescent="0.25">
      <c r="J172" t="s">
        <v>131</v>
      </c>
      <c r="K172">
        <f>90-ATAN(K165/K164-TAN((K171-90)/180*3.14))/3.14*180</f>
        <v>38.592453799009085</v>
      </c>
    </row>
    <row r="173" spans="1:20" x14ac:dyDescent="0.25">
      <c r="J173" t="s">
        <v>145</v>
      </c>
      <c r="K173">
        <f>K130</f>
        <v>38.374567855172891</v>
      </c>
    </row>
    <row r="175" spans="1:20" x14ac:dyDescent="0.25">
      <c r="A175" s="9"/>
      <c r="B175" s="9"/>
      <c r="C175" s="9"/>
      <c r="D175" s="9"/>
      <c r="E175" s="9"/>
      <c r="F175" s="9"/>
      <c r="G175" s="9"/>
      <c r="H175" s="9"/>
      <c r="I175" s="9"/>
      <c r="J175" t="s">
        <v>14</v>
      </c>
      <c r="K175">
        <f>K164/COS((90-K169)/180*3.14)</f>
        <v>160.67400064061866</v>
      </c>
      <c r="N175" s="9"/>
      <c r="O175" s="9"/>
      <c r="P175" s="9"/>
      <c r="Q175" s="9"/>
      <c r="R175" s="9"/>
      <c r="S175" s="9"/>
    </row>
    <row r="176" spans="1:20" x14ac:dyDescent="0.25">
      <c r="A176" s="9"/>
      <c r="B176" s="9"/>
      <c r="C176" s="9"/>
      <c r="D176" s="9"/>
      <c r="E176" s="9"/>
      <c r="F176" s="9"/>
      <c r="G176" s="9"/>
      <c r="H176" s="9"/>
      <c r="I176" s="9"/>
      <c r="J176" t="s">
        <v>15</v>
      </c>
      <c r="K176">
        <f>K164/COS((K170-90)/180*3.14)</f>
        <v>208.6897903576228</v>
      </c>
      <c r="N176" s="9"/>
      <c r="O176" s="9"/>
      <c r="P176" s="9"/>
      <c r="Q176" s="9"/>
      <c r="R176" s="9"/>
      <c r="S176" s="9"/>
    </row>
    <row r="177" spans="1:24" x14ac:dyDescent="0.25">
      <c r="A177" s="9"/>
      <c r="B177" s="9"/>
      <c r="C177" s="9"/>
      <c r="D177" s="9"/>
      <c r="E177" s="9"/>
      <c r="F177" s="9"/>
      <c r="G177" s="9"/>
      <c r="H177" s="9"/>
      <c r="I177" s="9"/>
      <c r="J177" t="s">
        <v>113</v>
      </c>
      <c r="K177">
        <f>K164/COS((90-K172)/180*3.14)</f>
        <v>208.68979035762283</v>
      </c>
      <c r="N177" s="9"/>
      <c r="O177" s="9"/>
      <c r="P177" s="9"/>
      <c r="Q177" s="9"/>
      <c r="R177" s="9"/>
      <c r="S177" s="9"/>
    </row>
    <row r="178" spans="1:24" x14ac:dyDescent="0.25">
      <c r="A178" s="9"/>
      <c r="B178" s="9"/>
      <c r="C178" s="9"/>
      <c r="D178" s="9"/>
      <c r="E178" s="9"/>
      <c r="F178" s="9"/>
      <c r="G178" s="9"/>
      <c r="H178" s="9"/>
      <c r="I178" s="9"/>
      <c r="J178" t="s">
        <v>136</v>
      </c>
      <c r="K178">
        <f>K164/COS((K171-90)/180*3.14)</f>
        <v>160.67400064061863</v>
      </c>
      <c r="N178" s="9"/>
      <c r="O178" s="9"/>
      <c r="P178" s="9"/>
      <c r="Q178" s="9"/>
      <c r="R178" s="9"/>
      <c r="S178" s="9"/>
    </row>
    <row r="179" spans="1:24" x14ac:dyDescent="0.25">
      <c r="A179" s="9"/>
      <c r="B179" s="9"/>
      <c r="C179" s="9"/>
      <c r="D179" s="9"/>
      <c r="E179" s="9"/>
      <c r="F179" s="9"/>
      <c r="G179" s="9"/>
      <c r="H179" s="9"/>
      <c r="I179" s="9"/>
      <c r="J179" t="s">
        <v>85</v>
      </c>
      <c r="K179">
        <f>K164/COS((90-K173)/180*3.14)</f>
        <v>209.68903447333773</v>
      </c>
      <c r="N179" s="9"/>
      <c r="O179" s="9"/>
      <c r="P179" s="9"/>
      <c r="Q179" s="9"/>
      <c r="R179" s="9"/>
      <c r="S179" s="9"/>
    </row>
    <row r="180" spans="1:24" x14ac:dyDescent="0.25">
      <c r="A180" s="9"/>
      <c r="B180" s="9"/>
      <c r="C180" s="9"/>
      <c r="D180" s="9"/>
      <c r="E180" s="9"/>
      <c r="F180" s="9"/>
      <c r="G180" s="9"/>
      <c r="H180" s="9"/>
      <c r="I180" s="9"/>
      <c r="J180" t="s">
        <v>132</v>
      </c>
      <c r="M180">
        <f>K170-K171</f>
        <v>15.548623541301851</v>
      </c>
      <c r="N180" s="9"/>
      <c r="O180" s="9"/>
      <c r="P180" s="9"/>
      <c r="Q180" s="9"/>
      <c r="R180" s="9"/>
      <c r="S180" s="9"/>
    </row>
    <row r="181" spans="1:24" x14ac:dyDescent="0.25">
      <c r="A181" s="9"/>
      <c r="B181" s="9"/>
      <c r="C181" s="9"/>
      <c r="D181" s="9"/>
      <c r="E181" s="9"/>
      <c r="F181" s="9"/>
      <c r="G181" s="9"/>
      <c r="H181" s="9"/>
      <c r="I181" s="9"/>
      <c r="J181" t="s">
        <v>133</v>
      </c>
      <c r="M181">
        <f>COS((K170-90)/180*3.14)/COS((K171-90)/180*3.14)</f>
        <v>0.76991787842269832</v>
      </c>
      <c r="N181" s="9"/>
      <c r="O181" s="9"/>
      <c r="P181" s="9"/>
      <c r="Q181" s="9"/>
      <c r="R181" s="9"/>
      <c r="S181" s="9"/>
    </row>
    <row r="182" spans="1:24" x14ac:dyDescent="0.25">
      <c r="A182" s="9"/>
      <c r="B182" s="9"/>
      <c r="C182" s="9"/>
      <c r="D182" s="9"/>
      <c r="E182" s="9"/>
      <c r="F182" s="9"/>
      <c r="G182" s="9"/>
      <c r="H182" s="9"/>
      <c r="I182" s="9"/>
      <c r="J182" t="s">
        <v>140</v>
      </c>
      <c r="M182">
        <f>K164/(2*K165)*(S165)</f>
        <v>0.5</v>
      </c>
      <c r="N182" s="9"/>
      <c r="O182" s="9"/>
      <c r="P182" s="9"/>
      <c r="Q182" s="9"/>
      <c r="R182" s="9"/>
      <c r="S182" s="9"/>
      <c r="T182" s="9"/>
    </row>
    <row r="183" spans="1:24" x14ac:dyDescent="0.25">
      <c r="A183" s="9"/>
      <c r="B183" s="9"/>
      <c r="C183" s="9"/>
      <c r="D183" s="9"/>
      <c r="E183" s="9"/>
      <c r="F183" s="9"/>
      <c r="G183" s="9"/>
      <c r="H183" s="9"/>
      <c r="I183" s="9"/>
      <c r="J183" t="s">
        <v>143</v>
      </c>
      <c r="M183">
        <f>K164*(TAN((90-K172)/180*3.14)-TAN((90-K169)/180*3.14))</f>
        <v>68.973125584151489</v>
      </c>
      <c r="N183" s="9"/>
      <c r="O183" s="9"/>
      <c r="P183" s="9"/>
      <c r="Q183" s="9"/>
      <c r="R183" s="9"/>
      <c r="S183" s="9"/>
      <c r="T183" s="9"/>
    </row>
    <row r="184" spans="1:24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4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t="s">
        <v>16</v>
      </c>
      <c r="N185">
        <f>N164-0.5*K179^2/$C$28</f>
        <v>355.2529251592274</v>
      </c>
      <c r="P185" s="12" t="s">
        <v>139</v>
      </c>
      <c r="Q185" s="12">
        <f>N166/(N185*287)</f>
        <v>2.1540592811129575</v>
      </c>
      <c r="R185" s="9"/>
      <c r="S185" s="9"/>
      <c r="T185" t="s">
        <v>187</v>
      </c>
      <c r="U185">
        <f>N164</f>
        <v>377.02</v>
      </c>
      <c r="W185" t="s">
        <v>191</v>
      </c>
      <c r="X185">
        <f>U187/(U186*287)</f>
        <v>2.2946959168742169</v>
      </c>
    </row>
    <row r="186" spans="1:24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t="s">
        <v>17</v>
      </c>
      <c r="N186">
        <f>N165-0.5*K177^2/$C$28</f>
        <v>370.45988683192644</v>
      </c>
      <c r="P186" s="12" t="s">
        <v>147</v>
      </c>
      <c r="Q186" s="12">
        <f>N198/(N186*287)</f>
        <v>2.3726926178131933</v>
      </c>
      <c r="R186" s="9"/>
      <c r="S186" s="9"/>
      <c r="T186" t="s">
        <v>188</v>
      </c>
      <c r="U186">
        <f>U185-0.5*K175^2/$C$28</f>
        <v>364.23973540501902</v>
      </c>
    </row>
    <row r="187" spans="1:24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t="s">
        <v>91</v>
      </c>
      <c r="N187">
        <f>N155</f>
        <v>270949.31332521472</v>
      </c>
      <c r="R187" s="9"/>
      <c r="S187" s="9"/>
      <c r="T187" t="s">
        <v>189</v>
      </c>
      <c r="U187">
        <f>N187/((N164/U186)^($C$27/($C$27-1)))</f>
        <v>239880.17744240852</v>
      </c>
    </row>
    <row r="188" spans="1:24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R188" s="9"/>
      <c r="S188" s="9"/>
      <c r="T188" t="s">
        <v>190</v>
      </c>
      <c r="U188">
        <f>U187+X185*K175^2/2</f>
        <v>269500.26663491019</v>
      </c>
    </row>
    <row r="189" spans="1:24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t="s">
        <v>24</v>
      </c>
      <c r="R189" s="9"/>
      <c r="S189" s="9"/>
      <c r="T189" s="9"/>
    </row>
    <row r="190" spans="1:24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N190" t="s">
        <v>224</v>
      </c>
      <c r="R190" s="9"/>
      <c r="S190" s="9"/>
      <c r="T190" s="9"/>
    </row>
    <row r="191" spans="1:24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O191" t="s">
        <v>198</v>
      </c>
      <c r="P191">
        <f>'Comp Design Parameters'!AA4</f>
        <v>0.9302136924112937</v>
      </c>
      <c r="R191" s="9"/>
      <c r="S191" s="9"/>
      <c r="T191" s="9"/>
    </row>
    <row r="192" spans="1:24" x14ac:dyDescent="0.25">
      <c r="T192" s="9"/>
    </row>
    <row r="193" spans="1:22" x14ac:dyDescent="0.25">
      <c r="T193" s="9"/>
    </row>
    <row r="194" spans="1:22" x14ac:dyDescent="0.25">
      <c r="N194" t="s">
        <v>135</v>
      </c>
      <c r="O194">
        <f>(1+P191*E160/N164)^($C$27/($C$27-1))</f>
        <v>1.136942679623397</v>
      </c>
      <c r="T194" s="9"/>
    </row>
    <row r="195" spans="1:22" x14ac:dyDescent="0.25">
      <c r="T195" s="9"/>
    </row>
    <row r="196" spans="1:22" x14ac:dyDescent="0.25">
      <c r="T196" s="9"/>
    </row>
    <row r="197" spans="1:22" x14ac:dyDescent="0.25">
      <c r="M197" t="s">
        <v>92</v>
      </c>
      <c r="N197">
        <f>N187*O194</f>
        <v>308053.83833408903</v>
      </c>
      <c r="T197" s="9"/>
    </row>
    <row r="198" spans="1:22" x14ac:dyDescent="0.25">
      <c r="M198" s="12" t="s">
        <v>141</v>
      </c>
      <c r="N198" s="12">
        <f>N197*(N186/N165)^($C$27/($C$27-1))</f>
        <v>252269.3949017406</v>
      </c>
      <c r="T198" s="9"/>
    </row>
    <row r="199" spans="1:22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 spans="1:22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 spans="1:22" x14ac:dyDescent="0.25">
      <c r="A201" s="9">
        <v>5</v>
      </c>
      <c r="B201" s="9" t="s">
        <v>162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x14ac:dyDescent="0.25">
      <c r="A202" s="9"/>
      <c r="B202" s="9"/>
      <c r="C202" t="s">
        <v>78</v>
      </c>
      <c r="D202" t="s">
        <v>28</v>
      </c>
      <c r="E202">
        <f>E75</f>
        <v>15.490000000000009</v>
      </c>
      <c r="F202" t="s">
        <v>31</v>
      </c>
      <c r="V202" s="9"/>
    </row>
    <row r="203" spans="1:22" x14ac:dyDescent="0.25">
      <c r="A203" s="9"/>
      <c r="B203" s="9"/>
      <c r="C203" t="s">
        <v>144</v>
      </c>
      <c r="D203" t="s">
        <v>28</v>
      </c>
      <c r="E203">
        <f>G75</f>
        <v>0.85</v>
      </c>
      <c r="V203" s="9"/>
    </row>
    <row r="204" spans="1:22" x14ac:dyDescent="0.25">
      <c r="A204" s="9"/>
      <c r="B204" s="9"/>
      <c r="C204" s="1" t="s">
        <v>140</v>
      </c>
      <c r="D204" s="1" t="s">
        <v>28</v>
      </c>
      <c r="E204" s="1">
        <v>0.62</v>
      </c>
      <c r="F204" s="1" t="s">
        <v>149</v>
      </c>
      <c r="V204" s="9"/>
    </row>
    <row r="205" spans="1:22" x14ac:dyDescent="0.25">
      <c r="A205" s="9"/>
      <c r="B205" s="9"/>
      <c r="V205" s="9"/>
    </row>
    <row r="206" spans="1:22" x14ac:dyDescent="0.25">
      <c r="A206" s="9"/>
      <c r="B206" s="9"/>
      <c r="G206" t="s">
        <v>3</v>
      </c>
      <c r="H206">
        <f>H164-($E$8-$E$9)/3</f>
        <v>1.0809000000000002</v>
      </c>
      <c r="J206" t="s">
        <v>80</v>
      </c>
      <c r="K206">
        <v>130.25</v>
      </c>
      <c r="M206" t="s">
        <v>93</v>
      </c>
      <c r="N206">
        <f>N165</f>
        <v>392.02</v>
      </c>
      <c r="P206" t="s">
        <v>130</v>
      </c>
      <c r="R206" s="11" t="s">
        <v>28</v>
      </c>
      <c r="S206">
        <f>E202*1005/(E203*K206*K207)</f>
        <v>0.55433012185709085</v>
      </c>
      <c r="V206" s="9"/>
    </row>
    <row r="207" spans="1:22" x14ac:dyDescent="0.25">
      <c r="A207" s="9"/>
      <c r="B207" s="9"/>
      <c r="G207" t="s">
        <v>36</v>
      </c>
      <c r="H207">
        <v>469.35</v>
      </c>
      <c r="J207" t="s">
        <v>18</v>
      </c>
      <c r="K207">
        <f>H207*H206/2</f>
        <v>253.66020750000007</v>
      </c>
      <c r="M207" t="s">
        <v>94</v>
      </c>
      <c r="N207">
        <f>N206+E202</f>
        <v>407.51</v>
      </c>
      <c r="P207" t="s">
        <v>127</v>
      </c>
      <c r="R207" t="s">
        <v>28</v>
      </c>
      <c r="S207">
        <f>E204*2*K207/K206</f>
        <v>2.4148841251439546</v>
      </c>
      <c r="V207" s="9"/>
    </row>
    <row r="208" spans="1:22" x14ac:dyDescent="0.25">
      <c r="A208" s="9"/>
      <c r="B208" s="9"/>
      <c r="M208" s="12" t="s">
        <v>126</v>
      </c>
      <c r="N208" s="12">
        <f>N198</f>
        <v>252269.3949017406</v>
      </c>
      <c r="P208" t="s">
        <v>128</v>
      </c>
      <c r="R208" t="s">
        <v>28</v>
      </c>
      <c r="S208">
        <f>(S206+S207)/2</f>
        <v>1.4846071235005227</v>
      </c>
      <c r="V208" s="9"/>
    </row>
    <row r="209" spans="1:22" x14ac:dyDescent="0.25">
      <c r="A209" s="9"/>
      <c r="B209" s="9"/>
      <c r="P209" t="s">
        <v>129</v>
      </c>
      <c r="R209" t="s">
        <v>28</v>
      </c>
      <c r="S209">
        <f>(S207-S206)/2</f>
        <v>0.93027700164343186</v>
      </c>
      <c r="V209" s="9"/>
    </row>
    <row r="210" spans="1:22" x14ac:dyDescent="0.25">
      <c r="A210" s="9"/>
      <c r="B210" s="9"/>
      <c r="V210" s="9"/>
    </row>
    <row r="211" spans="1:22" x14ac:dyDescent="0.25">
      <c r="A211" s="9"/>
      <c r="B211" s="9"/>
      <c r="J211" t="s">
        <v>83</v>
      </c>
      <c r="K211">
        <f>90-ATAN(K207/K206-TAN((K212-90)/180*3.14))/3.14*180</f>
        <v>65.14892351017788</v>
      </c>
      <c r="V211" s="9"/>
    </row>
    <row r="212" spans="1:22" x14ac:dyDescent="0.25">
      <c r="J212" t="s">
        <v>58</v>
      </c>
      <c r="K212">
        <f>ATAN(S208)/3.14*180+90</f>
        <v>146.06504716800222</v>
      </c>
    </row>
    <row r="213" spans="1:22" x14ac:dyDescent="0.25">
      <c r="J213" t="s">
        <v>52</v>
      </c>
      <c r="K213">
        <f>ATAN(S209)/3.14*180+90</f>
        <v>132.95310984483589</v>
      </c>
    </row>
    <row r="214" spans="1:22" x14ac:dyDescent="0.25">
      <c r="J214" t="s">
        <v>131</v>
      </c>
      <c r="K214">
        <f>90-ATAN(K207/K206-TAN((K213-90)/180*3.14))/3.14*180</f>
        <v>44.488109896811942</v>
      </c>
    </row>
    <row r="215" spans="1:22" x14ac:dyDescent="0.25">
      <c r="J215" t="s">
        <v>145</v>
      </c>
      <c r="K215">
        <f>K172</f>
        <v>38.592453799009085</v>
      </c>
    </row>
    <row r="217" spans="1:22" x14ac:dyDescent="0.25">
      <c r="C217" s="9"/>
      <c r="D217" s="9"/>
      <c r="E217" s="9"/>
      <c r="F217" s="9"/>
      <c r="G217" s="9"/>
      <c r="H217" s="9"/>
      <c r="I217" s="9"/>
      <c r="J217" t="s">
        <v>14</v>
      </c>
      <c r="K217">
        <f>K206/COS((90-K211)/180*3.14)</f>
        <v>143.52686938308381</v>
      </c>
      <c r="N217" s="9"/>
      <c r="O217" s="9"/>
      <c r="P217" s="9"/>
      <c r="Q217" s="9"/>
      <c r="R217" s="9"/>
      <c r="S217" s="9"/>
      <c r="T217" s="9"/>
      <c r="U217" s="9"/>
    </row>
    <row r="218" spans="1:22" x14ac:dyDescent="0.25">
      <c r="C218" s="9"/>
      <c r="D218" s="9"/>
      <c r="E218" s="9"/>
      <c r="F218" s="9"/>
      <c r="G218" s="9"/>
      <c r="H218" s="9"/>
      <c r="I218" s="9"/>
      <c r="J218" t="s">
        <v>15</v>
      </c>
      <c r="K218">
        <f>K206/COS((K212-90)/180*3.14)</f>
        <v>233.14598324285731</v>
      </c>
      <c r="N218" s="9"/>
      <c r="O218" s="9"/>
      <c r="P218" s="9"/>
      <c r="Q218" s="9"/>
      <c r="R218" s="9"/>
      <c r="S218" s="9"/>
      <c r="T218" s="9"/>
      <c r="U218" s="9"/>
    </row>
    <row r="219" spans="1:22" x14ac:dyDescent="0.25">
      <c r="C219" s="9"/>
      <c r="D219" s="9"/>
      <c r="E219" s="9"/>
      <c r="F219" s="9"/>
      <c r="G219" s="9"/>
      <c r="H219" s="9"/>
      <c r="I219" s="9"/>
      <c r="J219" t="s">
        <v>113</v>
      </c>
      <c r="K219">
        <f>K206/COS((90-K214)/180*3.14)</f>
        <v>185.79314841945788</v>
      </c>
      <c r="N219" s="9"/>
      <c r="O219" s="9"/>
      <c r="P219" s="9"/>
      <c r="Q219" s="9"/>
      <c r="R219" s="9"/>
      <c r="S219" s="9"/>
      <c r="T219" s="9"/>
      <c r="U219" s="9"/>
    </row>
    <row r="220" spans="1:22" x14ac:dyDescent="0.25">
      <c r="C220" s="9"/>
      <c r="D220" s="9"/>
      <c r="E220" s="9"/>
      <c r="F220" s="9"/>
      <c r="G220" s="9"/>
      <c r="H220" s="9"/>
      <c r="I220" s="9"/>
      <c r="J220" t="s">
        <v>136</v>
      </c>
      <c r="K220">
        <f>K206/COS((K213-90)/180*3.14)</f>
        <v>177.89571987357508</v>
      </c>
      <c r="N220" s="9"/>
      <c r="O220" s="9"/>
      <c r="P220" s="9"/>
      <c r="Q220" s="9"/>
      <c r="R220" s="9"/>
      <c r="S220" s="9"/>
      <c r="T220" s="9"/>
      <c r="U220" s="9"/>
    </row>
    <row r="221" spans="1:22" x14ac:dyDescent="0.25">
      <c r="C221" s="9"/>
      <c r="D221" s="9"/>
      <c r="E221" s="9"/>
      <c r="F221" s="9"/>
      <c r="G221" s="9"/>
      <c r="H221" s="9"/>
      <c r="I221" s="9"/>
      <c r="J221" t="s">
        <v>85</v>
      </c>
      <c r="K221">
        <f>K206/COS((90-K215)/180*3.14)</f>
        <v>208.68979035762283</v>
      </c>
      <c r="N221" s="9"/>
      <c r="O221" s="9"/>
      <c r="P221" s="9"/>
      <c r="Q221" s="9"/>
      <c r="R221" s="9"/>
      <c r="S221" s="9"/>
      <c r="T221" s="9"/>
      <c r="U221" s="9"/>
    </row>
    <row r="222" spans="1:22" x14ac:dyDescent="0.25">
      <c r="C222" s="9"/>
      <c r="D222" s="9"/>
      <c r="E222" s="9"/>
      <c r="F222" s="9"/>
      <c r="G222" s="9"/>
      <c r="H222" s="9"/>
      <c r="I222" s="9"/>
      <c r="J222" t="s">
        <v>132</v>
      </c>
      <c r="M222">
        <f>K212-K213</f>
        <v>13.11193732316633</v>
      </c>
      <c r="N222" s="9"/>
      <c r="O222" s="9"/>
      <c r="P222" s="9"/>
      <c r="Q222" s="9"/>
      <c r="R222" s="9"/>
      <c r="S222" s="9"/>
      <c r="T222" s="9"/>
      <c r="U222" s="9"/>
    </row>
    <row r="223" spans="1:22" x14ac:dyDescent="0.25">
      <c r="C223" s="9"/>
      <c r="D223" s="9"/>
      <c r="E223" s="9"/>
      <c r="F223" s="9"/>
      <c r="G223" s="9"/>
      <c r="H223" s="9"/>
      <c r="I223" s="9"/>
      <c r="J223" t="s">
        <v>133</v>
      </c>
      <c r="M223">
        <f>COS((K212-90)/180*3.14)/COS((K213-90)/180*3.14)</f>
        <v>0.76302288119743999</v>
      </c>
      <c r="N223" s="9"/>
      <c r="O223" s="9"/>
      <c r="P223" s="9"/>
      <c r="Q223" s="9"/>
      <c r="R223" s="9"/>
      <c r="S223" s="9"/>
      <c r="T223" s="9"/>
      <c r="U223" s="9"/>
    </row>
    <row r="224" spans="1:22" x14ac:dyDescent="0.25">
      <c r="C224" s="9"/>
      <c r="D224" s="9"/>
      <c r="E224" s="9"/>
      <c r="F224" s="9"/>
      <c r="G224" s="9"/>
      <c r="H224" s="9"/>
      <c r="I224" s="9"/>
      <c r="J224" t="s">
        <v>140</v>
      </c>
      <c r="M224">
        <f>K206/(2*K207)*(S207)</f>
        <v>0.62</v>
      </c>
      <c r="N224" s="9"/>
      <c r="O224" s="9"/>
      <c r="P224" s="9"/>
      <c r="Q224" s="9"/>
      <c r="R224" s="9"/>
      <c r="S224" s="9"/>
      <c r="T224" s="9"/>
      <c r="U224" s="9"/>
    </row>
    <row r="225" spans="3:24" x14ac:dyDescent="0.25">
      <c r="C225" s="9"/>
      <c r="D225" s="9"/>
      <c r="E225" s="9"/>
      <c r="F225" s="9"/>
      <c r="G225" s="9"/>
      <c r="H225" s="9"/>
      <c r="I225" s="9"/>
      <c r="J225" t="s">
        <v>143</v>
      </c>
      <c r="M225">
        <f>K206*(TAN((90-K214)/180*3.14)-TAN((90-K211)/180*3.14))</f>
        <v>72.20149837188616</v>
      </c>
      <c r="N225" s="9"/>
      <c r="O225" s="9"/>
      <c r="P225" s="9"/>
      <c r="Q225" s="9"/>
      <c r="R225" s="9"/>
      <c r="S225" s="9"/>
      <c r="T225" s="9"/>
      <c r="U225" s="9"/>
    </row>
    <row r="226" spans="3:24" x14ac:dyDescent="0.2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spans="3:24" x14ac:dyDescent="0.2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t="s">
        <v>16</v>
      </c>
      <c r="N227">
        <f>N206-0.5*K221^2/C28</f>
        <v>370.45988683192644</v>
      </c>
      <c r="P227" s="12" t="s">
        <v>139</v>
      </c>
      <c r="Q227" s="12">
        <f>N208/(N227*287)</f>
        <v>2.3726926178131933</v>
      </c>
      <c r="R227" s="9"/>
      <c r="S227" s="9"/>
      <c r="T227" t="s">
        <v>187</v>
      </c>
      <c r="U227">
        <f>N206</f>
        <v>392.02</v>
      </c>
      <c r="W227" t="s">
        <v>191</v>
      </c>
      <c r="X227">
        <f>U229/(U228*287)</f>
        <v>2.5612740782456234</v>
      </c>
    </row>
    <row r="228" spans="3:24" x14ac:dyDescent="0.2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t="s">
        <v>17</v>
      </c>
      <c r="N228">
        <f>N207-0.5*K219^2/C28</f>
        <v>390.42133960415111</v>
      </c>
      <c r="P228" t="s">
        <v>147</v>
      </c>
      <c r="Q228">
        <f>N240/(N228*287)</f>
        <v>2.6506697862103348</v>
      </c>
      <c r="R228" s="9"/>
      <c r="T228" t="s">
        <v>188</v>
      </c>
      <c r="U228">
        <f>U227-0.5*K217^2/$C$28</f>
        <v>381.82199889360948</v>
      </c>
    </row>
    <row r="229" spans="3:24" x14ac:dyDescent="0.2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t="s">
        <v>91</v>
      </c>
      <c r="N229">
        <f>N197</f>
        <v>308053.83833408903</v>
      </c>
      <c r="P229" s="9" t="s">
        <v>148</v>
      </c>
      <c r="Q229" s="9"/>
      <c r="R229" s="9">
        <f>N240+0.5*Q228*K219^2</f>
        <v>342759.35975606658</v>
      </c>
      <c r="S229" s="9"/>
      <c r="T229" t="s">
        <v>189</v>
      </c>
      <c r="U229">
        <f>N229/((N206/U228)^($C$27/($C$27-1)))</f>
        <v>280671.87623352761</v>
      </c>
    </row>
    <row r="230" spans="3:24" x14ac:dyDescent="0.25">
      <c r="C230" s="9"/>
      <c r="D230" s="9"/>
      <c r="E230" s="9"/>
      <c r="F230" s="9"/>
      <c r="G230" s="9"/>
      <c r="H230" s="9"/>
      <c r="I230" s="9"/>
      <c r="J230" s="9"/>
      <c r="K230" s="9"/>
      <c r="L230" s="9"/>
      <c r="R230" s="9"/>
      <c r="S230" s="9"/>
      <c r="T230" t="s">
        <v>190</v>
      </c>
      <c r="U230">
        <f>U229+X227*K217^2/2</f>
        <v>307052.95087608293</v>
      </c>
    </row>
    <row r="231" spans="3:24" x14ac:dyDescent="0.2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t="s">
        <v>24</v>
      </c>
      <c r="R231" s="9"/>
      <c r="S231" s="9"/>
      <c r="T231" s="9"/>
      <c r="U231" s="9"/>
    </row>
    <row r="232" spans="3:24" x14ac:dyDescent="0.25">
      <c r="C232" s="9"/>
      <c r="D232" s="9"/>
      <c r="E232" s="9"/>
      <c r="F232" s="9"/>
      <c r="G232" s="9"/>
      <c r="H232" s="9"/>
      <c r="I232" s="9"/>
      <c r="J232" s="9"/>
      <c r="K232" s="9"/>
      <c r="L232" s="9"/>
      <c r="N232" t="s">
        <v>224</v>
      </c>
      <c r="R232" s="9"/>
      <c r="S232" s="9"/>
      <c r="T232" s="9"/>
      <c r="U232" s="9"/>
    </row>
    <row r="233" spans="3:24" x14ac:dyDescent="0.25">
      <c r="C233" s="9"/>
      <c r="D233" s="9"/>
      <c r="E233" s="9"/>
      <c r="F233" s="9"/>
      <c r="G233" s="9"/>
      <c r="H233" s="9"/>
      <c r="I233" s="9"/>
      <c r="J233" s="9"/>
      <c r="K233" s="9"/>
      <c r="L233" s="9"/>
      <c r="O233" t="s">
        <v>198</v>
      </c>
      <c r="P233">
        <f>'Comp Design Parameters'!AB4</f>
        <v>0.89831832920842269</v>
      </c>
      <c r="R233" s="9"/>
      <c r="S233" s="9"/>
      <c r="T233" s="9"/>
      <c r="U233" s="9"/>
    </row>
    <row r="236" spans="3:24" x14ac:dyDescent="0.25">
      <c r="N236" t="s">
        <v>135</v>
      </c>
      <c r="O236">
        <f>(1+P233*E202/N206)^($C$27/($C$27-1))</f>
        <v>1.1310925672066643</v>
      </c>
    </row>
    <row r="239" spans="3:24" x14ac:dyDescent="0.25">
      <c r="M239" t="s">
        <v>92</v>
      </c>
      <c r="N239">
        <f>N229*O236</f>
        <v>348437.40683917148</v>
      </c>
    </row>
    <row r="240" spans="3:24" x14ac:dyDescent="0.25">
      <c r="M240" t="s">
        <v>141</v>
      </c>
      <c r="N240" s="4">
        <f>297010</f>
        <v>297010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8"/>
  <sheetViews>
    <sheetView zoomScale="130" zoomScaleNormal="130" workbookViewId="0">
      <selection activeCell="G491" sqref="G491"/>
    </sheetView>
  </sheetViews>
  <sheetFormatPr defaultRowHeight="15" x14ac:dyDescent="0.25"/>
  <cols>
    <col min="2" max="2" width="25.28515625" customWidth="1"/>
    <col min="3" max="3" width="14.7109375" customWidth="1"/>
    <col min="4" max="4" width="3.5703125" customWidth="1"/>
    <col min="7" max="7" width="13.85546875" customWidth="1"/>
    <col min="8" max="8" width="10.28515625" customWidth="1"/>
    <col min="10" max="10" width="12.85546875" bestFit="1" customWidth="1"/>
    <col min="13" max="13" width="10.7109375" customWidth="1"/>
    <col min="14" max="14" width="9.7109375" customWidth="1"/>
    <col min="15" max="15" width="10.7109375" customWidth="1"/>
    <col min="17" max="17" width="19.140625" customWidth="1"/>
    <col min="19" max="19" width="12.42578125" customWidth="1"/>
  </cols>
  <sheetData>
    <row r="1" spans="1:6" x14ac:dyDescent="0.25">
      <c r="A1" t="s">
        <v>20</v>
      </c>
    </row>
    <row r="2" spans="1:6" x14ac:dyDescent="0.25">
      <c r="A2" t="s">
        <v>163</v>
      </c>
    </row>
    <row r="3" spans="1:6" x14ac:dyDescent="0.25">
      <c r="B3" t="s">
        <v>22</v>
      </c>
      <c r="C3" t="s">
        <v>7</v>
      </c>
      <c r="D3" t="s">
        <v>28</v>
      </c>
      <c r="E3">
        <v>150</v>
      </c>
      <c r="F3" t="s">
        <v>8</v>
      </c>
    </row>
    <row r="4" spans="1:6" x14ac:dyDescent="0.25">
      <c r="B4" t="s">
        <v>23</v>
      </c>
      <c r="C4" t="s">
        <v>98</v>
      </c>
      <c r="D4" t="s">
        <v>28</v>
      </c>
      <c r="E4">
        <v>297010</v>
      </c>
      <c r="F4" t="s">
        <v>29</v>
      </c>
    </row>
    <row r="5" spans="1:6" x14ac:dyDescent="0.25">
      <c r="B5" t="s">
        <v>101</v>
      </c>
      <c r="C5" t="s">
        <v>175</v>
      </c>
      <c r="D5" t="s">
        <v>28</v>
      </c>
      <c r="E5">
        <v>3.0629</v>
      </c>
    </row>
    <row r="6" spans="1:6" x14ac:dyDescent="0.25">
      <c r="B6" t="s">
        <v>66</v>
      </c>
      <c r="C6" t="s">
        <v>67</v>
      </c>
      <c r="D6" t="s">
        <v>28</v>
      </c>
      <c r="E6">
        <v>407.51</v>
      </c>
      <c r="F6" t="s">
        <v>31</v>
      </c>
    </row>
    <row r="7" spans="1:6" x14ac:dyDescent="0.25">
      <c r="B7" t="s">
        <v>111</v>
      </c>
      <c r="C7" t="s">
        <v>70</v>
      </c>
      <c r="D7" t="s">
        <v>28</v>
      </c>
      <c r="E7">
        <v>576.89</v>
      </c>
      <c r="F7" t="s">
        <v>31</v>
      </c>
    </row>
    <row r="8" spans="1:6" x14ac:dyDescent="0.25">
      <c r="B8" t="s">
        <v>25</v>
      </c>
      <c r="C8" t="s">
        <v>12</v>
      </c>
      <c r="D8" t="s">
        <v>28</v>
      </c>
      <c r="E8">
        <v>1.0809</v>
      </c>
      <c r="F8" t="s">
        <v>34</v>
      </c>
    </row>
    <row r="9" spans="1:6" x14ac:dyDescent="0.25">
      <c r="B9" t="s">
        <v>26</v>
      </c>
      <c r="C9" t="s">
        <v>35</v>
      </c>
      <c r="D9" t="s">
        <v>28</v>
      </c>
      <c r="E9">
        <v>1.0129999999999999</v>
      </c>
      <c r="F9" t="s">
        <v>34</v>
      </c>
    </row>
    <row r="10" spans="1:6" x14ac:dyDescent="0.25">
      <c r="B10" t="s">
        <v>27</v>
      </c>
      <c r="C10" t="s">
        <v>36</v>
      </c>
      <c r="D10" t="s">
        <v>28</v>
      </c>
      <c r="E10">
        <v>469.35</v>
      </c>
      <c r="F10" t="s">
        <v>37</v>
      </c>
    </row>
    <row r="19" spans="1:4" x14ac:dyDescent="0.25">
      <c r="A19">
        <v>1</v>
      </c>
      <c r="B19" t="s">
        <v>38</v>
      </c>
    </row>
    <row r="20" spans="1:4" x14ac:dyDescent="0.25">
      <c r="A20" s="3" t="s">
        <v>155</v>
      </c>
      <c r="B20" t="s">
        <v>39</v>
      </c>
    </row>
    <row r="21" spans="1:4" x14ac:dyDescent="0.25">
      <c r="B21" s="2" t="s">
        <v>45</v>
      </c>
    </row>
    <row r="22" spans="1:4" x14ac:dyDescent="0.25">
      <c r="B22" s="2" t="s">
        <v>48</v>
      </c>
    </row>
    <row r="23" spans="1:4" x14ac:dyDescent="0.25">
      <c r="B23" s="2" t="s">
        <v>150</v>
      </c>
    </row>
    <row r="24" spans="1:4" x14ac:dyDescent="0.25">
      <c r="B24" s="2" t="s">
        <v>151</v>
      </c>
    </row>
    <row r="25" spans="1:4" x14ac:dyDescent="0.25">
      <c r="B25" s="2"/>
    </row>
    <row r="26" spans="1:4" x14ac:dyDescent="0.25">
      <c r="B26" s="3" t="s">
        <v>1</v>
      </c>
      <c r="C26">
        <v>287</v>
      </c>
      <c r="D26" t="s">
        <v>2</v>
      </c>
    </row>
    <row r="27" spans="1:4" x14ac:dyDescent="0.25">
      <c r="B27" s="3" t="s">
        <v>11</v>
      </c>
      <c r="C27">
        <v>1.39</v>
      </c>
    </row>
    <row r="28" spans="1:4" x14ac:dyDescent="0.25">
      <c r="B28" s="3" t="s">
        <v>19</v>
      </c>
      <c r="C28">
        <v>1030</v>
      </c>
      <c r="D28" t="s">
        <v>59</v>
      </c>
    </row>
    <row r="29" spans="1:4" x14ac:dyDescent="0.25">
      <c r="B29" s="2"/>
    </row>
    <row r="30" spans="1:4" x14ac:dyDescent="0.25">
      <c r="B30" s="2"/>
    </row>
    <row r="31" spans="1:4" x14ac:dyDescent="0.25">
      <c r="B31" s="2"/>
    </row>
    <row r="32" spans="1:4" x14ac:dyDescent="0.25">
      <c r="A32" s="3" t="s">
        <v>154</v>
      </c>
      <c r="B32" t="s">
        <v>102</v>
      </c>
    </row>
    <row r="33" spans="1:19" x14ac:dyDescent="0.25">
      <c r="A33" s="3"/>
      <c r="B33" s="1" t="s">
        <v>137</v>
      </c>
    </row>
    <row r="34" spans="1:19" x14ac:dyDescent="0.25">
      <c r="A34" s="3"/>
      <c r="B34" s="1" t="s">
        <v>140</v>
      </c>
      <c r="C34" s="1" t="s">
        <v>1</v>
      </c>
      <c r="D34" s="1" t="s">
        <v>28</v>
      </c>
      <c r="E34" s="1">
        <v>0.5</v>
      </c>
    </row>
    <row r="35" spans="1:19" x14ac:dyDescent="0.25">
      <c r="A35" s="3"/>
    </row>
    <row r="36" spans="1:19" x14ac:dyDescent="0.25">
      <c r="G36" t="s">
        <v>3</v>
      </c>
      <c r="H36">
        <f>E8</f>
        <v>1.0809</v>
      </c>
      <c r="J36" t="s">
        <v>80</v>
      </c>
      <c r="K36">
        <v>130.25</v>
      </c>
      <c r="M36" t="s">
        <v>93</v>
      </c>
      <c r="N36">
        <f>E6</f>
        <v>407.51</v>
      </c>
      <c r="P36" t="s">
        <v>157</v>
      </c>
      <c r="R36" s="11" t="s">
        <v>28</v>
      </c>
      <c r="S36">
        <f>K37/K36</f>
        <v>1.9474871976967372</v>
      </c>
    </row>
    <row r="37" spans="1:19" x14ac:dyDescent="0.25">
      <c r="B37" s="2"/>
      <c r="G37" t="s">
        <v>36</v>
      </c>
      <c r="H37">
        <v>469.35</v>
      </c>
      <c r="J37" t="s">
        <v>18</v>
      </c>
      <c r="K37">
        <f>H37*H36/2</f>
        <v>253.66020750000001</v>
      </c>
      <c r="M37" t="s">
        <v>94</v>
      </c>
      <c r="P37" t="s">
        <v>158</v>
      </c>
      <c r="R37" t="s">
        <v>28</v>
      </c>
      <c r="S37">
        <f>K37/K36</f>
        <v>1.9474871976967372</v>
      </c>
    </row>
    <row r="38" spans="1:19" x14ac:dyDescent="0.25">
      <c r="B38" s="2"/>
      <c r="M38" t="s">
        <v>126</v>
      </c>
      <c r="N38">
        <f>E4</f>
        <v>297010</v>
      </c>
      <c r="P38" t="s">
        <v>127</v>
      </c>
      <c r="R38" t="s">
        <v>28</v>
      </c>
      <c r="S38">
        <f>E34*2*K37/K36</f>
        <v>1.9474871976967372</v>
      </c>
    </row>
    <row r="39" spans="1:19" x14ac:dyDescent="0.25">
      <c r="B39" s="2"/>
    </row>
    <row r="40" spans="1:19" x14ac:dyDescent="0.25">
      <c r="B40" s="2"/>
    </row>
    <row r="41" spans="1:19" x14ac:dyDescent="0.25">
      <c r="I41" s="1" t="s">
        <v>137</v>
      </c>
      <c r="J41" s="1" t="s">
        <v>83</v>
      </c>
      <c r="K41" s="1">
        <v>57</v>
      </c>
    </row>
    <row r="42" spans="1:19" x14ac:dyDescent="0.25">
      <c r="J42" t="s">
        <v>58</v>
      </c>
      <c r="K42">
        <f>90+ATAN(S36-TAN((90-K41)/180*3.14))/3.14*180</f>
        <v>142.42589909538222</v>
      </c>
    </row>
    <row r="43" spans="1:19" x14ac:dyDescent="0.25">
      <c r="J43" t="s">
        <v>52</v>
      </c>
      <c r="K43">
        <f>90+ATAN(S38-TAN((K42-90)/180*3.14))/3.14*180</f>
        <v>123</v>
      </c>
    </row>
    <row r="44" spans="1:19" x14ac:dyDescent="0.25">
      <c r="J44" t="s">
        <v>131</v>
      </c>
      <c r="K44">
        <f>90-ATAN(S37-TAN((K43-90)/180*3.14))/3.14*180</f>
        <v>37.574100904617787</v>
      </c>
    </row>
    <row r="45" spans="1:19" x14ac:dyDescent="0.25">
      <c r="J45" t="s">
        <v>156</v>
      </c>
      <c r="K45">
        <f>'Comp IP Design'!K214</f>
        <v>44.488109896811942</v>
      </c>
    </row>
    <row r="47" spans="1:19" x14ac:dyDescent="0.25">
      <c r="J47" t="s">
        <v>14</v>
      </c>
      <c r="K47">
        <f>K36/COS((90-K41)/180*3.14)</f>
        <v>155.27588237115515</v>
      </c>
    </row>
    <row r="48" spans="1:19" x14ac:dyDescent="0.25">
      <c r="J48" t="s">
        <v>15</v>
      </c>
      <c r="K48">
        <f>K36/COS((K42-90)/180*3.14)</f>
        <v>213.47050597685623</v>
      </c>
    </row>
    <row r="49" spans="1:17" x14ac:dyDescent="0.25">
      <c r="J49" t="s">
        <v>113</v>
      </c>
      <c r="K49">
        <f>K36/COS((90-K44)/180*3.14)</f>
        <v>213.47050597685623</v>
      </c>
    </row>
    <row r="50" spans="1:17" x14ac:dyDescent="0.25">
      <c r="J50" t="s">
        <v>136</v>
      </c>
      <c r="K50">
        <f>K36/COS((K43-90)/180*3.14)</f>
        <v>155.27588237115515</v>
      </c>
    </row>
    <row r="51" spans="1:17" x14ac:dyDescent="0.25">
      <c r="J51" t="s">
        <v>85</v>
      </c>
      <c r="K51">
        <f>K36/COS((90-K45)/180*3.14)</f>
        <v>185.79314841945788</v>
      </c>
    </row>
    <row r="52" spans="1:17" x14ac:dyDescent="0.25">
      <c r="J52" t="s">
        <v>132</v>
      </c>
      <c r="M52">
        <f>K42-K43</f>
        <v>19.425899095382221</v>
      </c>
    </row>
    <row r="53" spans="1:17" x14ac:dyDescent="0.25">
      <c r="J53" t="s">
        <v>133</v>
      </c>
      <c r="M53">
        <f>COS((K42-90)/180*3.14)/COS((K43-90)/180*3.14)</f>
        <v>0.72738799048890457</v>
      </c>
    </row>
    <row r="54" spans="1:17" x14ac:dyDescent="0.25">
      <c r="J54" t="s">
        <v>140</v>
      </c>
      <c r="M54">
        <f>K36/(2*K37)*(S38)</f>
        <v>0.5</v>
      </c>
    </row>
    <row r="55" spans="1:17" x14ac:dyDescent="0.25">
      <c r="J55" t="s">
        <v>143</v>
      </c>
      <c r="M55">
        <f>K36*(TAN((90-K44)/180*3.14)-TAN((90-K41)/180*3.14))</f>
        <v>84.597649301671424</v>
      </c>
    </row>
    <row r="58" spans="1:17" x14ac:dyDescent="0.25">
      <c r="M58" t="s">
        <v>95</v>
      </c>
      <c r="N58">
        <f>K37*K36/C28*(TAN((K42-90)/180*3.14)-TAN((K43-90)/180*3.14))</f>
        <v>20.83403619016913</v>
      </c>
    </row>
    <row r="60" spans="1:17" x14ac:dyDescent="0.25">
      <c r="A60" s="3" t="s">
        <v>61</v>
      </c>
      <c r="B60" t="s">
        <v>62</v>
      </c>
    </row>
    <row r="61" spans="1:17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 x14ac:dyDescent="0.25">
      <c r="C62" s="10" t="s">
        <v>125</v>
      </c>
      <c r="D62" s="10" t="s">
        <v>28</v>
      </c>
      <c r="E62" s="10">
        <f>E7-E6</f>
        <v>169.38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 x14ac:dyDescent="0.25">
      <c r="A64" s="3" t="s">
        <v>71</v>
      </c>
      <c r="B64" t="s">
        <v>223</v>
      </c>
    </row>
    <row r="66" spans="2:7" x14ac:dyDescent="0.25">
      <c r="C66" t="s">
        <v>73</v>
      </c>
      <c r="D66" t="s">
        <v>28</v>
      </c>
      <c r="E66" t="s">
        <v>74</v>
      </c>
    </row>
    <row r="67" spans="2:7" x14ac:dyDescent="0.25">
      <c r="D67" t="s">
        <v>28</v>
      </c>
      <c r="E67">
        <f>E62/N58</f>
        <v>8.1299657183049643</v>
      </c>
    </row>
    <row r="68" spans="2:7" x14ac:dyDescent="0.25">
      <c r="B68" s="3" t="s">
        <v>75</v>
      </c>
      <c r="C68" t="s">
        <v>73</v>
      </c>
      <c r="D68" t="s">
        <v>28</v>
      </c>
      <c r="E68">
        <v>9</v>
      </c>
    </row>
    <row r="69" spans="2:7" x14ac:dyDescent="0.25">
      <c r="B69" s="3"/>
      <c r="C69" t="s">
        <v>160</v>
      </c>
      <c r="D69" t="s">
        <v>28</v>
      </c>
      <c r="E69">
        <f>E62/E68</f>
        <v>18.82</v>
      </c>
    </row>
    <row r="70" spans="2:7" x14ac:dyDescent="0.25">
      <c r="B70" s="3"/>
    </row>
    <row r="71" spans="2:7" x14ac:dyDescent="0.25">
      <c r="B71" s="3"/>
      <c r="G71" t="s">
        <v>221</v>
      </c>
    </row>
    <row r="72" spans="2:7" x14ac:dyDescent="0.25">
      <c r="B72" s="3" t="s">
        <v>76</v>
      </c>
      <c r="C72" t="s">
        <v>77</v>
      </c>
      <c r="D72" t="s">
        <v>28</v>
      </c>
      <c r="E72">
        <v>19</v>
      </c>
      <c r="F72" t="s">
        <v>31</v>
      </c>
      <c r="G72">
        <v>0.83</v>
      </c>
    </row>
    <row r="73" spans="2:7" x14ac:dyDescent="0.25">
      <c r="C73" t="s">
        <v>78</v>
      </c>
      <c r="D73" t="s">
        <v>28</v>
      </c>
      <c r="E73">
        <v>19</v>
      </c>
      <c r="F73" t="s">
        <v>31</v>
      </c>
      <c r="G73">
        <v>0.83</v>
      </c>
    </row>
    <row r="74" spans="2:7" x14ac:dyDescent="0.25">
      <c r="C74" t="s">
        <v>96</v>
      </c>
      <c r="D74" t="s">
        <v>28</v>
      </c>
      <c r="E74">
        <v>19</v>
      </c>
      <c r="F74" t="s">
        <v>31</v>
      </c>
      <c r="G74">
        <v>0.83</v>
      </c>
    </row>
    <row r="75" spans="2:7" x14ac:dyDescent="0.25">
      <c r="C75" t="s">
        <v>159</v>
      </c>
      <c r="D75" t="s">
        <v>28</v>
      </c>
      <c r="E75">
        <v>19</v>
      </c>
      <c r="F75" t="s">
        <v>31</v>
      </c>
      <c r="G75">
        <v>0.83</v>
      </c>
    </row>
    <row r="76" spans="2:7" x14ac:dyDescent="0.25">
      <c r="C76" t="s">
        <v>164</v>
      </c>
      <c r="D76" t="s">
        <v>28</v>
      </c>
      <c r="E76">
        <v>19</v>
      </c>
      <c r="F76" t="s">
        <v>31</v>
      </c>
      <c r="G76">
        <v>0.83</v>
      </c>
    </row>
    <row r="77" spans="2:7" x14ac:dyDescent="0.25">
      <c r="C77" t="s">
        <v>165</v>
      </c>
      <c r="D77" t="s">
        <v>28</v>
      </c>
      <c r="E77">
        <v>19</v>
      </c>
      <c r="F77" t="s">
        <v>31</v>
      </c>
      <c r="G77">
        <v>0.83</v>
      </c>
    </row>
    <row r="78" spans="2:7" x14ac:dyDescent="0.25">
      <c r="C78" t="s">
        <v>166</v>
      </c>
      <c r="D78" t="s">
        <v>28</v>
      </c>
      <c r="E78">
        <v>19</v>
      </c>
      <c r="F78" t="s">
        <v>31</v>
      </c>
      <c r="G78">
        <v>0.83</v>
      </c>
    </row>
    <row r="79" spans="2:7" x14ac:dyDescent="0.25">
      <c r="C79" t="s">
        <v>167</v>
      </c>
      <c r="D79" t="s">
        <v>28</v>
      </c>
      <c r="E79">
        <v>19</v>
      </c>
      <c r="F79" t="s">
        <v>31</v>
      </c>
      <c r="G79">
        <v>0.83</v>
      </c>
    </row>
    <row r="80" spans="2:7" x14ac:dyDescent="0.25">
      <c r="C80" t="s">
        <v>168</v>
      </c>
      <c r="D80" t="s">
        <v>28</v>
      </c>
      <c r="E80">
        <f>E62-SUM(E72:E79)</f>
        <v>17.379999999999995</v>
      </c>
      <c r="F80" t="s">
        <v>31</v>
      </c>
      <c r="G80">
        <v>0.83</v>
      </c>
    </row>
    <row r="83" spans="1:19" x14ac:dyDescent="0.25">
      <c r="A83">
        <v>2</v>
      </c>
      <c r="B83" t="s">
        <v>79</v>
      </c>
    </row>
    <row r="84" spans="1:19" x14ac:dyDescent="0.25">
      <c r="C84" t="s">
        <v>77</v>
      </c>
      <c r="D84" t="s">
        <v>28</v>
      </c>
      <c r="E84">
        <f>E72</f>
        <v>19</v>
      </c>
      <c r="F84" t="s">
        <v>31</v>
      </c>
    </row>
    <row r="85" spans="1:19" x14ac:dyDescent="0.25">
      <c r="C85" t="s">
        <v>144</v>
      </c>
      <c r="D85" t="s">
        <v>28</v>
      </c>
      <c r="E85">
        <f>G72</f>
        <v>0.83</v>
      </c>
    </row>
    <row r="86" spans="1:19" x14ac:dyDescent="0.25">
      <c r="C86" s="1" t="s">
        <v>140</v>
      </c>
      <c r="D86" s="1" t="s">
        <v>28</v>
      </c>
      <c r="E86" s="1">
        <v>0.5</v>
      </c>
    </row>
    <row r="88" spans="1:19" x14ac:dyDescent="0.25">
      <c r="G88" t="s">
        <v>3</v>
      </c>
      <c r="H88">
        <f>E8</f>
        <v>1.0809</v>
      </c>
      <c r="J88" t="s">
        <v>80</v>
      </c>
      <c r="K88">
        <v>130.25</v>
      </c>
      <c r="M88" t="s">
        <v>93</v>
      </c>
      <c r="N88">
        <f>E6</f>
        <v>407.51</v>
      </c>
      <c r="P88" t="s">
        <v>130</v>
      </c>
      <c r="R88" s="11" t="s">
        <v>28</v>
      </c>
      <c r="S88">
        <f>E84*C28/(E85*K88*K89)</f>
        <v>0.71364570754476808</v>
      </c>
    </row>
    <row r="89" spans="1:19" x14ac:dyDescent="0.25">
      <c r="B89" s="2"/>
      <c r="G89" t="s">
        <v>36</v>
      </c>
      <c r="H89">
        <v>469.35</v>
      </c>
      <c r="J89" t="s">
        <v>18</v>
      </c>
      <c r="K89">
        <f>H89*H88/2</f>
        <v>253.66020750000001</v>
      </c>
      <c r="M89" t="s">
        <v>94</v>
      </c>
      <c r="N89">
        <f>N88+E84</f>
        <v>426.51</v>
      </c>
      <c r="P89" t="s">
        <v>127</v>
      </c>
      <c r="R89" t="s">
        <v>28</v>
      </c>
      <c r="S89">
        <f>E86*2*K89/K88</f>
        <v>1.9474871976967372</v>
      </c>
    </row>
    <row r="90" spans="1:19" x14ac:dyDescent="0.25">
      <c r="B90" s="2"/>
      <c r="M90" t="s">
        <v>126</v>
      </c>
      <c r="N90">
        <f>E4</f>
        <v>297010</v>
      </c>
      <c r="P90" t="s">
        <v>128</v>
      </c>
      <c r="R90" t="s">
        <v>28</v>
      </c>
      <c r="S90">
        <f>(S88+S89)/2</f>
        <v>1.3305664526207526</v>
      </c>
    </row>
    <row r="91" spans="1:19" x14ac:dyDescent="0.25">
      <c r="B91" s="2"/>
      <c r="P91" t="s">
        <v>129</v>
      </c>
      <c r="R91" t="s">
        <v>28</v>
      </c>
      <c r="S91">
        <f>(S89-S88)/2</f>
        <v>0.6169207450759846</v>
      </c>
    </row>
    <row r="92" spans="1:19" x14ac:dyDescent="0.25">
      <c r="B92" s="2"/>
    </row>
    <row r="93" spans="1:19" x14ac:dyDescent="0.25">
      <c r="J93" t="s">
        <v>83</v>
      </c>
      <c r="K93">
        <f>90-ATAN(K89/K88-TAN((K94-90)/180*3.14))/3.14*180</f>
        <v>58.312639081595208</v>
      </c>
    </row>
    <row r="94" spans="1:19" x14ac:dyDescent="0.25">
      <c r="J94" t="s">
        <v>58</v>
      </c>
      <c r="K94">
        <f>ATAN(S90)/3.14*180+90</f>
        <v>143.09987483831162</v>
      </c>
    </row>
    <row r="95" spans="1:19" x14ac:dyDescent="0.25">
      <c r="J95" t="s">
        <v>52</v>
      </c>
      <c r="K95">
        <f>ATAN(S91)/3.14*180+90</f>
        <v>121.68736091840478</v>
      </c>
    </row>
    <row r="96" spans="1:19" x14ac:dyDescent="0.25">
      <c r="J96" t="s">
        <v>131</v>
      </c>
      <c r="K96">
        <f>90-ATAN(K89/K88-TAN((K95-90)/180*3.14))/3.14*180</f>
        <v>36.900125161688365</v>
      </c>
    </row>
    <row r="97" spans="10:24" x14ac:dyDescent="0.25">
      <c r="J97" t="s">
        <v>145</v>
      </c>
      <c r="K97">
        <f>'Comp IP Design'!K214</f>
        <v>44.488109896811942</v>
      </c>
    </row>
    <row r="99" spans="10:24" x14ac:dyDescent="0.25">
      <c r="J99" t="s">
        <v>14</v>
      </c>
      <c r="K99">
        <f>K88/COS((90-K93)/180*3.14)</f>
        <v>153.04187692176779</v>
      </c>
    </row>
    <row r="100" spans="10:24" x14ac:dyDescent="0.25">
      <c r="J100" t="s">
        <v>15</v>
      </c>
      <c r="K100">
        <f>K88/COS((K94-90)/180*3.14)</f>
        <v>216.79513219800282</v>
      </c>
    </row>
    <row r="101" spans="10:24" x14ac:dyDescent="0.25">
      <c r="J101" t="s">
        <v>113</v>
      </c>
      <c r="K101">
        <f>K88/COS((90-K96)/180*3.14)</f>
        <v>216.7951321980029</v>
      </c>
    </row>
    <row r="102" spans="10:24" x14ac:dyDescent="0.25">
      <c r="J102" t="s">
        <v>136</v>
      </c>
      <c r="K102">
        <f>K88/COS((K95-90)/180*3.14)</f>
        <v>153.04187692176777</v>
      </c>
    </row>
    <row r="103" spans="10:24" x14ac:dyDescent="0.25">
      <c r="J103" t="s">
        <v>85</v>
      </c>
      <c r="K103">
        <f>K88/COS((90-K97)/180*3.14)</f>
        <v>185.79314841945788</v>
      </c>
    </row>
    <row r="104" spans="10:24" x14ac:dyDescent="0.25">
      <c r="J104" t="s">
        <v>132</v>
      </c>
      <c r="M104">
        <f>K94-K95</f>
        <v>21.412513919906843</v>
      </c>
      <c r="T104" s="9"/>
      <c r="U104" s="9"/>
      <c r="V104" s="9"/>
      <c r="W104" s="9"/>
    </row>
    <row r="105" spans="10:24" x14ac:dyDescent="0.25">
      <c r="J105" t="s">
        <v>133</v>
      </c>
      <c r="M105">
        <f>COS((K94-90)/180*3.14)/COS((K95-90)/180*3.14)</f>
        <v>0.70592856661556369</v>
      </c>
      <c r="T105" s="9"/>
      <c r="U105" s="9"/>
      <c r="V105" s="9"/>
      <c r="W105" s="9"/>
    </row>
    <row r="106" spans="10:24" x14ac:dyDescent="0.25">
      <c r="J106" t="s">
        <v>140</v>
      </c>
      <c r="M106">
        <f>K88/(2*K89)*(S89)</f>
        <v>0.5</v>
      </c>
      <c r="T106" s="9"/>
      <c r="U106" s="9"/>
      <c r="V106" s="9"/>
      <c r="W106" s="9"/>
    </row>
    <row r="107" spans="10:24" x14ac:dyDescent="0.25">
      <c r="J107" t="s">
        <v>143</v>
      </c>
      <c r="M107">
        <f>K88*(TAN((90-K96)/180*3.14)-TAN((90-K93)/180*3.14))</f>
        <v>92.952353407705971</v>
      </c>
      <c r="T107" s="9"/>
      <c r="U107" s="9"/>
      <c r="V107" s="9"/>
      <c r="W107" s="9"/>
    </row>
    <row r="108" spans="10:24" x14ac:dyDescent="0.25">
      <c r="T108" s="9"/>
      <c r="U108" s="9"/>
      <c r="V108" s="9"/>
      <c r="W108" s="9"/>
    </row>
    <row r="109" spans="10:24" x14ac:dyDescent="0.25">
      <c r="M109" t="s">
        <v>16</v>
      </c>
      <c r="N109">
        <f>N88-0.5*K103^2/1005</f>
        <v>390.33632139322651</v>
      </c>
      <c r="P109" t="s">
        <v>139</v>
      </c>
      <c r="Q109">
        <f>N90/(N109*287)</f>
        <v>2.6512471221911915</v>
      </c>
      <c r="T109" t="s">
        <v>187</v>
      </c>
      <c r="U109">
        <f>N88</f>
        <v>407.51</v>
      </c>
      <c r="W109" t="s">
        <v>191</v>
      </c>
      <c r="X109">
        <f>U111/(U110*287)</f>
        <v>2.725653083847063</v>
      </c>
    </row>
    <row r="110" spans="10:24" x14ac:dyDescent="0.25">
      <c r="M110" t="s">
        <v>17</v>
      </c>
      <c r="N110">
        <f>N89-0.5*K101^2/1005</f>
        <v>403.12685107226389</v>
      </c>
      <c r="P110" s="12" t="s">
        <v>147</v>
      </c>
      <c r="Q110" s="12">
        <f>N122/(N110*287)</f>
        <v>2.8295747992293463</v>
      </c>
      <c r="T110" t="s">
        <v>188</v>
      </c>
      <c r="U110">
        <f>U109-0.5*K99^2/$C$28</f>
        <v>396.14018636323419</v>
      </c>
    </row>
    <row r="111" spans="10:24" x14ac:dyDescent="0.25">
      <c r="M111" t="s">
        <v>91</v>
      </c>
      <c r="N111">
        <f>N90+0.5*Q109*K103^2</f>
        <v>342769.32431356283</v>
      </c>
      <c r="T111" t="s">
        <v>189</v>
      </c>
      <c r="U111">
        <f>N111/((N88/U110)^($C$27/($C$27-1)))</f>
        <v>309885.58681125275</v>
      </c>
    </row>
    <row r="112" spans="10:24" x14ac:dyDescent="0.25">
      <c r="T112" t="s">
        <v>190</v>
      </c>
      <c r="U112">
        <f>U111+X109*K99^2/2</f>
        <v>341805.45944112435</v>
      </c>
    </row>
    <row r="113" spans="1:24" x14ac:dyDescent="0.25">
      <c r="M113" t="s">
        <v>24</v>
      </c>
      <c r="T113" s="9"/>
      <c r="U113" s="9"/>
      <c r="V113" s="9"/>
      <c r="W113" s="9"/>
    </row>
    <row r="114" spans="1:24" x14ac:dyDescent="0.25">
      <c r="N114" t="s">
        <v>224</v>
      </c>
      <c r="T114" s="9"/>
      <c r="U114" s="9"/>
      <c r="V114" s="9"/>
      <c r="W114" s="9"/>
    </row>
    <row r="115" spans="1:24" x14ac:dyDescent="0.25">
      <c r="O115" t="s">
        <v>198</v>
      </c>
      <c r="P115">
        <f>'Comp Design Parameters'!AC4</f>
        <v>0.95337700373079892</v>
      </c>
      <c r="T115" s="9"/>
      <c r="U115" s="9"/>
      <c r="V115" s="9"/>
      <c r="W115" s="9"/>
    </row>
    <row r="116" spans="1:24" x14ac:dyDescent="0.25">
      <c r="T116" s="9"/>
      <c r="U116" s="9"/>
      <c r="V116" s="9"/>
      <c r="W116" s="9"/>
    </row>
    <row r="117" spans="1:24" x14ac:dyDescent="0.25">
      <c r="T117" s="9"/>
      <c r="U117" s="9"/>
      <c r="V117" s="9"/>
      <c r="W117" s="9"/>
    </row>
    <row r="118" spans="1:24" x14ac:dyDescent="0.25">
      <c r="N118" t="s">
        <v>135</v>
      </c>
      <c r="O118">
        <f>(1+P115*E84/N88)^($C$27/($C$27-1))</f>
        <v>1.1676664078688952</v>
      </c>
      <c r="T118" s="9"/>
      <c r="U118" s="9"/>
      <c r="V118" s="9"/>
      <c r="W118" s="9"/>
    </row>
    <row r="119" spans="1:24" x14ac:dyDescent="0.25">
      <c r="T119" s="9"/>
      <c r="U119" s="9"/>
      <c r="V119" s="9"/>
      <c r="W119" s="9"/>
    </row>
    <row r="120" spans="1:24" x14ac:dyDescent="0.25">
      <c r="T120" s="9"/>
      <c r="U120" s="9"/>
      <c r="V120" s="9"/>
      <c r="W120" s="9"/>
    </row>
    <row r="121" spans="1:24" x14ac:dyDescent="0.25">
      <c r="M121" t="s">
        <v>92</v>
      </c>
      <c r="N121">
        <f>O118*N111</f>
        <v>400240.22564886627</v>
      </c>
    </row>
    <row r="122" spans="1:24" x14ac:dyDescent="0.25">
      <c r="M122" s="12" t="s">
        <v>141</v>
      </c>
      <c r="N122" s="12">
        <f>N121*(N110/N89)^($C$27/($C$27-1))</f>
        <v>327374.46508310002</v>
      </c>
    </row>
    <row r="123" spans="1:24" x14ac:dyDescent="0.25">
      <c r="A123">
        <v>3</v>
      </c>
      <c r="B123" t="s">
        <v>142</v>
      </c>
    </row>
    <row r="124" spans="1:24" x14ac:dyDescent="0.25">
      <c r="C124" t="s">
        <v>78</v>
      </c>
      <c r="D124" t="s">
        <v>28</v>
      </c>
      <c r="E124">
        <f>E73</f>
        <v>19</v>
      </c>
      <c r="F124" t="s">
        <v>31</v>
      </c>
    </row>
    <row r="125" spans="1:24" x14ac:dyDescent="0.25">
      <c r="C125" t="s">
        <v>144</v>
      </c>
      <c r="D125" t="s">
        <v>28</v>
      </c>
      <c r="E125">
        <f>G73</f>
        <v>0.83</v>
      </c>
    </row>
    <row r="126" spans="1:24" x14ac:dyDescent="0.25">
      <c r="C126" s="1" t="s">
        <v>140</v>
      </c>
      <c r="D126" s="1" t="s">
        <v>28</v>
      </c>
      <c r="E126" s="1">
        <v>0.5</v>
      </c>
    </row>
    <row r="128" spans="1:24" x14ac:dyDescent="0.25">
      <c r="G128" t="s">
        <v>3</v>
      </c>
      <c r="H128">
        <f>H88-($E$8-$E$9)/8</f>
        <v>1.0724125</v>
      </c>
      <c r="J128" t="s">
        <v>80</v>
      </c>
      <c r="K128">
        <v>130.25</v>
      </c>
      <c r="M128" t="s">
        <v>93</v>
      </c>
      <c r="N128">
        <f>N89</f>
        <v>426.51</v>
      </c>
      <c r="P128" t="s">
        <v>130</v>
      </c>
      <c r="R128" s="11" t="s">
        <v>28</v>
      </c>
      <c r="S128">
        <f>E124*1005/(E125*K128*K129)</f>
        <v>0.70183519714731335</v>
      </c>
      <c r="T128" s="9"/>
      <c r="U128" s="9"/>
      <c r="V128" s="9"/>
      <c r="W128" s="9"/>
      <c r="X128" s="9"/>
    </row>
    <row r="129" spans="1:24" x14ac:dyDescent="0.25">
      <c r="G129" t="s">
        <v>36</v>
      </c>
      <c r="H129">
        <v>469.35</v>
      </c>
      <c r="J129" t="s">
        <v>18</v>
      </c>
      <c r="K129">
        <f>H129*H128/2</f>
        <v>251.66840343750002</v>
      </c>
      <c r="M129" t="s">
        <v>94</v>
      </c>
      <c r="N129">
        <f>N128+E124</f>
        <v>445.51</v>
      </c>
      <c r="P129" t="s">
        <v>127</v>
      </c>
      <c r="R129" t="s">
        <v>28</v>
      </c>
      <c r="S129">
        <f>E126*2*K129/K128</f>
        <v>1.9321950359884839</v>
      </c>
      <c r="T129" s="9"/>
      <c r="U129" s="9"/>
      <c r="V129" s="9"/>
      <c r="W129" s="9"/>
      <c r="X129" s="9"/>
    </row>
    <row r="130" spans="1:24" x14ac:dyDescent="0.25">
      <c r="M130" s="12" t="s">
        <v>126</v>
      </c>
      <c r="N130" s="12">
        <f>N122</f>
        <v>327374.46508310002</v>
      </c>
      <c r="P130" t="s">
        <v>128</v>
      </c>
      <c r="R130" t="s">
        <v>28</v>
      </c>
      <c r="S130">
        <f>(S128+S129)/2</f>
        <v>1.3170151165678985</v>
      </c>
      <c r="T130" s="9"/>
      <c r="U130" s="9"/>
      <c r="V130" s="9"/>
      <c r="W130" s="9"/>
      <c r="X130" s="9"/>
    </row>
    <row r="131" spans="1:24" x14ac:dyDescent="0.25">
      <c r="P131" t="s">
        <v>129</v>
      </c>
      <c r="R131" t="s">
        <v>28</v>
      </c>
      <c r="S131">
        <f>(S129-S128)/2</f>
        <v>0.61517991942058525</v>
      </c>
      <c r="V131" s="9"/>
      <c r="W131" s="9"/>
      <c r="X131" s="9"/>
    </row>
    <row r="132" spans="1:24" x14ac:dyDescent="0.25">
      <c r="V132" s="9"/>
      <c r="W132" s="9"/>
      <c r="X132" s="9"/>
    </row>
    <row r="133" spans="1:24" x14ac:dyDescent="0.25">
      <c r="J133" t="s">
        <v>83</v>
      </c>
      <c r="K133">
        <f>90-ATAN(K129/K128-TAN((K134-90)/180*3.14))/3.14*180</f>
        <v>58.384977792993638</v>
      </c>
      <c r="V133" s="9"/>
      <c r="W133" s="9"/>
      <c r="X133" s="9"/>
    </row>
    <row r="134" spans="1:24" x14ac:dyDescent="0.25">
      <c r="J134" t="s">
        <v>58</v>
      </c>
      <c r="K134">
        <f>ATAN(S130)/3.14*180+90</f>
        <v>142.81763801191477</v>
      </c>
      <c r="V134" s="9"/>
      <c r="W134" s="9"/>
      <c r="X134" s="9"/>
    </row>
    <row r="135" spans="1:24" x14ac:dyDescent="0.25">
      <c r="J135" t="s">
        <v>52</v>
      </c>
      <c r="K135">
        <f>ATAN(S131)/3.14*180+90</f>
        <v>121.6150222070064</v>
      </c>
      <c r="V135" s="9"/>
      <c r="W135" s="9"/>
      <c r="X135" s="9"/>
    </row>
    <row r="136" spans="1:24" x14ac:dyDescent="0.25">
      <c r="J136" t="s">
        <v>131</v>
      </c>
      <c r="K136">
        <f>90-ATAN(K129/K128-TAN((K135-90)/180*3.14))/3.14*180</f>
        <v>37.182361988085248</v>
      </c>
      <c r="V136" s="9"/>
      <c r="W136" s="9"/>
      <c r="X136" s="9"/>
    </row>
    <row r="137" spans="1:24" x14ac:dyDescent="0.25">
      <c r="J137" t="s">
        <v>145</v>
      </c>
      <c r="K137">
        <f>K96</f>
        <v>36.900125161688365</v>
      </c>
      <c r="V137" s="9"/>
      <c r="W137" s="9"/>
      <c r="X137" s="9"/>
    </row>
    <row r="138" spans="1:24" x14ac:dyDescent="0.25">
      <c r="V138" s="9"/>
      <c r="W138" s="9"/>
      <c r="X138" s="9"/>
    </row>
    <row r="139" spans="1:24" x14ac:dyDescent="0.25">
      <c r="A139" s="9"/>
      <c r="B139" s="9"/>
      <c r="C139" s="9"/>
      <c r="D139" s="9"/>
      <c r="E139" s="9"/>
      <c r="F139" s="9"/>
      <c r="G139" s="9"/>
      <c r="H139" s="9"/>
      <c r="I139" s="9"/>
      <c r="J139" t="s">
        <v>14</v>
      </c>
      <c r="K139">
        <f>K128/COS((90-K133)/180*3.14)</f>
        <v>152.92294856110763</v>
      </c>
      <c r="N139" s="9"/>
      <c r="O139" s="9"/>
      <c r="P139" s="9"/>
      <c r="Q139" s="9"/>
      <c r="R139" s="9"/>
      <c r="S139" s="9"/>
      <c r="V139" s="9"/>
      <c r="W139" s="9"/>
      <c r="X139" s="9"/>
    </row>
    <row r="140" spans="1:24" x14ac:dyDescent="0.25">
      <c r="A140" s="9"/>
      <c r="B140" s="9"/>
      <c r="C140" s="9"/>
      <c r="D140" s="9"/>
      <c r="E140" s="9"/>
      <c r="F140" s="9"/>
      <c r="G140" s="9"/>
      <c r="H140" s="9"/>
      <c r="I140" s="9"/>
      <c r="J140" t="s">
        <v>15</v>
      </c>
      <c r="K140">
        <f>K128/COS((K134-90)/180*3.14)</f>
        <v>215.38675050478093</v>
      </c>
      <c r="N140" s="9"/>
      <c r="O140" s="9"/>
      <c r="P140" s="9"/>
      <c r="Q140" s="9"/>
      <c r="R140" s="9"/>
      <c r="S140" s="9"/>
      <c r="V140" s="9"/>
      <c r="W140" s="9"/>
      <c r="X140" s="9"/>
    </row>
    <row r="141" spans="1:24" x14ac:dyDescent="0.25">
      <c r="A141" s="9"/>
      <c r="B141" s="9"/>
      <c r="C141" s="9"/>
      <c r="D141" s="9"/>
      <c r="E141" s="9"/>
      <c r="F141" s="9"/>
      <c r="G141" s="9"/>
      <c r="H141" s="9"/>
      <c r="I141" s="9"/>
      <c r="J141" t="s">
        <v>113</v>
      </c>
      <c r="K141">
        <f>K128/COS((90-K136)/180*3.14)</f>
        <v>215.38675050478085</v>
      </c>
      <c r="N141" s="9"/>
      <c r="O141" s="9"/>
      <c r="P141" s="9"/>
      <c r="Q141" s="9"/>
      <c r="R141" s="9"/>
      <c r="S141" s="9"/>
    </row>
    <row r="142" spans="1:24" x14ac:dyDescent="0.25">
      <c r="A142" s="9"/>
      <c r="B142" s="9"/>
      <c r="C142" s="9"/>
      <c r="D142" s="9"/>
      <c r="E142" s="9"/>
      <c r="F142" s="9"/>
      <c r="G142" s="9"/>
      <c r="H142" s="9"/>
      <c r="I142" s="9"/>
      <c r="J142" t="s">
        <v>136</v>
      </c>
      <c r="K142">
        <f>K128/COS((K135-90)/180*3.14)</f>
        <v>152.92294856110772</v>
      </c>
      <c r="N142" s="9"/>
      <c r="O142" s="9"/>
      <c r="P142" s="9"/>
      <c r="Q142" s="9"/>
      <c r="R142" s="9"/>
      <c r="S142" s="9"/>
    </row>
    <row r="143" spans="1:24" x14ac:dyDescent="0.25">
      <c r="A143" s="9"/>
      <c r="B143" s="9"/>
      <c r="C143" s="9"/>
      <c r="D143" s="9"/>
      <c r="E143" s="9"/>
      <c r="F143" s="9"/>
      <c r="G143" s="9"/>
      <c r="H143" s="9"/>
      <c r="I143" s="9"/>
      <c r="J143" t="s">
        <v>85</v>
      </c>
      <c r="K143">
        <f>K128/COS((90-K137)/180*3.14)</f>
        <v>216.7951321980029</v>
      </c>
      <c r="N143" s="9"/>
      <c r="O143" s="9"/>
      <c r="P143" s="9"/>
      <c r="Q143" s="9"/>
      <c r="R143" s="9"/>
      <c r="S143" s="9"/>
    </row>
    <row r="144" spans="1:24" x14ac:dyDescent="0.25">
      <c r="A144" s="9"/>
      <c r="B144" s="9"/>
      <c r="C144" s="9"/>
      <c r="D144" s="9"/>
      <c r="E144" s="9"/>
      <c r="F144" s="9"/>
      <c r="G144" s="9"/>
      <c r="H144" s="9"/>
      <c r="I144" s="9"/>
      <c r="J144" t="s">
        <v>132</v>
      </c>
      <c r="M144">
        <f>K134-K135</f>
        <v>21.202615804908362</v>
      </c>
      <c r="N144" s="9"/>
      <c r="O144" s="9"/>
      <c r="P144" s="9"/>
      <c r="Q144" s="9"/>
      <c r="R144" s="9"/>
      <c r="S144" s="9"/>
    </row>
    <row r="145" spans="1:24" x14ac:dyDescent="0.25">
      <c r="A145" s="9"/>
      <c r="B145" s="9"/>
      <c r="C145" s="9"/>
      <c r="D145" s="9"/>
      <c r="E145" s="9"/>
      <c r="F145" s="9"/>
      <c r="G145" s="9"/>
      <c r="H145" s="9"/>
      <c r="I145" s="9"/>
      <c r="J145" t="s">
        <v>133</v>
      </c>
      <c r="M145">
        <f>COS((K134-90)/180*3.14)/COS((K135-90)/180*3.14)</f>
        <v>0.70999236583827519</v>
      </c>
      <c r="N145" s="9"/>
      <c r="O145" s="9"/>
      <c r="P145" s="9"/>
      <c r="Q145" s="9"/>
      <c r="R145" s="9"/>
      <c r="S145" s="9"/>
    </row>
    <row r="146" spans="1:24" x14ac:dyDescent="0.25">
      <c r="A146" s="9"/>
      <c r="B146" s="9"/>
      <c r="C146" s="9"/>
      <c r="D146" s="9"/>
      <c r="E146" s="9"/>
      <c r="F146" s="9"/>
      <c r="G146" s="9"/>
      <c r="H146" s="9"/>
      <c r="I146" s="9"/>
      <c r="J146" t="s">
        <v>140</v>
      </c>
      <c r="M146">
        <f>K128/(2*K129)*(S129)</f>
        <v>0.5</v>
      </c>
      <c r="N146" s="9"/>
      <c r="O146" s="9"/>
      <c r="P146" s="9"/>
      <c r="Q146" s="9"/>
      <c r="R146" s="9"/>
      <c r="S146" s="9"/>
      <c r="T146" s="9"/>
      <c r="U146" s="9"/>
    </row>
    <row r="147" spans="1:24" x14ac:dyDescent="0.25">
      <c r="A147" s="9"/>
      <c r="B147" s="9"/>
      <c r="C147" s="9"/>
      <c r="D147" s="9"/>
      <c r="E147" s="9"/>
      <c r="F147" s="9"/>
      <c r="G147" s="9"/>
      <c r="H147" s="9"/>
      <c r="I147" s="9"/>
      <c r="J147" t="s">
        <v>143</v>
      </c>
      <c r="M147">
        <f>K128*(TAN((90-K136)/180*3.14)-TAN((90-K133)/180*3.14))</f>
        <v>91.414034428437617</v>
      </c>
      <c r="N147" s="9"/>
      <c r="O147" s="9"/>
      <c r="P147" s="9"/>
      <c r="Q147" s="9"/>
      <c r="R147" s="9"/>
      <c r="S147" s="9"/>
      <c r="T147" s="9"/>
      <c r="U147" s="9"/>
    </row>
    <row r="148" spans="1:24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4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t="s">
        <v>16</v>
      </c>
      <c r="N149">
        <f>N128-0.5*K143^2/$C$28</f>
        <v>403.6944032307041</v>
      </c>
      <c r="P149" s="12" t="s">
        <v>139</v>
      </c>
      <c r="Q149" s="12">
        <f>N130/(N149*287)</f>
        <v>2.8255967126571306</v>
      </c>
      <c r="R149" s="9"/>
      <c r="S149" s="9"/>
      <c r="T149" t="s">
        <v>187</v>
      </c>
      <c r="U149">
        <f>N128</f>
        <v>426.51</v>
      </c>
      <c r="W149" t="s">
        <v>191</v>
      </c>
      <c r="X149">
        <f>U151/(U150*287)</f>
        <v>3.051186032839956</v>
      </c>
    </row>
    <row r="150" spans="1:24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t="s">
        <v>17</v>
      </c>
      <c r="N150">
        <f>N129-0.5*K141^2/$C$28</f>
        <v>422.98987752766567</v>
      </c>
      <c r="P150" s="12" t="s">
        <v>147</v>
      </c>
      <c r="Q150" s="12">
        <f>N162/(N150*287)</f>
        <v>3.166462316641617</v>
      </c>
      <c r="R150" s="9"/>
      <c r="S150" s="9"/>
      <c r="T150" t="s">
        <v>188</v>
      </c>
      <c r="U150">
        <f>U149-0.5*K139^2/$C$28</f>
        <v>415.15785038998877</v>
      </c>
    </row>
    <row r="151" spans="1:24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t="s">
        <v>91</v>
      </c>
      <c r="N151">
        <f>N121</f>
        <v>400240.22564886627</v>
      </c>
      <c r="R151" s="9"/>
      <c r="S151" s="9"/>
      <c r="T151" t="s">
        <v>189</v>
      </c>
      <c r="U151">
        <f>N151/((N128/U150)^($C$27/($C$27-1)))</f>
        <v>363549.74051119882</v>
      </c>
    </row>
    <row r="152" spans="1:24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R152" s="9"/>
      <c r="S152" s="9"/>
      <c r="T152" t="s">
        <v>190</v>
      </c>
      <c r="U152">
        <f>U151+X149*K139^2/2</f>
        <v>399226.386453958</v>
      </c>
    </row>
    <row r="153" spans="1:24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t="s">
        <v>24</v>
      </c>
      <c r="R153" s="9"/>
      <c r="S153" s="9"/>
      <c r="T153" s="9"/>
      <c r="U153" s="9"/>
    </row>
    <row r="154" spans="1:24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N154" t="s">
        <v>224</v>
      </c>
      <c r="R154" s="9"/>
      <c r="S154" s="9"/>
      <c r="T154" s="9"/>
      <c r="U154" s="9"/>
    </row>
    <row r="155" spans="1:24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O155" t="s">
        <v>198</v>
      </c>
      <c r="P155">
        <f>'Comp Design Parameters'!AD4</f>
        <v>0.92881242655761476</v>
      </c>
      <c r="R155" s="9"/>
      <c r="S155" s="9"/>
      <c r="T155" s="9"/>
      <c r="U155" s="9"/>
    </row>
    <row r="156" spans="1:24" x14ac:dyDescent="0.25">
      <c r="T156" s="9"/>
      <c r="U156" s="9"/>
    </row>
    <row r="157" spans="1:24" x14ac:dyDescent="0.25">
      <c r="T157" s="9"/>
      <c r="U157" s="9"/>
    </row>
    <row r="158" spans="1:24" x14ac:dyDescent="0.25">
      <c r="N158" t="s">
        <v>135</v>
      </c>
      <c r="O158">
        <f>(1+P155*E124/N128)^($C$27/($C$27-1))</f>
        <v>1.1554621340419213</v>
      </c>
      <c r="T158" s="9"/>
      <c r="U158" s="9"/>
    </row>
    <row r="159" spans="1:24" x14ac:dyDescent="0.25">
      <c r="T159" s="9"/>
      <c r="U159" s="9"/>
    </row>
    <row r="160" spans="1:24" x14ac:dyDescent="0.25">
      <c r="T160" s="9"/>
      <c r="U160" s="9"/>
    </row>
    <row r="161" spans="1:21" x14ac:dyDescent="0.25">
      <c r="M161" t="s">
        <v>92</v>
      </c>
      <c r="N161">
        <f>N151*O158</f>
        <v>462462.42525765917</v>
      </c>
      <c r="T161" s="9"/>
      <c r="U161" s="9"/>
    </row>
    <row r="162" spans="1:21" x14ac:dyDescent="0.25">
      <c r="M162" s="12" t="s">
        <v>141</v>
      </c>
      <c r="N162" s="12">
        <f>N161*(N150/N129)^($C$27/($C$27-1))</f>
        <v>384402.49265600316</v>
      </c>
      <c r="T162" s="9"/>
      <c r="U162" s="9"/>
    </row>
    <row r="163" spans="1:2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 spans="1:2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 spans="1:21" x14ac:dyDescent="0.25">
      <c r="A165">
        <v>4</v>
      </c>
      <c r="B165" t="s">
        <v>161</v>
      </c>
    </row>
    <row r="166" spans="1:21" x14ac:dyDescent="0.25">
      <c r="C166" t="s">
        <v>78</v>
      </c>
      <c r="D166" t="s">
        <v>28</v>
      </c>
      <c r="E166">
        <f>E74</f>
        <v>19</v>
      </c>
      <c r="F166" t="s">
        <v>31</v>
      </c>
    </row>
    <row r="167" spans="1:21" x14ac:dyDescent="0.25">
      <c r="C167" t="s">
        <v>144</v>
      </c>
      <c r="D167" t="s">
        <v>28</v>
      </c>
      <c r="E167">
        <f>G74</f>
        <v>0.83</v>
      </c>
    </row>
    <row r="168" spans="1:21" x14ac:dyDescent="0.25">
      <c r="C168" s="1" t="s">
        <v>140</v>
      </c>
      <c r="D168" s="1" t="s">
        <v>28</v>
      </c>
      <c r="E168" s="1">
        <v>0.5</v>
      </c>
    </row>
    <row r="170" spans="1:21" x14ac:dyDescent="0.25">
      <c r="G170" t="s">
        <v>3</v>
      </c>
      <c r="H170">
        <f>H128-($E$8-$E$9)/8</f>
        <v>1.063925</v>
      </c>
      <c r="J170" t="s">
        <v>80</v>
      </c>
      <c r="K170">
        <v>130.25</v>
      </c>
      <c r="M170" t="s">
        <v>93</v>
      </c>
      <c r="N170">
        <f>N129</f>
        <v>445.51</v>
      </c>
      <c r="P170" t="s">
        <v>130</v>
      </c>
      <c r="R170" s="11" t="s">
        <v>28</v>
      </c>
      <c r="S170">
        <f>E166*1005/(E167*K170*K171)</f>
        <v>0.70743411270601142</v>
      </c>
      <c r="T170" s="9"/>
    </row>
    <row r="171" spans="1:21" x14ac:dyDescent="0.25">
      <c r="G171" t="s">
        <v>36</v>
      </c>
      <c r="H171">
        <v>469.35</v>
      </c>
      <c r="J171" t="s">
        <v>18</v>
      </c>
      <c r="K171">
        <f>H171*H170/2</f>
        <v>249.67659937500002</v>
      </c>
      <c r="M171" t="s">
        <v>94</v>
      </c>
      <c r="N171">
        <f>N170+E166</f>
        <v>464.51</v>
      </c>
      <c r="P171" t="s">
        <v>127</v>
      </c>
      <c r="R171" t="s">
        <v>28</v>
      </c>
      <c r="S171">
        <f>E168*2*K171/K170</f>
        <v>1.9169028742802305</v>
      </c>
      <c r="T171" s="9"/>
    </row>
    <row r="172" spans="1:21" x14ac:dyDescent="0.25">
      <c r="M172" s="12" t="s">
        <v>126</v>
      </c>
      <c r="N172" s="12">
        <f>N162</f>
        <v>384402.49265600316</v>
      </c>
      <c r="P172" t="s">
        <v>128</v>
      </c>
      <c r="R172" t="s">
        <v>28</v>
      </c>
      <c r="S172">
        <f>(S170+S171)/2</f>
        <v>1.312168493493121</v>
      </c>
      <c r="T172" s="9"/>
    </row>
    <row r="173" spans="1:21" x14ac:dyDescent="0.25">
      <c r="P173" t="s">
        <v>129</v>
      </c>
      <c r="R173" t="s">
        <v>28</v>
      </c>
      <c r="S173">
        <f>(S171-S170)/2</f>
        <v>0.6047343807871095</v>
      </c>
    </row>
    <row r="175" spans="1:21" x14ac:dyDescent="0.25">
      <c r="J175" t="s">
        <v>83</v>
      </c>
      <c r="K175">
        <f>90-ATAN(K171/K170-TAN((K176-90)/180*3.14))/3.14*180</f>
        <v>58.821397870674502</v>
      </c>
    </row>
    <row r="176" spans="1:21" x14ac:dyDescent="0.25">
      <c r="J176" t="s">
        <v>58</v>
      </c>
      <c r="K176">
        <f>ATAN(S172)/3.14*180+90</f>
        <v>142.71579902307121</v>
      </c>
    </row>
    <row r="177" spans="1:24" x14ac:dyDescent="0.25">
      <c r="J177" t="s">
        <v>52</v>
      </c>
      <c r="K177">
        <f>ATAN(S173)/3.14*180+90</f>
        <v>121.17860212932547</v>
      </c>
    </row>
    <row r="178" spans="1:24" x14ac:dyDescent="0.25">
      <c r="J178" t="s">
        <v>131</v>
      </c>
      <c r="K178">
        <f>90-ATAN(K171/K170-TAN((K177-90)/180*3.14))/3.14*180</f>
        <v>37.28420097692878</v>
      </c>
    </row>
    <row r="179" spans="1:24" x14ac:dyDescent="0.25">
      <c r="J179" t="s">
        <v>145</v>
      </c>
      <c r="K179">
        <f>K136</f>
        <v>37.182361988085248</v>
      </c>
    </row>
    <row r="181" spans="1:24" x14ac:dyDescent="0.25">
      <c r="A181" s="9"/>
      <c r="B181" s="9"/>
      <c r="C181" s="9"/>
      <c r="D181" s="9"/>
      <c r="E181" s="9"/>
      <c r="F181" s="9"/>
      <c r="G181" s="9"/>
      <c r="H181" s="9"/>
      <c r="I181" s="9"/>
      <c r="J181" t="s">
        <v>14</v>
      </c>
      <c r="K181">
        <f>K170/COS((90-K175)/180*3.14)</f>
        <v>152.21448071778593</v>
      </c>
      <c r="N181" s="9"/>
      <c r="O181" s="9"/>
      <c r="P181" s="9"/>
      <c r="Q181" s="9"/>
      <c r="R181" s="9"/>
      <c r="S181" s="9"/>
    </row>
    <row r="182" spans="1:24" x14ac:dyDescent="0.25">
      <c r="A182" s="9"/>
      <c r="B182" s="9"/>
      <c r="C182" s="9"/>
      <c r="D182" s="9"/>
      <c r="E182" s="9"/>
      <c r="F182" s="9"/>
      <c r="G182" s="9"/>
      <c r="H182" s="9"/>
      <c r="I182" s="9"/>
      <c r="J182" t="s">
        <v>15</v>
      </c>
      <c r="K182">
        <f>K170/COS((K176-90)/180*3.14)</f>
        <v>214.88432291949721</v>
      </c>
      <c r="N182" s="9"/>
      <c r="O182" s="9"/>
      <c r="P182" s="9"/>
      <c r="Q182" s="9"/>
      <c r="R182" s="9"/>
      <c r="S182" s="9"/>
    </row>
    <row r="183" spans="1:24" x14ac:dyDescent="0.25">
      <c r="A183" s="9"/>
      <c r="B183" s="9"/>
      <c r="C183" s="9"/>
      <c r="D183" s="9"/>
      <c r="E183" s="9"/>
      <c r="F183" s="9"/>
      <c r="G183" s="9"/>
      <c r="H183" s="9"/>
      <c r="I183" s="9"/>
      <c r="J183" t="s">
        <v>113</v>
      </c>
      <c r="K183">
        <f>K170/COS((90-K178)/180*3.14)</f>
        <v>214.88432291949724</v>
      </c>
      <c r="N183" s="9"/>
      <c r="O183" s="9"/>
      <c r="P183" s="9"/>
      <c r="Q183" s="9"/>
      <c r="R183" s="9"/>
      <c r="S183" s="9"/>
    </row>
    <row r="184" spans="1:24" x14ac:dyDescent="0.25">
      <c r="A184" s="9"/>
      <c r="B184" s="9"/>
      <c r="C184" s="9"/>
      <c r="D184" s="9"/>
      <c r="E184" s="9"/>
      <c r="F184" s="9"/>
      <c r="G184" s="9"/>
      <c r="H184" s="9"/>
      <c r="I184" s="9"/>
      <c r="J184" t="s">
        <v>136</v>
      </c>
      <c r="K184">
        <f>K170/COS((K177-90)/180*3.14)</f>
        <v>152.21448071778588</v>
      </c>
      <c r="N184" s="9"/>
      <c r="O184" s="9"/>
      <c r="P184" s="9"/>
      <c r="Q184" s="9"/>
      <c r="R184" s="9"/>
      <c r="S184" s="9"/>
    </row>
    <row r="185" spans="1:24" x14ac:dyDescent="0.25">
      <c r="A185" s="9"/>
      <c r="B185" s="9"/>
      <c r="C185" s="9"/>
      <c r="D185" s="9"/>
      <c r="E185" s="9"/>
      <c r="F185" s="9"/>
      <c r="G185" s="9"/>
      <c r="H185" s="9"/>
      <c r="I185" s="9"/>
      <c r="J185" t="s">
        <v>85</v>
      </c>
      <c r="K185">
        <f>K170/COS((90-K179)/180*3.14)</f>
        <v>215.38675050478085</v>
      </c>
      <c r="N185" s="9"/>
      <c r="O185" s="9"/>
      <c r="P185" s="9"/>
      <c r="Q185" s="9"/>
      <c r="R185" s="9"/>
      <c r="S185" s="9"/>
    </row>
    <row r="186" spans="1:24" x14ac:dyDescent="0.25">
      <c r="A186" s="9"/>
      <c r="B186" s="9"/>
      <c r="C186" s="9"/>
      <c r="D186" s="9"/>
      <c r="E186" s="9"/>
      <c r="F186" s="9"/>
      <c r="G186" s="9"/>
      <c r="H186" s="9"/>
      <c r="I186" s="9"/>
      <c r="J186" t="s">
        <v>132</v>
      </c>
      <c r="M186">
        <f>K176-K177</f>
        <v>21.537196893745744</v>
      </c>
      <c r="N186" s="9"/>
      <c r="O186" s="9"/>
      <c r="P186" s="9"/>
      <c r="Q186" s="9"/>
      <c r="R186" s="9"/>
      <c r="S186" s="9"/>
    </row>
    <row r="187" spans="1:24" x14ac:dyDescent="0.25">
      <c r="A187" s="9"/>
      <c r="B187" s="9"/>
      <c r="C187" s="9"/>
      <c r="D187" s="9"/>
      <c r="E187" s="9"/>
      <c r="F187" s="9"/>
      <c r="G187" s="9"/>
      <c r="H187" s="9"/>
      <c r="I187" s="9"/>
      <c r="J187" t="s">
        <v>133</v>
      </c>
      <c r="M187">
        <f>COS((K176-90)/180*3.14)/COS((K177-90)/180*3.14)</f>
        <v>0.7083554474786441</v>
      </c>
      <c r="N187" s="9"/>
      <c r="O187" s="9"/>
      <c r="P187" s="9"/>
      <c r="Q187" s="9"/>
      <c r="R187" s="9"/>
      <c r="S187" s="9"/>
    </row>
    <row r="188" spans="1:24" x14ac:dyDescent="0.25">
      <c r="A188" s="9"/>
      <c r="B188" s="9"/>
      <c r="C188" s="9"/>
      <c r="D188" s="9"/>
      <c r="E188" s="9"/>
      <c r="F188" s="9"/>
      <c r="G188" s="9"/>
      <c r="H188" s="9"/>
      <c r="I188" s="9"/>
      <c r="J188" t="s">
        <v>140</v>
      </c>
      <c r="M188">
        <f>K170/(2*K171)*(S171)</f>
        <v>0.5</v>
      </c>
      <c r="N188" s="9"/>
      <c r="O188" s="9"/>
      <c r="P188" s="9"/>
      <c r="Q188" s="9"/>
      <c r="R188" s="9"/>
      <c r="S188" s="9"/>
      <c r="T188" s="9"/>
    </row>
    <row r="189" spans="1:24" x14ac:dyDescent="0.25">
      <c r="A189" s="9"/>
      <c r="B189" s="9"/>
      <c r="C189" s="9"/>
      <c r="D189" s="9"/>
      <c r="E189" s="9"/>
      <c r="F189" s="9"/>
      <c r="G189" s="9"/>
      <c r="H189" s="9"/>
      <c r="I189" s="9"/>
      <c r="J189" t="s">
        <v>143</v>
      </c>
      <c r="M189">
        <f>K170*(TAN((90-K178)/180*3.14)-TAN((90-K175)/180*3.14))</f>
        <v>92.143293179957993</v>
      </c>
      <c r="N189" s="9"/>
      <c r="O189" s="9"/>
      <c r="P189" s="9"/>
      <c r="Q189" s="9"/>
      <c r="R189" s="9"/>
      <c r="S189" s="9"/>
      <c r="T189" s="9"/>
    </row>
    <row r="190" spans="1:24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4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t="s">
        <v>16</v>
      </c>
      <c r="N191">
        <f>N170-0.5*K185^2/$C$28</f>
        <v>422.98987752766567</v>
      </c>
      <c r="P191" s="12" t="s">
        <v>139</v>
      </c>
      <c r="Q191" s="12">
        <f>N172/(N191*287)</f>
        <v>3.166462316641617</v>
      </c>
      <c r="R191" s="9"/>
      <c r="S191" s="9"/>
      <c r="T191" t="s">
        <v>187</v>
      </c>
      <c r="U191">
        <f>N170</f>
        <v>445.51</v>
      </c>
      <c r="W191" t="s">
        <v>191</v>
      </c>
      <c r="X191">
        <f>U193/(U192*287)</f>
        <v>3.3873740769122236</v>
      </c>
    </row>
    <row r="192" spans="1:24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t="s">
        <v>17</v>
      </c>
      <c r="N192">
        <f>N171-0.5*K183^2/$C$28</f>
        <v>442.09481930263553</v>
      </c>
      <c r="P192" s="12" t="s">
        <v>147</v>
      </c>
      <c r="Q192" s="12">
        <f>N204/(N192*287)</f>
        <v>3.5099437883692279</v>
      </c>
      <c r="R192" s="9"/>
      <c r="S192" s="9"/>
      <c r="T192" t="s">
        <v>188</v>
      </c>
      <c r="U192">
        <f>U191-0.5*K181^2/$C$28</f>
        <v>434.26279216495863</v>
      </c>
    </row>
    <row r="193" spans="1:22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t="s">
        <v>91</v>
      </c>
      <c r="N193">
        <f>N161</f>
        <v>462462.42525765917</v>
      </c>
      <c r="R193" s="9"/>
      <c r="S193" s="9"/>
      <c r="T193" t="s">
        <v>189</v>
      </c>
      <c r="U193">
        <f>N193/((N170/U192)^($C$27/($C$27-1)))</f>
        <v>422180.02060241817</v>
      </c>
    </row>
    <row r="194" spans="1:22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R194" s="9"/>
      <c r="S194" s="9"/>
      <c r="T194" t="s">
        <v>190</v>
      </c>
      <c r="U194">
        <f>U193+X191*K181^2/2</f>
        <v>461421.47586822324</v>
      </c>
    </row>
    <row r="195" spans="1:22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t="s">
        <v>24</v>
      </c>
      <c r="R195" s="9"/>
      <c r="S195" s="9"/>
      <c r="T195" s="9"/>
    </row>
    <row r="196" spans="1:22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N196" t="s">
        <v>224</v>
      </c>
      <c r="R196" s="9"/>
      <c r="S196" s="9"/>
      <c r="T196" s="9"/>
    </row>
    <row r="197" spans="1:22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O197" t="s">
        <v>198</v>
      </c>
      <c r="P197">
        <f>'Comp Design Parameters'!AE4</f>
        <v>0.92953762478689295</v>
      </c>
      <c r="R197" s="9"/>
      <c r="S197" s="9"/>
      <c r="T197" s="9"/>
    </row>
    <row r="198" spans="1:22" x14ac:dyDescent="0.25">
      <c r="T198" s="9"/>
    </row>
    <row r="199" spans="1:22" x14ac:dyDescent="0.25">
      <c r="T199" s="9"/>
    </row>
    <row r="200" spans="1:22" x14ac:dyDescent="0.25">
      <c r="N200" t="s">
        <v>135</v>
      </c>
      <c r="O200">
        <f>(1+P197*E166/N170)^($C$27/($C$27-1))</f>
        <v>1.1486208079088291</v>
      </c>
      <c r="T200" s="9"/>
    </row>
    <row r="201" spans="1:22" x14ac:dyDescent="0.25">
      <c r="T201" s="9"/>
    </row>
    <row r="202" spans="1:22" x14ac:dyDescent="0.25">
      <c r="T202" s="9"/>
    </row>
    <row r="203" spans="1:22" x14ac:dyDescent="0.25">
      <c r="M203" t="s">
        <v>92</v>
      </c>
      <c r="N203">
        <f>N193*O200</f>
        <v>531193.96452692896</v>
      </c>
      <c r="T203" s="9"/>
    </row>
    <row r="204" spans="1:22" x14ac:dyDescent="0.25">
      <c r="M204" s="12" t="s">
        <v>141</v>
      </c>
      <c r="N204" s="12">
        <f>N203*(N192/N171)^($C$27/($C$27-1))</f>
        <v>445345.92592099099</v>
      </c>
      <c r="T204" s="9"/>
    </row>
    <row r="205" spans="1:22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 spans="1:22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 spans="1:22" x14ac:dyDescent="0.25">
      <c r="A207">
        <v>5</v>
      </c>
      <c r="B207" t="s">
        <v>169</v>
      </c>
      <c r="U207" s="9"/>
      <c r="V207" s="9"/>
    </row>
    <row r="208" spans="1:22" x14ac:dyDescent="0.25">
      <c r="C208" t="s">
        <v>159</v>
      </c>
      <c r="D208" t="s">
        <v>28</v>
      </c>
      <c r="E208">
        <f>E75</f>
        <v>19</v>
      </c>
      <c r="F208" t="s">
        <v>31</v>
      </c>
      <c r="V208" s="9"/>
    </row>
    <row r="209" spans="1:22" x14ac:dyDescent="0.25">
      <c r="C209" t="s">
        <v>144</v>
      </c>
      <c r="D209" t="s">
        <v>28</v>
      </c>
      <c r="E209">
        <f>G75</f>
        <v>0.83</v>
      </c>
      <c r="V209" s="9"/>
    </row>
    <row r="210" spans="1:22" x14ac:dyDescent="0.25">
      <c r="C210" s="1" t="s">
        <v>140</v>
      </c>
      <c r="D210" s="1" t="s">
        <v>28</v>
      </c>
      <c r="E210" s="1">
        <v>0.5</v>
      </c>
      <c r="V210" s="9"/>
    </row>
    <row r="211" spans="1:22" x14ac:dyDescent="0.25">
      <c r="V211" s="9"/>
    </row>
    <row r="212" spans="1:22" x14ac:dyDescent="0.25">
      <c r="G212" t="s">
        <v>3</v>
      </c>
      <c r="H212">
        <f>H170-($E$8-$E$9)/8</f>
        <v>1.0554375</v>
      </c>
      <c r="J212" t="s">
        <v>80</v>
      </c>
      <c r="K212">
        <v>130.25</v>
      </c>
      <c r="M212" t="s">
        <v>93</v>
      </c>
      <c r="N212">
        <f>N171</f>
        <v>464.51</v>
      </c>
      <c r="P212" t="s">
        <v>130</v>
      </c>
      <c r="R212" s="11" t="s">
        <v>28</v>
      </c>
      <c r="S212">
        <f>E208*1005/(E209*K212*K213)</f>
        <v>0.71312307773860906</v>
      </c>
      <c r="T212" s="9"/>
      <c r="V212" s="9"/>
    </row>
    <row r="213" spans="1:22" x14ac:dyDescent="0.25">
      <c r="G213" t="s">
        <v>36</v>
      </c>
      <c r="H213">
        <v>469.35</v>
      </c>
      <c r="J213" t="s">
        <v>18</v>
      </c>
      <c r="K213">
        <f>H213*H212/2</f>
        <v>247.68479531250003</v>
      </c>
      <c r="M213" t="s">
        <v>94</v>
      </c>
      <c r="N213">
        <f>N212+E208</f>
        <v>483.51</v>
      </c>
      <c r="P213" t="s">
        <v>127</v>
      </c>
      <c r="R213" t="s">
        <v>28</v>
      </c>
      <c r="S213">
        <f>E210*2*K213/K212</f>
        <v>1.9016107125719772</v>
      </c>
      <c r="T213" s="9"/>
      <c r="V213" s="9"/>
    </row>
    <row r="214" spans="1:22" x14ac:dyDescent="0.25">
      <c r="M214" s="12" t="s">
        <v>126</v>
      </c>
      <c r="N214" s="12">
        <f>N204</f>
        <v>445345.92592099099</v>
      </c>
      <c r="P214" t="s">
        <v>128</v>
      </c>
      <c r="R214" t="s">
        <v>28</v>
      </c>
      <c r="S214">
        <f>(S212+S213)/2</f>
        <v>1.307366895155293</v>
      </c>
      <c r="T214" s="9"/>
      <c r="V214" s="9"/>
    </row>
    <row r="215" spans="1:22" x14ac:dyDescent="0.25">
      <c r="P215" t="s">
        <v>129</v>
      </c>
      <c r="R215" t="s">
        <v>28</v>
      </c>
      <c r="S215">
        <f>(S213-S212)/2</f>
        <v>0.59424381741668408</v>
      </c>
      <c r="V215" s="9"/>
    </row>
    <row r="216" spans="1:22" x14ac:dyDescent="0.25">
      <c r="V216" s="9"/>
    </row>
    <row r="217" spans="1:22" x14ac:dyDescent="0.25">
      <c r="J217" t="s">
        <v>83</v>
      </c>
      <c r="K217">
        <f>90-ATAN(K213/K212-TAN((K218-90)/180*3.14))/3.14*180</f>
        <v>59.263781112794469</v>
      </c>
      <c r="V217" s="9"/>
    </row>
    <row r="218" spans="1:22" x14ac:dyDescent="0.25">
      <c r="J218" t="s">
        <v>58</v>
      </c>
      <c r="K218">
        <f>ATAN(S214)/3.14*180+90</f>
        <v>142.61443572795065</v>
      </c>
    </row>
    <row r="219" spans="1:22" x14ac:dyDescent="0.25">
      <c r="J219" t="s">
        <v>52</v>
      </c>
      <c r="K219">
        <f>ATAN(S215)/3.14*180+90</f>
        <v>120.73621888720555</v>
      </c>
    </row>
    <row r="220" spans="1:22" x14ac:dyDescent="0.25">
      <c r="J220" t="s">
        <v>131</v>
      </c>
      <c r="K220">
        <f>90-ATAN(K213/K212-TAN((K219-90)/180*3.14))/3.14*180</f>
        <v>37.385564272049358</v>
      </c>
    </row>
    <row r="221" spans="1:22" x14ac:dyDescent="0.25">
      <c r="J221" t="s">
        <v>145</v>
      </c>
      <c r="K221">
        <f>K178</f>
        <v>37.28420097692878</v>
      </c>
    </row>
    <row r="223" spans="1:22" x14ac:dyDescent="0.25">
      <c r="A223" s="9"/>
      <c r="B223" s="9"/>
      <c r="C223" s="9"/>
      <c r="D223" s="9"/>
      <c r="E223" s="9"/>
      <c r="F223" s="9"/>
      <c r="G223" s="9"/>
      <c r="H223" s="9"/>
      <c r="I223" s="9"/>
      <c r="J223" t="s">
        <v>14</v>
      </c>
      <c r="K223">
        <f>K212/COS((90-K217)/180*3.14)</f>
        <v>151.51192137087276</v>
      </c>
      <c r="N223" s="9"/>
      <c r="O223" s="9"/>
      <c r="P223" s="9"/>
      <c r="Q223" s="9"/>
      <c r="R223" s="9"/>
      <c r="S223" s="9"/>
      <c r="U223" s="9"/>
    </row>
    <row r="224" spans="1:22" x14ac:dyDescent="0.25">
      <c r="A224" s="9"/>
      <c r="B224" s="9"/>
      <c r="C224" s="9"/>
      <c r="D224" s="9"/>
      <c r="E224" s="9"/>
      <c r="F224" s="9"/>
      <c r="G224" s="9"/>
      <c r="H224" s="9"/>
      <c r="I224" s="9"/>
      <c r="J224" t="s">
        <v>15</v>
      </c>
      <c r="K224">
        <f>K212/COS((K218-90)/180*3.14)</f>
        <v>214.38723472697507</v>
      </c>
      <c r="N224" s="9"/>
      <c r="O224" s="9"/>
      <c r="P224" s="9"/>
      <c r="Q224" s="9"/>
      <c r="R224" s="9"/>
      <c r="S224" s="9"/>
      <c r="U224" s="9"/>
    </row>
    <row r="225" spans="1:24" x14ac:dyDescent="0.25">
      <c r="A225" s="9"/>
      <c r="B225" s="9"/>
      <c r="C225" s="9"/>
      <c r="D225" s="9"/>
      <c r="E225" s="9"/>
      <c r="F225" s="9"/>
      <c r="G225" s="9"/>
      <c r="H225" s="9"/>
      <c r="I225" s="9"/>
      <c r="J225" t="s">
        <v>113</v>
      </c>
      <c r="K225">
        <f>K212/COS((90-K220)/180*3.14)</f>
        <v>214.38723472697504</v>
      </c>
      <c r="N225" s="9"/>
      <c r="O225" s="9"/>
      <c r="P225" s="9"/>
      <c r="Q225" s="9"/>
      <c r="R225" s="9"/>
      <c r="S225" s="9"/>
      <c r="U225" s="9"/>
    </row>
    <row r="226" spans="1:24" x14ac:dyDescent="0.25">
      <c r="A226" s="9"/>
      <c r="B226" s="9"/>
      <c r="C226" s="9"/>
      <c r="D226" s="9"/>
      <c r="E226" s="9"/>
      <c r="F226" s="9"/>
      <c r="G226" s="9"/>
      <c r="H226" s="9"/>
      <c r="I226" s="9"/>
      <c r="J226" t="s">
        <v>136</v>
      </c>
      <c r="K226">
        <f>K212/COS((K219-90)/180*3.14)</f>
        <v>151.51192137087281</v>
      </c>
      <c r="N226" s="9"/>
      <c r="O226" s="9"/>
      <c r="P226" s="9"/>
      <c r="Q226" s="9"/>
      <c r="R226" s="9"/>
      <c r="S226" s="9"/>
      <c r="U226" s="9"/>
    </row>
    <row r="227" spans="1:24" x14ac:dyDescent="0.25">
      <c r="A227" s="9"/>
      <c r="B227" s="9"/>
      <c r="C227" s="9"/>
      <c r="D227" s="9"/>
      <c r="E227" s="9"/>
      <c r="F227" s="9"/>
      <c r="G227" s="9"/>
      <c r="H227" s="9"/>
      <c r="I227" s="9"/>
      <c r="J227" t="s">
        <v>85</v>
      </c>
      <c r="K227">
        <f>K212/COS((90-K221)/180*3.14)</f>
        <v>214.88432291949724</v>
      </c>
      <c r="N227" s="9"/>
      <c r="O227" s="9"/>
      <c r="P227" s="9"/>
      <c r="Q227" s="9"/>
      <c r="R227" s="9"/>
      <c r="S227" s="9"/>
      <c r="U227" s="9"/>
    </row>
    <row r="228" spans="1:24" x14ac:dyDescent="0.25">
      <c r="A228" s="9"/>
      <c r="B228" s="9"/>
      <c r="C228" s="9"/>
      <c r="D228" s="9"/>
      <c r="E228" s="9"/>
      <c r="F228" s="9"/>
      <c r="G228" s="9"/>
      <c r="H228" s="9"/>
      <c r="I228" s="9"/>
      <c r="J228" t="s">
        <v>132</v>
      </c>
      <c r="M228">
        <f>K218-K219</f>
        <v>21.878216840745097</v>
      </c>
      <c r="N228" s="9"/>
      <c r="O228" s="9"/>
      <c r="P228" s="9"/>
      <c r="Q228" s="9"/>
      <c r="R228" s="9"/>
      <c r="S228" s="9"/>
      <c r="U228" s="9"/>
    </row>
    <row r="229" spans="1:24" x14ac:dyDescent="0.25">
      <c r="A229" s="9"/>
      <c r="B229" s="9"/>
      <c r="C229" s="9"/>
      <c r="D229" s="9"/>
      <c r="E229" s="9"/>
      <c r="F229" s="9"/>
      <c r="G229" s="9"/>
      <c r="H229" s="9"/>
      <c r="I229" s="9"/>
      <c r="J229" t="s">
        <v>133</v>
      </c>
      <c r="M229">
        <f>COS((K218-90)/180*3.14)/COS((K219-90)/180*3.14)</f>
        <v>0.70672081555520405</v>
      </c>
      <c r="N229" s="9"/>
      <c r="O229" s="9"/>
      <c r="P229" s="9"/>
      <c r="Q229" s="9"/>
      <c r="R229" s="9"/>
      <c r="S229" s="9"/>
      <c r="U229" s="9"/>
    </row>
    <row r="230" spans="1:24" x14ac:dyDescent="0.25">
      <c r="A230" s="9"/>
      <c r="B230" s="9"/>
      <c r="C230" s="9"/>
      <c r="D230" s="9"/>
      <c r="E230" s="9"/>
      <c r="F230" s="9"/>
      <c r="G230" s="9"/>
      <c r="H230" s="9"/>
      <c r="I230" s="9"/>
      <c r="J230" t="s">
        <v>140</v>
      </c>
      <c r="M230">
        <f>K212/(2*K213)*(S213)</f>
        <v>0.5</v>
      </c>
      <c r="N230" s="9"/>
      <c r="O230" s="9"/>
      <c r="P230" s="9"/>
      <c r="Q230" s="9"/>
      <c r="R230" s="9"/>
      <c r="S230" s="9"/>
      <c r="T230" s="9"/>
      <c r="U230" s="9"/>
    </row>
    <row r="231" spans="1:24" x14ac:dyDescent="0.25">
      <c r="A231" s="9"/>
      <c r="B231" s="9"/>
      <c r="C231" s="9"/>
      <c r="D231" s="9"/>
      <c r="E231" s="9"/>
      <c r="F231" s="9"/>
      <c r="G231" s="9"/>
      <c r="H231" s="9"/>
      <c r="I231" s="9"/>
      <c r="J231" t="s">
        <v>143</v>
      </c>
      <c r="M231">
        <f>K212*(TAN((90-K220)/180*3.14)-TAN((90-K217)/180*3.14))</f>
        <v>92.884280875453925</v>
      </c>
      <c r="N231" s="9"/>
      <c r="O231" s="9"/>
      <c r="P231" s="9"/>
      <c r="Q231" s="9"/>
      <c r="R231" s="9"/>
      <c r="S231" s="9"/>
      <c r="T231" s="9"/>
      <c r="U231" s="9"/>
    </row>
    <row r="232" spans="1:24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spans="1:24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t="s">
        <v>16</v>
      </c>
      <c r="N233">
        <f>N212-0.5*K227^2/$C$28</f>
        <v>442.09481930263553</v>
      </c>
      <c r="P233" s="12" t="s">
        <v>139</v>
      </c>
      <c r="Q233" s="12">
        <f>N214/(N233*287)</f>
        <v>3.5099437883692279</v>
      </c>
      <c r="R233" s="9"/>
      <c r="S233" s="9"/>
      <c r="T233" t="s">
        <v>187</v>
      </c>
      <c r="U233">
        <f>N212</f>
        <v>464.51</v>
      </c>
      <c r="W233" t="s">
        <v>191</v>
      </c>
      <c r="X233">
        <f>U235/(U234*287)</f>
        <v>3.7439993047108575</v>
      </c>
    </row>
    <row r="234" spans="1:24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t="s">
        <v>17</v>
      </c>
      <c r="N234">
        <f>N213-0.5*K225^2/$C$28</f>
        <v>461.19840465345675</v>
      </c>
      <c r="P234" s="12" t="s">
        <v>147</v>
      </c>
      <c r="Q234" s="12">
        <f>N246/(N234*287)</f>
        <v>3.8735717129515117</v>
      </c>
      <c r="R234" s="9"/>
      <c r="S234" s="9"/>
      <c r="T234" t="s">
        <v>188</v>
      </c>
      <c r="U234">
        <f>U233-0.5*K223^2/$C$28</f>
        <v>453.36637751577985</v>
      </c>
    </row>
    <row r="235" spans="1:24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t="s">
        <v>91</v>
      </c>
      <c r="N235">
        <f>N203</f>
        <v>531193.96452692896</v>
      </c>
      <c r="R235" s="9"/>
      <c r="S235" s="9"/>
      <c r="T235" t="s">
        <v>189</v>
      </c>
      <c r="U235">
        <f>N235/((N212/U234)^($C$27/($C$27-1)))</f>
        <v>487154.77643092931</v>
      </c>
    </row>
    <row r="236" spans="1:24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R236" s="9"/>
      <c r="S236" s="9"/>
      <c r="T236" t="s">
        <v>190</v>
      </c>
      <c r="U236">
        <f>U235+X233*K223^2/2</f>
        <v>530128.14270879631</v>
      </c>
    </row>
    <row r="237" spans="1:24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t="s">
        <v>24</v>
      </c>
      <c r="R237" s="9"/>
      <c r="S237" s="9"/>
      <c r="T237" s="9"/>
      <c r="U237" s="9"/>
    </row>
    <row r="238" spans="1:24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N238" t="s">
        <v>224</v>
      </c>
      <c r="R238" s="9"/>
      <c r="S238" s="9"/>
      <c r="T238" s="9"/>
      <c r="U238" s="9"/>
    </row>
    <row r="239" spans="1:24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O239" t="s">
        <v>198</v>
      </c>
      <c r="P239">
        <f>'Comp Design Parameters'!AF4</f>
        <v>0.92944942328073188</v>
      </c>
      <c r="R239" s="9"/>
      <c r="S239" s="9"/>
      <c r="T239" s="9"/>
      <c r="U239" s="9"/>
    </row>
    <row r="240" spans="1:24" x14ac:dyDescent="0.25">
      <c r="T240" s="9"/>
    </row>
    <row r="241" spans="1:20" x14ac:dyDescent="0.25">
      <c r="T241" s="9"/>
    </row>
    <row r="242" spans="1:20" x14ac:dyDescent="0.25">
      <c r="N242" t="s">
        <v>135</v>
      </c>
      <c r="O242">
        <f>(1+P239*E208/N212)^($C$27/($C$27-1))</f>
        <v>1.1422343639875583</v>
      </c>
      <c r="T242" s="9"/>
    </row>
    <row r="243" spans="1:20" x14ac:dyDescent="0.25">
      <c r="T243" s="9"/>
    </row>
    <row r="244" spans="1:20" x14ac:dyDescent="0.25">
      <c r="T244" s="9"/>
    </row>
    <row r="245" spans="1:20" x14ac:dyDescent="0.25">
      <c r="M245" t="s">
        <v>92</v>
      </c>
      <c r="N245">
        <f>N235*O242</f>
        <v>606748.0002254463</v>
      </c>
      <c r="T245" s="9"/>
    </row>
    <row r="246" spans="1:20" x14ac:dyDescent="0.25">
      <c r="M246" s="12" t="s">
        <v>141</v>
      </c>
      <c r="N246" s="12">
        <f>N245*(N234/N213)^($C$27/($C$27-1))</f>
        <v>512721.22207098652</v>
      </c>
      <c r="T246" s="9"/>
    </row>
    <row r="247" spans="1:20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 spans="1:20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 spans="1:20" x14ac:dyDescent="0.25">
      <c r="A249">
        <v>6</v>
      </c>
      <c r="B249" t="s">
        <v>170</v>
      </c>
    </row>
    <row r="250" spans="1:20" x14ac:dyDescent="0.25">
      <c r="C250" t="s">
        <v>164</v>
      </c>
      <c r="D250" t="s">
        <v>28</v>
      </c>
      <c r="E250">
        <f>E76</f>
        <v>19</v>
      </c>
      <c r="F250" t="s">
        <v>31</v>
      </c>
    </row>
    <row r="251" spans="1:20" x14ac:dyDescent="0.25">
      <c r="C251" t="s">
        <v>144</v>
      </c>
      <c r="D251" t="s">
        <v>28</v>
      </c>
      <c r="E251">
        <f>G76</f>
        <v>0.83</v>
      </c>
    </row>
    <row r="252" spans="1:20" x14ac:dyDescent="0.25">
      <c r="C252" s="1" t="s">
        <v>140</v>
      </c>
      <c r="D252" s="1" t="s">
        <v>28</v>
      </c>
      <c r="E252" s="1">
        <v>0.5</v>
      </c>
    </row>
    <row r="254" spans="1:20" x14ac:dyDescent="0.25">
      <c r="G254" t="s">
        <v>3</v>
      </c>
      <c r="H254">
        <f>H212-($E$8-$E$9)/8</f>
        <v>1.04695</v>
      </c>
      <c r="J254" t="s">
        <v>80</v>
      </c>
      <c r="K254">
        <v>130.25</v>
      </c>
      <c r="M254" t="s">
        <v>93</v>
      </c>
      <c r="N254">
        <f>N213</f>
        <v>483.51</v>
      </c>
      <c r="P254" t="s">
        <v>130</v>
      </c>
      <c r="R254" s="11" t="s">
        <v>28</v>
      </c>
      <c r="S254">
        <f>E250*1005/(E251*K254*K255)</f>
        <v>0.71890428230645509</v>
      </c>
      <c r="T254" s="9"/>
    </row>
    <row r="255" spans="1:20" x14ac:dyDescent="0.25">
      <c r="G255" t="s">
        <v>36</v>
      </c>
      <c r="H255">
        <v>469.35</v>
      </c>
      <c r="J255" t="s">
        <v>18</v>
      </c>
      <c r="K255">
        <f>H255*H254/2</f>
        <v>245.69299125000003</v>
      </c>
      <c r="M255" t="s">
        <v>94</v>
      </c>
      <c r="N255">
        <f>N254+E250</f>
        <v>502.51</v>
      </c>
      <c r="P255" t="s">
        <v>127</v>
      </c>
      <c r="R255" t="s">
        <v>28</v>
      </c>
      <c r="S255">
        <f>E252*2*K255/K254</f>
        <v>1.8863185508637239</v>
      </c>
      <c r="T255" s="9"/>
    </row>
    <row r="256" spans="1:20" x14ac:dyDescent="0.25">
      <c r="M256" s="12" t="s">
        <v>126</v>
      </c>
      <c r="N256" s="12">
        <f>N246</f>
        <v>512721.22207098652</v>
      </c>
      <c r="P256" t="s">
        <v>128</v>
      </c>
      <c r="R256" t="s">
        <v>28</v>
      </c>
      <c r="S256">
        <f>(S254+S255)/2</f>
        <v>1.3026114165850895</v>
      </c>
      <c r="T256" s="9"/>
    </row>
    <row r="257" spans="1:20" x14ac:dyDescent="0.25">
      <c r="P257" t="s">
        <v>129</v>
      </c>
      <c r="R257" t="s">
        <v>28</v>
      </c>
      <c r="S257">
        <f>(S255-S254)/2</f>
        <v>0.58370713427863441</v>
      </c>
    </row>
    <row r="259" spans="1:20" x14ac:dyDescent="0.25">
      <c r="J259" t="s">
        <v>83</v>
      </c>
      <c r="K259">
        <f>90-ATAN(K255/K254-TAN((K260-90)/180*3.14))/3.14*180</f>
        <v>59.712231143290197</v>
      </c>
    </row>
    <row r="260" spans="1:20" x14ac:dyDescent="0.25">
      <c r="J260" t="s">
        <v>58</v>
      </c>
      <c r="K260">
        <f>ATAN(S256)/3.14*180+90</f>
        <v>142.51358198253877</v>
      </c>
    </row>
    <row r="261" spans="1:20" x14ac:dyDescent="0.25">
      <c r="J261" t="s">
        <v>52</v>
      </c>
      <c r="K261">
        <f>ATAN(S257)/3.14*180+90</f>
        <v>120.28776885670982</v>
      </c>
    </row>
    <row r="262" spans="1:20" x14ac:dyDescent="0.25">
      <c r="J262" t="s">
        <v>131</v>
      </c>
      <c r="K262">
        <f>90-ATAN(K255/K254-TAN((K261-90)/180*3.14))/3.14*180</f>
        <v>37.48641801746124</v>
      </c>
    </row>
    <row r="263" spans="1:20" x14ac:dyDescent="0.25">
      <c r="J263" t="s">
        <v>145</v>
      </c>
      <c r="K263">
        <f>K220</f>
        <v>37.385564272049358</v>
      </c>
    </row>
    <row r="265" spans="1:20" x14ac:dyDescent="0.25">
      <c r="A265" s="9"/>
      <c r="B265" s="9"/>
      <c r="C265" s="9"/>
      <c r="D265" s="9"/>
      <c r="E265" s="9"/>
      <c r="F265" s="9"/>
      <c r="G265" s="9"/>
      <c r="H265" s="9"/>
      <c r="I265" s="9"/>
      <c r="J265" t="s">
        <v>14</v>
      </c>
      <c r="K265">
        <f>K254/COS((90-K259)/180*3.14)</f>
        <v>150.81544058983837</v>
      </c>
      <c r="N265" s="9"/>
      <c r="O265" s="9"/>
      <c r="P265" s="9"/>
      <c r="Q265" s="9"/>
      <c r="R265" s="9"/>
      <c r="S265" s="9"/>
    </row>
    <row r="266" spans="1:20" x14ac:dyDescent="0.25">
      <c r="A266" s="9"/>
      <c r="B266" s="9"/>
      <c r="C266" s="9"/>
      <c r="D266" s="9"/>
      <c r="E266" s="9"/>
      <c r="F266" s="9"/>
      <c r="G266" s="9"/>
      <c r="H266" s="9"/>
      <c r="I266" s="9"/>
      <c r="J266" t="s">
        <v>15</v>
      </c>
      <c r="K266">
        <f>K254/COS((K260-90)/180*3.14)</f>
        <v>213.8955848461876</v>
      </c>
      <c r="N266" s="9"/>
      <c r="O266" s="9"/>
      <c r="P266" s="9"/>
      <c r="Q266" s="9"/>
      <c r="R266" s="9"/>
      <c r="S266" s="9"/>
    </row>
    <row r="267" spans="1:20" x14ac:dyDescent="0.25">
      <c r="A267" s="9"/>
      <c r="B267" s="9"/>
      <c r="C267" s="9"/>
      <c r="D267" s="9"/>
      <c r="E267" s="9"/>
      <c r="F267" s="9"/>
      <c r="G267" s="9"/>
      <c r="H267" s="9"/>
      <c r="I267" s="9"/>
      <c r="J267" t="s">
        <v>113</v>
      </c>
      <c r="K267">
        <f>K254/COS((90-K262)/180*3.14)</f>
        <v>213.89558484618757</v>
      </c>
      <c r="N267" s="9"/>
      <c r="O267" s="9"/>
      <c r="P267" s="9"/>
      <c r="Q267" s="9"/>
      <c r="R267" s="9"/>
      <c r="S267" s="9"/>
    </row>
    <row r="268" spans="1:20" x14ac:dyDescent="0.25">
      <c r="A268" s="9"/>
      <c r="B268" s="9"/>
      <c r="C268" s="9"/>
      <c r="D268" s="9"/>
      <c r="E268" s="9"/>
      <c r="F268" s="9"/>
      <c r="G268" s="9"/>
      <c r="H268" s="9"/>
      <c r="I268" s="9"/>
      <c r="J268" t="s">
        <v>136</v>
      </c>
      <c r="K268">
        <f>K254/COS((K261-90)/180*3.14)</f>
        <v>150.8154405898384</v>
      </c>
      <c r="N268" s="9"/>
      <c r="O268" s="9"/>
      <c r="P268" s="9"/>
      <c r="Q268" s="9"/>
      <c r="R268" s="9"/>
      <c r="S268" s="9"/>
    </row>
    <row r="269" spans="1:20" x14ac:dyDescent="0.25">
      <c r="A269" s="9"/>
      <c r="B269" s="9"/>
      <c r="C269" s="9"/>
      <c r="D269" s="9"/>
      <c r="E269" s="9"/>
      <c r="F269" s="9"/>
      <c r="G269" s="9"/>
      <c r="H269" s="9"/>
      <c r="I269" s="9"/>
      <c r="J269" t="s">
        <v>85</v>
      </c>
      <c r="K269">
        <f>K254/COS((90-K263)/180*3.14)</f>
        <v>214.38723472697504</v>
      </c>
      <c r="N269" s="9"/>
      <c r="O269" s="9"/>
      <c r="P269" s="9"/>
      <c r="Q269" s="9"/>
      <c r="R269" s="9"/>
      <c r="S269" s="9"/>
    </row>
    <row r="270" spans="1:20" x14ac:dyDescent="0.25">
      <c r="A270" s="9"/>
      <c r="B270" s="9"/>
      <c r="C270" s="9"/>
      <c r="D270" s="9"/>
      <c r="E270" s="9"/>
      <c r="F270" s="9"/>
      <c r="G270" s="9"/>
      <c r="H270" s="9"/>
      <c r="I270" s="9"/>
      <c r="J270" t="s">
        <v>132</v>
      </c>
      <c r="M270">
        <f>K260-K261</f>
        <v>22.22581312582895</v>
      </c>
      <c r="N270" s="9"/>
      <c r="O270" s="9"/>
      <c r="P270" s="9"/>
      <c r="Q270" s="9"/>
      <c r="R270" s="9"/>
      <c r="S270" s="9"/>
    </row>
    <row r="271" spans="1:20" x14ac:dyDescent="0.25">
      <c r="A271" s="9"/>
      <c r="B271" s="9"/>
      <c r="C271" s="9"/>
      <c r="D271" s="9"/>
      <c r="E271" s="9"/>
      <c r="F271" s="9"/>
      <c r="G271" s="9"/>
      <c r="H271" s="9"/>
      <c r="I271" s="9"/>
      <c r="J271" t="s">
        <v>133</v>
      </c>
      <c r="M271">
        <f>COS((K260-90)/180*3.14)/COS((K261-90)/180*3.14)</f>
        <v>0.70508907745005511</v>
      </c>
      <c r="N271" s="9"/>
      <c r="O271" s="9"/>
      <c r="P271" s="9"/>
      <c r="Q271" s="9"/>
      <c r="R271" s="9"/>
      <c r="S271" s="9"/>
    </row>
    <row r="272" spans="1:20" x14ac:dyDescent="0.25">
      <c r="A272" s="9"/>
      <c r="B272" s="9"/>
      <c r="C272" s="9"/>
      <c r="D272" s="9"/>
      <c r="E272" s="9"/>
      <c r="F272" s="9"/>
      <c r="G272" s="9"/>
      <c r="H272" s="9"/>
      <c r="I272" s="9"/>
      <c r="J272" t="s">
        <v>140</v>
      </c>
      <c r="M272">
        <f>K254/(2*K255)*(S255)</f>
        <v>0.5</v>
      </c>
      <c r="N272" s="9"/>
      <c r="O272" s="9"/>
      <c r="P272" s="9"/>
      <c r="Q272" s="9"/>
      <c r="R272" s="9"/>
      <c r="S272" s="9"/>
      <c r="T272" s="9"/>
    </row>
    <row r="273" spans="1:24" x14ac:dyDescent="0.25">
      <c r="A273" s="9"/>
      <c r="B273" s="9"/>
      <c r="C273" s="9"/>
      <c r="D273" s="9"/>
      <c r="E273" s="9"/>
      <c r="F273" s="9"/>
      <c r="G273" s="9"/>
      <c r="H273" s="9"/>
      <c r="I273" s="9"/>
      <c r="J273" t="s">
        <v>143</v>
      </c>
      <c r="M273">
        <f>K254*(TAN((90-K262)/180*3.14)-TAN((90-K259)/180*3.14))</f>
        <v>93.637282770415851</v>
      </c>
      <c r="N273" s="9"/>
      <c r="O273" s="9"/>
      <c r="P273" s="9"/>
      <c r="Q273" s="9"/>
      <c r="R273" s="9"/>
      <c r="S273" s="9"/>
      <c r="T273" s="9"/>
    </row>
    <row r="274" spans="1:24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4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t="s">
        <v>16</v>
      </c>
      <c r="N275">
        <f>N254-0.5*K269^2/$C$28</f>
        <v>461.19840465345675</v>
      </c>
      <c r="P275" s="12" t="s">
        <v>139</v>
      </c>
      <c r="Q275" s="12">
        <f>N256/(N275*287)</f>
        <v>3.8735717129515117</v>
      </c>
      <c r="R275" s="9"/>
      <c r="S275" s="9"/>
      <c r="T275" t="s">
        <v>187</v>
      </c>
      <c r="U275">
        <f>N254</f>
        <v>483.51</v>
      </c>
      <c r="W275" t="s">
        <v>191</v>
      </c>
      <c r="X275">
        <f>U277/(U276*287)</f>
        <v>4.1209429017876786</v>
      </c>
    </row>
    <row r="276" spans="1:24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t="s">
        <v>17</v>
      </c>
      <c r="N276">
        <f>N255-0.5*K267^2/$C$28</f>
        <v>480.30062076859582</v>
      </c>
      <c r="P276" s="12" t="s">
        <v>147</v>
      </c>
      <c r="Q276" s="12">
        <f>N288/(N276*287)</f>
        <v>4.2576202472732598</v>
      </c>
      <c r="R276" s="9"/>
      <c r="S276" s="9"/>
      <c r="T276" t="s">
        <v>188</v>
      </c>
      <c r="U276">
        <f>U275-0.5*K265^2/$C$28</f>
        <v>472.46859363091892</v>
      </c>
    </row>
    <row r="277" spans="1:24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t="s">
        <v>91</v>
      </c>
      <c r="N277">
        <f>N245</f>
        <v>606748.0002254463</v>
      </c>
      <c r="R277" s="9"/>
      <c r="S277" s="9"/>
      <c r="T277" t="s">
        <v>189</v>
      </c>
      <c r="U277">
        <f>N277/((N254/U276)^($C$27/($C$27-1)))</f>
        <v>558793.61990815052</v>
      </c>
    </row>
    <row r="278" spans="1:24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R278" s="9"/>
      <c r="S278" s="9"/>
      <c r="T278" t="s">
        <v>190</v>
      </c>
      <c r="U278">
        <f>U277+X275*K265^2/2</f>
        <v>605659.65526664106</v>
      </c>
    </row>
    <row r="279" spans="1:24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t="s">
        <v>24</v>
      </c>
      <c r="R279" s="9"/>
      <c r="S279" s="9"/>
      <c r="T279" s="9"/>
    </row>
    <row r="280" spans="1:24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N280" t="s">
        <v>224</v>
      </c>
      <c r="R280" s="9"/>
      <c r="S280" s="9"/>
      <c r="T280" s="9"/>
    </row>
    <row r="281" spans="1:24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O281" t="s">
        <v>198</v>
      </c>
      <c r="P281">
        <f>'Comp Design Parameters'!AG4</f>
        <v>0.92939183866213537</v>
      </c>
      <c r="R281" s="9"/>
      <c r="S281" s="9"/>
      <c r="T281" s="9"/>
    </row>
    <row r="282" spans="1:24" x14ac:dyDescent="0.25">
      <c r="T282" s="9"/>
    </row>
    <row r="283" spans="1:24" x14ac:dyDescent="0.25">
      <c r="T283" s="9"/>
    </row>
    <row r="284" spans="1:24" x14ac:dyDescent="0.25">
      <c r="N284" t="s">
        <v>135</v>
      </c>
      <c r="O284">
        <f>(1+P281*E250/N254)^($C$27/($C$27-1))</f>
        <v>1.1363771947028889</v>
      </c>
      <c r="T284" s="9"/>
    </row>
    <row r="285" spans="1:24" x14ac:dyDescent="0.25">
      <c r="T285" s="9"/>
    </row>
    <row r="286" spans="1:24" x14ac:dyDescent="0.25">
      <c r="T286" s="9"/>
    </row>
    <row r="287" spans="1:24" x14ac:dyDescent="0.25">
      <c r="M287" t="s">
        <v>92</v>
      </c>
      <c r="N287">
        <f>N277*O284</f>
        <v>689494.59038778045</v>
      </c>
      <c r="T287" s="9"/>
    </row>
    <row r="288" spans="1:24" x14ac:dyDescent="0.25">
      <c r="M288" s="12" t="s">
        <v>141</v>
      </c>
      <c r="N288" s="12">
        <f>N287*(N276/N255)^($C$27/($C$27-1))</f>
        <v>586897.10490777704</v>
      </c>
      <c r="T288" s="9"/>
    </row>
    <row r="289" spans="1:20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 spans="1:20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 spans="1:20" x14ac:dyDescent="0.25">
      <c r="A291">
        <v>7</v>
      </c>
      <c r="B291" t="s">
        <v>171</v>
      </c>
    </row>
    <row r="292" spans="1:20" x14ac:dyDescent="0.25">
      <c r="C292" t="s">
        <v>165</v>
      </c>
      <c r="D292" t="s">
        <v>28</v>
      </c>
      <c r="E292">
        <f>E77</f>
        <v>19</v>
      </c>
      <c r="F292" t="s">
        <v>31</v>
      </c>
    </row>
    <row r="293" spans="1:20" x14ac:dyDescent="0.25">
      <c r="C293" t="s">
        <v>144</v>
      </c>
      <c r="D293" t="s">
        <v>28</v>
      </c>
      <c r="E293">
        <f>G77</f>
        <v>0.83</v>
      </c>
    </row>
    <row r="294" spans="1:20" x14ac:dyDescent="0.25">
      <c r="C294" s="1" t="s">
        <v>140</v>
      </c>
      <c r="D294" s="1" t="s">
        <v>28</v>
      </c>
      <c r="E294" s="1">
        <v>0.5</v>
      </c>
    </row>
    <row r="296" spans="1:20" x14ac:dyDescent="0.25">
      <c r="G296" t="s">
        <v>3</v>
      </c>
      <c r="H296">
        <f>H254-($E$8-$E$9)/8</f>
        <v>1.0384625000000001</v>
      </c>
      <c r="J296" t="s">
        <v>80</v>
      </c>
      <c r="K296">
        <v>130.25</v>
      </c>
      <c r="M296" t="s">
        <v>93</v>
      </c>
      <c r="N296">
        <f>N255</f>
        <v>502.51</v>
      </c>
      <c r="P296" t="s">
        <v>130</v>
      </c>
      <c r="R296" s="11" t="s">
        <v>28</v>
      </c>
      <c r="S296">
        <f>E292*1005/(E293*K296*K297)</f>
        <v>0.72477998806961552</v>
      </c>
      <c r="T296" s="9"/>
    </row>
    <row r="297" spans="1:20" x14ac:dyDescent="0.25">
      <c r="G297" t="s">
        <v>36</v>
      </c>
      <c r="H297">
        <v>469.35</v>
      </c>
      <c r="J297" t="s">
        <v>18</v>
      </c>
      <c r="K297">
        <f>H297*H296/2</f>
        <v>243.70118718750004</v>
      </c>
      <c r="M297" t="s">
        <v>94</v>
      </c>
      <c r="N297">
        <f>N296+E292</f>
        <v>521.51</v>
      </c>
      <c r="P297" t="s">
        <v>127</v>
      </c>
      <c r="R297" t="s">
        <v>28</v>
      </c>
      <c r="S297">
        <f>E294*2*K297/K296</f>
        <v>1.8710263891554706</v>
      </c>
      <c r="T297" s="9"/>
    </row>
    <row r="298" spans="1:20" x14ac:dyDescent="0.25">
      <c r="M298" s="12" t="s">
        <v>126</v>
      </c>
      <c r="N298" s="12">
        <f>N288</f>
        <v>586897.10490777704</v>
      </c>
      <c r="P298" t="s">
        <v>128</v>
      </c>
      <c r="R298" t="s">
        <v>28</v>
      </c>
      <c r="S298">
        <f>(S296+S297)/2</f>
        <v>1.2979031886125432</v>
      </c>
      <c r="T298" s="9"/>
    </row>
    <row r="299" spans="1:20" x14ac:dyDescent="0.25">
      <c r="P299" t="s">
        <v>129</v>
      </c>
      <c r="R299" t="s">
        <v>28</v>
      </c>
      <c r="S299">
        <f>(S297-S296)/2</f>
        <v>0.57312320054292754</v>
      </c>
    </row>
    <row r="301" spans="1:20" x14ac:dyDescent="0.25">
      <c r="J301" t="s">
        <v>83</v>
      </c>
      <c r="K301">
        <f>90-ATAN(K297/K296-TAN((K302-90)/180*3.14))/3.14*180</f>
        <v>60.16685323680332</v>
      </c>
    </row>
    <row r="302" spans="1:20" x14ac:dyDescent="0.25">
      <c r="J302" t="s">
        <v>58</v>
      </c>
      <c r="K302">
        <f>ATAN(S298)/3.14*180+90</f>
        <v>142.41327284234939</v>
      </c>
    </row>
    <row r="303" spans="1:20" x14ac:dyDescent="0.25">
      <c r="J303" t="s">
        <v>52</v>
      </c>
      <c r="K303">
        <f>ATAN(S299)/3.14*180+90</f>
        <v>119.83314676319671</v>
      </c>
    </row>
    <row r="304" spans="1:20" x14ac:dyDescent="0.25">
      <c r="J304" t="s">
        <v>131</v>
      </c>
      <c r="K304">
        <f>90-ATAN(K297/K296-TAN((K303-90)/180*3.14))/3.14*180</f>
        <v>37.586727157650621</v>
      </c>
    </row>
    <row r="305" spans="1:24" x14ac:dyDescent="0.25">
      <c r="J305" t="s">
        <v>145</v>
      </c>
      <c r="K305">
        <f>K262</f>
        <v>37.48641801746124</v>
      </c>
    </row>
    <row r="307" spans="1:24" x14ac:dyDescent="0.25">
      <c r="A307" s="9"/>
      <c r="B307" s="9"/>
      <c r="C307" s="9"/>
      <c r="D307" s="9"/>
      <c r="E307" s="9"/>
      <c r="F307" s="9"/>
      <c r="G307" s="9"/>
      <c r="H307" s="9"/>
      <c r="I307" s="9"/>
      <c r="J307" t="s">
        <v>14</v>
      </c>
      <c r="K307">
        <f>K296/COS((90-K301)/180*3.14)</f>
        <v>150.12521448208599</v>
      </c>
      <c r="N307" s="9"/>
      <c r="O307" s="9"/>
      <c r="P307" s="9"/>
      <c r="Q307" s="9"/>
      <c r="R307" s="9"/>
      <c r="S307" s="9"/>
    </row>
    <row r="308" spans="1:24" x14ac:dyDescent="0.25">
      <c r="A308" s="9"/>
      <c r="B308" s="9"/>
      <c r="C308" s="9"/>
      <c r="D308" s="9"/>
      <c r="E308" s="9"/>
      <c r="F308" s="9"/>
      <c r="G308" s="9"/>
      <c r="H308" s="9"/>
      <c r="I308" s="9"/>
      <c r="J308" t="s">
        <v>15</v>
      </c>
      <c r="K308">
        <f>K296/COS((K302-90)/180*3.14)</f>
        <v>213.40947523406246</v>
      </c>
      <c r="N308" s="9"/>
      <c r="O308" s="9"/>
      <c r="P308" s="9"/>
      <c r="Q308" s="9"/>
      <c r="R308" s="9"/>
      <c r="S308" s="9"/>
    </row>
    <row r="309" spans="1:24" x14ac:dyDescent="0.25">
      <c r="A309" s="9"/>
      <c r="B309" s="9"/>
      <c r="C309" s="9"/>
      <c r="D309" s="9"/>
      <c r="E309" s="9"/>
      <c r="F309" s="9"/>
      <c r="G309" s="9"/>
      <c r="H309" s="9"/>
      <c r="I309" s="9"/>
      <c r="J309" t="s">
        <v>113</v>
      </c>
      <c r="K309">
        <f>K296/COS((90-K304)/180*3.14)</f>
        <v>213.4094752340624</v>
      </c>
      <c r="N309" s="9"/>
      <c r="O309" s="9"/>
      <c r="P309" s="9"/>
      <c r="Q309" s="9"/>
      <c r="R309" s="9"/>
      <c r="S309" s="9"/>
    </row>
    <row r="310" spans="1:24" x14ac:dyDescent="0.25">
      <c r="A310" s="9"/>
      <c r="B310" s="9"/>
      <c r="C310" s="9"/>
      <c r="D310" s="9"/>
      <c r="E310" s="9"/>
      <c r="F310" s="9"/>
      <c r="G310" s="9"/>
      <c r="H310" s="9"/>
      <c r="I310" s="9"/>
      <c r="J310" t="s">
        <v>136</v>
      </c>
      <c r="K310">
        <f>K296/COS((K303-90)/180*3.14)</f>
        <v>150.12521448208605</v>
      </c>
      <c r="N310" s="9"/>
      <c r="O310" s="9"/>
      <c r="P310" s="9"/>
      <c r="Q310" s="9"/>
      <c r="R310" s="9"/>
      <c r="S310" s="9"/>
    </row>
    <row r="311" spans="1:24" x14ac:dyDescent="0.25">
      <c r="A311" s="9"/>
      <c r="B311" s="9"/>
      <c r="C311" s="9"/>
      <c r="D311" s="9"/>
      <c r="E311" s="9"/>
      <c r="F311" s="9"/>
      <c r="G311" s="9"/>
      <c r="H311" s="9"/>
      <c r="I311" s="9"/>
      <c r="J311" t="s">
        <v>85</v>
      </c>
      <c r="K311">
        <f>K296/COS((90-K305)/180*3.14)</f>
        <v>213.89558484618757</v>
      </c>
      <c r="N311" s="9"/>
      <c r="O311" s="9"/>
      <c r="P311" s="9"/>
      <c r="Q311" s="9"/>
      <c r="R311" s="9"/>
      <c r="S311" s="9"/>
    </row>
    <row r="312" spans="1:24" x14ac:dyDescent="0.25">
      <c r="A312" s="9"/>
      <c r="B312" s="9"/>
      <c r="C312" s="9"/>
      <c r="D312" s="9"/>
      <c r="E312" s="9"/>
      <c r="F312" s="9"/>
      <c r="G312" s="9"/>
      <c r="H312" s="9"/>
      <c r="I312" s="9"/>
      <c r="J312" t="s">
        <v>132</v>
      </c>
      <c r="M312">
        <f>K302-K303</f>
        <v>22.580126079152677</v>
      </c>
      <c r="N312" s="9"/>
      <c r="O312" s="9"/>
      <c r="P312" s="9"/>
      <c r="Q312" s="9"/>
      <c r="R312" s="9"/>
      <c r="S312" s="9"/>
    </row>
    <row r="313" spans="1:24" x14ac:dyDescent="0.25">
      <c r="A313" s="9"/>
      <c r="B313" s="9"/>
      <c r="C313" s="9"/>
      <c r="D313" s="9"/>
      <c r="E313" s="9"/>
      <c r="F313" s="9"/>
      <c r="G313" s="9"/>
      <c r="H313" s="9"/>
      <c r="I313" s="9"/>
      <c r="J313" t="s">
        <v>133</v>
      </c>
      <c r="M313">
        <f>COS((K302-90)/180*3.14)/COS((K303-90)/180*3.14)</f>
        <v>0.70346086703709976</v>
      </c>
      <c r="N313" s="9"/>
      <c r="O313" s="9"/>
      <c r="P313" s="9"/>
      <c r="Q313" s="9"/>
      <c r="R313" s="9"/>
      <c r="S313" s="9"/>
    </row>
    <row r="314" spans="1:24" x14ac:dyDescent="0.25">
      <c r="A314" s="9"/>
      <c r="B314" s="9"/>
      <c r="C314" s="9"/>
      <c r="D314" s="9"/>
      <c r="E314" s="9"/>
      <c r="F314" s="9"/>
      <c r="G314" s="9"/>
      <c r="H314" s="9"/>
      <c r="I314" s="9"/>
      <c r="J314" t="s">
        <v>140</v>
      </c>
      <c r="M314">
        <f>K296/(2*K297)*(S297)</f>
        <v>0.49999999999999994</v>
      </c>
      <c r="N314" s="9"/>
      <c r="O314" s="9"/>
      <c r="P314" s="9"/>
      <c r="Q314" s="9"/>
      <c r="R314" s="9"/>
      <c r="S314" s="9"/>
      <c r="T314" s="9"/>
    </row>
    <row r="315" spans="1:24" x14ac:dyDescent="0.25">
      <c r="A315" s="9"/>
      <c r="B315" s="9"/>
      <c r="C315" s="9"/>
      <c r="D315" s="9"/>
      <c r="E315" s="9"/>
      <c r="F315" s="9"/>
      <c r="G315" s="9"/>
      <c r="H315" s="9"/>
      <c r="I315" s="9"/>
      <c r="J315" t="s">
        <v>143</v>
      </c>
      <c r="M315">
        <f>K296*(TAN((90-K304)/180*3.14)-TAN((90-K301)/180*3.14))</f>
        <v>94.40259344606757</v>
      </c>
      <c r="N315" s="9"/>
      <c r="O315" s="9"/>
      <c r="P315" s="9"/>
      <c r="Q315" s="9"/>
      <c r="R315" s="9"/>
      <c r="S315" s="9"/>
      <c r="T315" s="9"/>
    </row>
    <row r="316" spans="1:24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4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t="s">
        <v>16</v>
      </c>
      <c r="N317">
        <f>N296-0.5*K311^2/$C$28</f>
        <v>480.30062076859582</v>
      </c>
      <c r="P317" s="12" t="s">
        <v>139</v>
      </c>
      <c r="Q317" s="12">
        <f>N298/(N317*287)</f>
        <v>4.2576202472732598</v>
      </c>
      <c r="R317" s="9"/>
      <c r="S317" s="9"/>
      <c r="T317" t="s">
        <v>187</v>
      </c>
      <c r="U317">
        <f>N296</f>
        <v>502.51</v>
      </c>
      <c r="W317" t="s">
        <v>191</v>
      </c>
      <c r="X317">
        <f>U319/(U318*287)</f>
        <v>4.5184745085769862</v>
      </c>
    </row>
    <row r="318" spans="1:24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t="s">
        <v>17</v>
      </c>
      <c r="N318">
        <f>N297-0.5*K309^2/$C$28</f>
        <v>499.40145431083596</v>
      </c>
      <c r="P318" s="12" t="s">
        <v>147</v>
      </c>
      <c r="Q318" s="12">
        <f>N330/(N318*287)</f>
        <v>4.6623144074396592</v>
      </c>
      <c r="R318" s="9"/>
      <c r="S318" s="9"/>
      <c r="T318" t="s">
        <v>188</v>
      </c>
      <c r="U318">
        <f>U317-0.5*K307^2/$C$28</f>
        <v>491.56942717315906</v>
      </c>
    </row>
    <row r="319" spans="1:24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t="s">
        <v>91</v>
      </c>
      <c r="N319">
        <f>N287</f>
        <v>689494.59038778045</v>
      </c>
      <c r="R319" s="9"/>
      <c r="S319" s="9"/>
      <c r="T319" t="s">
        <v>189</v>
      </c>
      <c r="U319">
        <f>N319/((N296/U318)^($C$27/($C$27-1)))</f>
        <v>637468.30672690296</v>
      </c>
    </row>
    <row r="320" spans="1:24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R320" s="9"/>
      <c r="S320" s="9"/>
      <c r="T320" t="s">
        <v>190</v>
      </c>
      <c r="U320">
        <f>U319+X317*K307^2/2</f>
        <v>688386.04713703308</v>
      </c>
    </row>
    <row r="321" spans="1:20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t="s">
        <v>24</v>
      </c>
      <c r="R321" s="9"/>
      <c r="S321" s="9"/>
      <c r="T321" s="9"/>
    </row>
    <row r="322" spans="1:20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N322" t="s">
        <v>224</v>
      </c>
      <c r="R322" s="9"/>
      <c r="S322" s="9"/>
      <c r="T322" s="9"/>
    </row>
    <row r="323" spans="1:20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O323" t="s">
        <v>198</v>
      </c>
      <c r="P323">
        <f>'Comp Design Parameters'!AH4</f>
        <v>0.92929020042675892</v>
      </c>
      <c r="R323" s="9"/>
      <c r="S323" s="9"/>
      <c r="T323" s="9"/>
    </row>
    <row r="324" spans="1:20" x14ac:dyDescent="0.25">
      <c r="T324" s="9"/>
    </row>
    <row r="325" spans="1:20" x14ac:dyDescent="0.25">
      <c r="T325" s="9"/>
    </row>
    <row r="326" spans="1:20" x14ac:dyDescent="0.25">
      <c r="N326" t="s">
        <v>135</v>
      </c>
      <c r="O326">
        <f>(1+P323*E292/N296)^($C$27/($C$27-1))</f>
        <v>1.1309757076911446</v>
      </c>
      <c r="T326" s="9"/>
    </row>
    <row r="327" spans="1:20" x14ac:dyDescent="0.25">
      <c r="T327" s="9"/>
    </row>
    <row r="328" spans="1:20" x14ac:dyDescent="0.25">
      <c r="T328" s="9"/>
    </row>
    <row r="329" spans="1:20" x14ac:dyDescent="0.25">
      <c r="M329" t="s">
        <v>92</v>
      </c>
      <c r="N329">
        <f>N319*O326</f>
        <v>779801.63231303589</v>
      </c>
      <c r="T329" s="9"/>
    </row>
    <row r="330" spans="1:20" x14ac:dyDescent="0.25">
      <c r="M330" s="12" t="s">
        <v>141</v>
      </c>
      <c r="N330" s="12">
        <f>N329*(N318/N297)^($C$27/($C$27-1))</f>
        <v>668241.21291703219</v>
      </c>
      <c r="T330" s="9"/>
    </row>
    <row r="331" spans="1:20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 spans="1:20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 spans="1:20" x14ac:dyDescent="0.25">
      <c r="A333">
        <v>8</v>
      </c>
      <c r="B333" t="s">
        <v>172</v>
      </c>
    </row>
    <row r="334" spans="1:20" x14ac:dyDescent="0.25">
      <c r="C334" t="s">
        <v>166</v>
      </c>
      <c r="D334" t="s">
        <v>28</v>
      </c>
      <c r="E334">
        <f>E78</f>
        <v>19</v>
      </c>
      <c r="F334" t="s">
        <v>31</v>
      </c>
    </row>
    <row r="335" spans="1:20" x14ac:dyDescent="0.25">
      <c r="C335" t="s">
        <v>144</v>
      </c>
      <c r="D335" t="s">
        <v>28</v>
      </c>
      <c r="E335">
        <f>G78</f>
        <v>0.83</v>
      </c>
    </row>
    <row r="336" spans="1:20" x14ac:dyDescent="0.25">
      <c r="C336" s="1" t="s">
        <v>140</v>
      </c>
      <c r="D336" s="1" t="s">
        <v>28</v>
      </c>
      <c r="E336" s="1">
        <v>0.5</v>
      </c>
    </row>
    <row r="338" spans="1:20" x14ac:dyDescent="0.25">
      <c r="G338" t="s">
        <v>3</v>
      </c>
      <c r="H338">
        <f>H296-($E$8-$E$9)/8</f>
        <v>1.0299750000000001</v>
      </c>
      <c r="J338" t="s">
        <v>80</v>
      </c>
      <c r="K338">
        <v>130.25</v>
      </c>
      <c r="M338" t="s">
        <v>93</v>
      </c>
      <c r="N338">
        <f>N297</f>
        <v>521.51</v>
      </c>
      <c r="P338" t="s">
        <v>130</v>
      </c>
      <c r="R338" s="11" t="s">
        <v>28</v>
      </c>
      <c r="S338">
        <f>E334*1005/(E335*K338*K339)</f>
        <v>0.73075253123691664</v>
      </c>
      <c r="T338" s="9"/>
    </row>
    <row r="339" spans="1:20" x14ac:dyDescent="0.25">
      <c r="G339" t="s">
        <v>36</v>
      </c>
      <c r="H339">
        <v>469.35</v>
      </c>
      <c r="J339" t="s">
        <v>18</v>
      </c>
      <c r="K339">
        <f>H339*H338/2</f>
        <v>241.70938312500004</v>
      </c>
      <c r="M339" t="s">
        <v>94</v>
      </c>
      <c r="N339">
        <f>N338+E334</f>
        <v>540.51</v>
      </c>
      <c r="P339" t="s">
        <v>127</v>
      </c>
      <c r="R339" t="s">
        <v>28</v>
      </c>
      <c r="S339">
        <f>E336*2*K339/K338</f>
        <v>1.8557342274472173</v>
      </c>
      <c r="T339" s="9"/>
    </row>
    <row r="340" spans="1:20" x14ac:dyDescent="0.25">
      <c r="M340" s="12" t="s">
        <v>126</v>
      </c>
      <c r="N340" s="12">
        <f>N330</f>
        <v>668241.21291703219</v>
      </c>
      <c r="P340" t="s">
        <v>128</v>
      </c>
      <c r="R340" t="s">
        <v>28</v>
      </c>
      <c r="S340">
        <f>(S338+S339)/2</f>
        <v>1.293243379342067</v>
      </c>
      <c r="T340" s="9"/>
    </row>
    <row r="341" spans="1:20" x14ac:dyDescent="0.25">
      <c r="P341" t="s">
        <v>129</v>
      </c>
      <c r="R341" t="s">
        <v>28</v>
      </c>
      <c r="S341">
        <f>(S339-S338)/2</f>
        <v>0.56249084810515027</v>
      </c>
    </row>
    <row r="343" spans="1:20" x14ac:dyDescent="0.25">
      <c r="J343" t="s">
        <v>83</v>
      </c>
      <c r="K343">
        <f>90-ATAN(K339/K338-TAN((K344-90)/180*3.14))/3.14*180</f>
        <v>60.627754312607024</v>
      </c>
    </row>
    <row r="344" spans="1:20" x14ac:dyDescent="0.25">
      <c r="J344" t="s">
        <v>58</v>
      </c>
      <c r="K344">
        <f>ATAN(S340)/3.14*180+90</f>
        <v>142.31354460428986</v>
      </c>
    </row>
    <row r="345" spans="1:20" x14ac:dyDescent="0.25">
      <c r="J345" t="s">
        <v>52</v>
      </c>
      <c r="K345">
        <f>ATAN(S341)/3.14*180+90</f>
        <v>119.37224568739298</v>
      </c>
    </row>
    <row r="346" spans="1:20" x14ac:dyDescent="0.25">
      <c r="J346" t="s">
        <v>131</v>
      </c>
      <c r="K346">
        <f>90-ATAN(K339/K338-TAN((K345-90)/180*3.14))/3.14*180</f>
        <v>37.686455395710141</v>
      </c>
    </row>
    <row r="347" spans="1:20" x14ac:dyDescent="0.25">
      <c r="J347" t="s">
        <v>145</v>
      </c>
      <c r="K347">
        <f>K304</f>
        <v>37.586727157650621</v>
      </c>
    </row>
    <row r="349" spans="1:20" x14ac:dyDescent="0.25">
      <c r="A349" s="9"/>
      <c r="B349" s="9"/>
      <c r="C349" s="9"/>
      <c r="D349" s="9"/>
      <c r="E349" s="9"/>
      <c r="F349" s="9"/>
      <c r="G349" s="9"/>
      <c r="H349" s="9"/>
      <c r="I349" s="9"/>
      <c r="J349" t="s">
        <v>14</v>
      </c>
      <c r="K349">
        <f>K338/COS((90-K343)/180*3.14)</f>
        <v>149.4414254408226</v>
      </c>
      <c r="N349" s="9"/>
      <c r="O349" s="9"/>
      <c r="P349" s="9"/>
      <c r="Q349" s="9"/>
      <c r="R349" s="9"/>
      <c r="S349" s="9"/>
    </row>
    <row r="350" spans="1:20" x14ac:dyDescent="0.25">
      <c r="A350" s="9"/>
      <c r="B350" s="9"/>
      <c r="C350" s="9"/>
      <c r="D350" s="9"/>
      <c r="E350" s="9"/>
      <c r="F350" s="9"/>
      <c r="G350" s="9"/>
      <c r="H350" s="9"/>
      <c r="I350" s="9"/>
      <c r="J350" t="s">
        <v>15</v>
      </c>
      <c r="K350">
        <f>K338/COS((K344-90)/180*3.14)</f>
        <v>212.92901102050533</v>
      </c>
      <c r="N350" s="9"/>
      <c r="O350" s="9"/>
      <c r="P350" s="9"/>
      <c r="Q350" s="9"/>
      <c r="R350" s="9"/>
      <c r="S350" s="9"/>
    </row>
    <row r="351" spans="1:20" x14ac:dyDescent="0.25">
      <c r="A351" s="9"/>
      <c r="B351" s="9"/>
      <c r="C351" s="9"/>
      <c r="D351" s="9"/>
      <c r="E351" s="9"/>
      <c r="F351" s="9"/>
      <c r="G351" s="9"/>
      <c r="H351" s="9"/>
      <c r="I351" s="9"/>
      <c r="J351" t="s">
        <v>113</v>
      </c>
      <c r="K351">
        <f>K338/COS((90-K346)/180*3.14)</f>
        <v>212.92901102050533</v>
      </c>
      <c r="N351" s="9"/>
      <c r="O351" s="9"/>
      <c r="P351" s="9"/>
      <c r="Q351" s="9"/>
      <c r="R351" s="9"/>
      <c r="S351" s="9"/>
    </row>
    <row r="352" spans="1:20" x14ac:dyDescent="0.25">
      <c r="A352" s="9"/>
      <c r="B352" s="9"/>
      <c r="C352" s="9"/>
      <c r="D352" s="9"/>
      <c r="E352" s="9"/>
      <c r="F352" s="9"/>
      <c r="G352" s="9"/>
      <c r="H352" s="9"/>
      <c r="I352" s="9"/>
      <c r="J352" t="s">
        <v>136</v>
      </c>
      <c r="K352">
        <f>K338/COS((K345-90)/180*3.14)</f>
        <v>149.4414254408226</v>
      </c>
      <c r="N352" s="9"/>
      <c r="O352" s="9"/>
      <c r="P352" s="9"/>
      <c r="Q352" s="9"/>
      <c r="R352" s="9"/>
      <c r="S352" s="9"/>
    </row>
    <row r="353" spans="1:24" x14ac:dyDescent="0.25">
      <c r="A353" s="9"/>
      <c r="B353" s="9"/>
      <c r="C353" s="9"/>
      <c r="D353" s="9"/>
      <c r="E353" s="9"/>
      <c r="F353" s="9"/>
      <c r="G353" s="9"/>
      <c r="H353" s="9"/>
      <c r="I353" s="9"/>
      <c r="J353" t="s">
        <v>85</v>
      </c>
      <c r="K353">
        <f>K338/COS((90-K347)/180*3.14)</f>
        <v>213.4094752340624</v>
      </c>
      <c r="N353" s="9"/>
      <c r="O353" s="9"/>
      <c r="P353" s="9"/>
      <c r="Q353" s="9"/>
      <c r="R353" s="9"/>
      <c r="S353" s="9"/>
    </row>
    <row r="354" spans="1:24" x14ac:dyDescent="0.25">
      <c r="A354" s="9"/>
      <c r="B354" s="9"/>
      <c r="C354" s="9"/>
      <c r="D354" s="9"/>
      <c r="E354" s="9"/>
      <c r="F354" s="9"/>
      <c r="G354" s="9"/>
      <c r="H354" s="9"/>
      <c r="I354" s="9"/>
      <c r="J354" t="s">
        <v>132</v>
      </c>
      <c r="M354">
        <f>K344-K345</f>
        <v>22.941298916896883</v>
      </c>
      <c r="N354" s="9"/>
      <c r="O354" s="9"/>
      <c r="P354" s="9"/>
      <c r="Q354" s="9"/>
      <c r="R354" s="9"/>
      <c r="S354" s="9"/>
    </row>
    <row r="355" spans="1:24" x14ac:dyDescent="0.25">
      <c r="A355" s="9"/>
      <c r="B355" s="9"/>
      <c r="C355" s="9"/>
      <c r="D355" s="9"/>
      <c r="E355" s="9"/>
      <c r="F355" s="9"/>
      <c r="G355" s="9"/>
      <c r="H355" s="9"/>
      <c r="I355" s="9"/>
      <c r="J355" t="s">
        <v>133</v>
      </c>
      <c r="M355">
        <f>COS((K344-90)/180*3.14)/COS((K345-90)/180*3.14)</f>
        <v>0.70183684564444437</v>
      </c>
      <c r="N355" s="9"/>
      <c r="O355" s="9"/>
      <c r="P355" s="9"/>
      <c r="Q355" s="9"/>
      <c r="R355" s="9"/>
      <c r="S355" s="9"/>
    </row>
    <row r="356" spans="1:24" x14ac:dyDescent="0.25">
      <c r="A356" s="9"/>
      <c r="B356" s="9"/>
      <c r="C356" s="9"/>
      <c r="D356" s="9"/>
      <c r="E356" s="9"/>
      <c r="F356" s="9"/>
      <c r="G356" s="9"/>
      <c r="H356" s="9"/>
      <c r="I356" s="9"/>
      <c r="J356" t="s">
        <v>140</v>
      </c>
      <c r="M356">
        <f>K338/(2*K339)*(S339)</f>
        <v>0.5</v>
      </c>
      <c r="N356" s="9"/>
      <c r="O356" s="9"/>
      <c r="P356" s="9"/>
      <c r="Q356" s="9"/>
      <c r="R356" s="9"/>
      <c r="S356" s="9"/>
      <c r="T356" s="9"/>
    </row>
    <row r="357" spans="1:24" x14ac:dyDescent="0.25">
      <c r="A357" s="9"/>
      <c r="B357" s="9"/>
      <c r="C357" s="9"/>
      <c r="D357" s="9"/>
      <c r="E357" s="9"/>
      <c r="F357" s="9"/>
      <c r="G357" s="9"/>
      <c r="H357" s="9"/>
      <c r="I357" s="9"/>
      <c r="J357" t="s">
        <v>143</v>
      </c>
      <c r="M357">
        <f>K338*(TAN((90-K346)/180*3.14)-TAN((90-K343)/180*3.14))</f>
        <v>95.180517193608409</v>
      </c>
      <c r="N357" s="9"/>
      <c r="O357" s="9"/>
      <c r="P357" s="9"/>
      <c r="Q357" s="9"/>
      <c r="R357" s="9"/>
      <c r="S357" s="9"/>
      <c r="T357" s="9"/>
    </row>
    <row r="358" spans="1:24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4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t="s">
        <v>16</v>
      </c>
      <c r="N359">
        <f>N338-0.5*K353^2/$C$28</f>
        <v>499.40145431083596</v>
      </c>
      <c r="P359" s="12" t="s">
        <v>139</v>
      </c>
      <c r="Q359" s="12">
        <f>N340/(N359*287)</f>
        <v>4.6623144074396592</v>
      </c>
      <c r="R359" s="9"/>
      <c r="S359" s="9"/>
      <c r="T359" t="s">
        <v>187</v>
      </c>
      <c r="U359">
        <f>N338</f>
        <v>521.51</v>
      </c>
      <c r="W359" t="s">
        <v>191</v>
      </c>
      <c r="X359">
        <f>U361/(U360*287)</f>
        <v>4.9368124184405069</v>
      </c>
    </row>
    <row r="360" spans="1:24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t="s">
        <v>17</v>
      </c>
      <c r="N360">
        <f>N339-0.5*K351^2/$C$28</f>
        <v>518.50089139117938</v>
      </c>
      <c r="P360" s="12" t="s">
        <v>147</v>
      </c>
      <c r="Q360" s="12">
        <f>N372/(N360*287)</f>
        <v>5.0879030194477401</v>
      </c>
      <c r="R360" s="9"/>
      <c r="S360" s="9"/>
      <c r="T360" t="s">
        <v>188</v>
      </c>
      <c r="U360">
        <f>U359-0.5*K349^2/$C$28</f>
        <v>510.66886425350242</v>
      </c>
    </row>
    <row r="361" spans="1:24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t="s">
        <v>91</v>
      </c>
      <c r="N361">
        <f>N329</f>
        <v>779801.63231303589</v>
      </c>
      <c r="R361" s="9"/>
      <c r="S361" s="9"/>
      <c r="T361" t="s">
        <v>189</v>
      </c>
      <c r="U361">
        <f>N361/((N338/U360)^($C$27/($C$27-1)))</f>
        <v>723548.92414743127</v>
      </c>
    </row>
    <row r="362" spans="1:24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R362" s="9"/>
      <c r="S362" s="9"/>
      <c r="T362" t="s">
        <v>190</v>
      </c>
      <c r="U362">
        <f>U361+X359*K349^2/2</f>
        <v>778675.19733823894</v>
      </c>
    </row>
    <row r="363" spans="1:24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t="s">
        <v>24</v>
      </c>
      <c r="R363" s="9"/>
      <c r="S363" s="9"/>
      <c r="T363" s="9"/>
    </row>
    <row r="364" spans="1:24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N364" t="s">
        <v>224</v>
      </c>
      <c r="R364" s="9"/>
      <c r="S364" s="9"/>
      <c r="T364" s="9"/>
    </row>
    <row r="365" spans="1:24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O365" t="s">
        <v>198</v>
      </c>
      <c r="P365">
        <f>'Comp Design Parameters'!AI4</f>
        <v>0.92920426693652014</v>
      </c>
      <c r="R365" s="9"/>
      <c r="S365" s="9"/>
      <c r="T365" s="9"/>
    </row>
    <row r="366" spans="1:24" x14ac:dyDescent="0.25">
      <c r="T366" s="9"/>
    </row>
    <row r="367" spans="1:24" x14ac:dyDescent="0.25">
      <c r="T367" s="9"/>
    </row>
    <row r="368" spans="1:24" x14ac:dyDescent="0.25">
      <c r="N368" t="s">
        <v>135</v>
      </c>
      <c r="O368">
        <f>(1+P365*E334/N338)^($C$27/($C$27-1))</f>
        <v>1.1259865468562971</v>
      </c>
      <c r="T368" s="9"/>
    </row>
    <row r="369" spans="1:20" x14ac:dyDescent="0.25">
      <c r="T369" s="9"/>
    </row>
    <row r="370" spans="1:20" x14ac:dyDescent="0.25">
      <c r="T370" s="9"/>
    </row>
    <row r="371" spans="1:20" x14ac:dyDescent="0.25">
      <c r="M371" t="s">
        <v>92</v>
      </c>
      <c r="N371">
        <f>N361*O368</f>
        <v>878046.14720105915</v>
      </c>
      <c r="T371" s="9"/>
    </row>
    <row r="372" spans="1:20" x14ac:dyDescent="0.25">
      <c r="M372" s="12" t="s">
        <v>141</v>
      </c>
      <c r="N372" s="12">
        <f>N371*(N360/N339)^($C$27/($C$27-1))</f>
        <v>757129.60600701603</v>
      </c>
      <c r="T372" s="9"/>
    </row>
    <row r="373" spans="1:20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 spans="1:20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 spans="1:20" x14ac:dyDescent="0.25">
      <c r="A375">
        <v>9</v>
      </c>
      <c r="B375" t="s">
        <v>173</v>
      </c>
    </row>
    <row r="376" spans="1:20" x14ac:dyDescent="0.25">
      <c r="C376" t="s">
        <v>167</v>
      </c>
      <c r="D376" t="s">
        <v>28</v>
      </c>
      <c r="E376">
        <f>E79</f>
        <v>19</v>
      </c>
      <c r="F376" t="s">
        <v>31</v>
      </c>
    </row>
    <row r="377" spans="1:20" x14ac:dyDescent="0.25">
      <c r="C377" t="s">
        <v>144</v>
      </c>
      <c r="D377" t="s">
        <v>28</v>
      </c>
      <c r="E377">
        <f>G79</f>
        <v>0.83</v>
      </c>
    </row>
    <row r="378" spans="1:20" x14ac:dyDescent="0.25">
      <c r="C378" s="1" t="s">
        <v>140</v>
      </c>
      <c r="D378" s="1" t="s">
        <v>28</v>
      </c>
      <c r="E378" s="1">
        <v>0.5</v>
      </c>
    </row>
    <row r="380" spans="1:20" x14ac:dyDescent="0.25">
      <c r="G380" t="s">
        <v>3</v>
      </c>
      <c r="H380">
        <f>H338-($E$8-$E$9)/8</f>
        <v>1.0214875000000001</v>
      </c>
      <c r="J380" t="s">
        <v>80</v>
      </c>
      <c r="K380">
        <v>130.25</v>
      </c>
      <c r="M380" t="s">
        <v>93</v>
      </c>
      <c r="N380">
        <f>N339</f>
        <v>540.51</v>
      </c>
      <c r="P380" t="s">
        <v>130</v>
      </c>
      <c r="R380" s="11" t="s">
        <v>28</v>
      </c>
      <c r="S380">
        <f>E376*1005/(E377*K380*K381)</f>
        <v>0.73682432566305822</v>
      </c>
      <c r="T380" s="9"/>
    </row>
    <row r="381" spans="1:20" x14ac:dyDescent="0.25">
      <c r="G381" t="s">
        <v>36</v>
      </c>
      <c r="H381">
        <v>469.35</v>
      </c>
      <c r="J381" t="s">
        <v>18</v>
      </c>
      <c r="K381">
        <f>H381*H380/2</f>
        <v>239.71757906250002</v>
      </c>
      <c r="M381" t="s">
        <v>94</v>
      </c>
      <c r="N381">
        <f>N380+E376</f>
        <v>559.51</v>
      </c>
      <c r="P381" t="s">
        <v>127</v>
      </c>
      <c r="R381" t="s">
        <v>28</v>
      </c>
      <c r="S381">
        <f>E378*2*K381/K380</f>
        <v>1.8404420657389637</v>
      </c>
      <c r="T381" s="9"/>
    </row>
    <row r="382" spans="1:20" x14ac:dyDescent="0.25">
      <c r="M382" s="12" t="s">
        <v>126</v>
      </c>
      <c r="N382" s="12">
        <f>N372</f>
        <v>757129.60600701603</v>
      </c>
      <c r="P382" t="s">
        <v>128</v>
      </c>
      <c r="R382" t="s">
        <v>28</v>
      </c>
      <c r="S382">
        <f>(S380+S381)/2</f>
        <v>1.2886331957010109</v>
      </c>
      <c r="T382" s="9"/>
    </row>
    <row r="383" spans="1:20" x14ac:dyDescent="0.25">
      <c r="P383" t="s">
        <v>129</v>
      </c>
      <c r="R383" t="s">
        <v>28</v>
      </c>
      <c r="S383">
        <f>(S381-S380)/2</f>
        <v>0.55180887003795276</v>
      </c>
    </row>
    <row r="385" spans="1:20" x14ac:dyDescent="0.25">
      <c r="J385" t="s">
        <v>83</v>
      </c>
      <c r="K385">
        <f>90-ATAN(K381/K380-TAN((K386-90)/180*3.14))/3.14*180</f>
        <v>61.095042925315781</v>
      </c>
    </row>
    <row r="386" spans="1:20" x14ac:dyDescent="0.25">
      <c r="J386" t="s">
        <v>58</v>
      </c>
      <c r="K386">
        <f>ATAN(S382)/3.14*180+90</f>
        <v>142.21443485012662</v>
      </c>
    </row>
    <row r="387" spans="1:20" x14ac:dyDescent="0.25">
      <c r="J387" t="s">
        <v>52</v>
      </c>
      <c r="K387">
        <f>ATAN(S383)/3.14*180+90</f>
        <v>118.90495707468423</v>
      </c>
    </row>
    <row r="388" spans="1:20" x14ac:dyDescent="0.25">
      <c r="J388" t="s">
        <v>131</v>
      </c>
      <c r="K388">
        <f>90-ATAN(K381/K380-TAN((K387-90)/180*3.14))/3.14*180</f>
        <v>37.785565149873378</v>
      </c>
    </row>
    <row r="389" spans="1:20" x14ac:dyDescent="0.25">
      <c r="J389" t="s">
        <v>145</v>
      </c>
      <c r="K389">
        <f>K346</f>
        <v>37.686455395710141</v>
      </c>
    </row>
    <row r="391" spans="1:20" x14ac:dyDescent="0.25">
      <c r="A391" s="9"/>
      <c r="B391" s="9"/>
      <c r="C391" s="9"/>
      <c r="D391" s="9"/>
      <c r="E391" s="9"/>
      <c r="F391" s="9"/>
      <c r="G391" s="9"/>
      <c r="H391" s="9"/>
      <c r="I391" s="9"/>
      <c r="J391" t="s">
        <v>14</v>
      </c>
      <c r="K391">
        <f>K380/COS((90-K385)/180*3.14)</f>
        <v>148.7642624042852</v>
      </c>
      <c r="N391" s="9"/>
      <c r="O391" s="9"/>
      <c r="P391" s="9"/>
      <c r="Q391" s="9"/>
      <c r="R391" s="9"/>
      <c r="S391" s="9"/>
    </row>
    <row r="392" spans="1:20" x14ac:dyDescent="0.25">
      <c r="A392" s="9"/>
      <c r="B392" s="9"/>
      <c r="C392" s="9"/>
      <c r="D392" s="9"/>
      <c r="E392" s="9"/>
      <c r="F392" s="9"/>
      <c r="G392" s="9"/>
      <c r="H392" s="9"/>
      <c r="I392" s="9"/>
      <c r="J392" t="s">
        <v>15</v>
      </c>
      <c r="K392">
        <f>K380/COS((K386-90)/180*3.14)</f>
        <v>212.45430065093197</v>
      </c>
      <c r="N392" s="9"/>
      <c r="O392" s="9"/>
      <c r="P392" s="9"/>
      <c r="Q392" s="9"/>
      <c r="R392" s="9"/>
      <c r="S392" s="9"/>
    </row>
    <row r="393" spans="1:20" x14ac:dyDescent="0.25">
      <c r="A393" s="9"/>
      <c r="B393" s="9"/>
      <c r="C393" s="9"/>
      <c r="D393" s="9"/>
      <c r="E393" s="9"/>
      <c r="F393" s="9"/>
      <c r="G393" s="9"/>
      <c r="H393" s="9"/>
      <c r="I393" s="9"/>
      <c r="J393" t="s">
        <v>113</v>
      </c>
      <c r="K393">
        <f>K380/COS((90-K388)/180*3.14)</f>
        <v>212.45430065093197</v>
      </c>
      <c r="N393" s="9"/>
      <c r="O393" s="9"/>
      <c r="P393" s="9"/>
      <c r="Q393" s="9"/>
      <c r="R393" s="9"/>
      <c r="S393" s="9"/>
    </row>
    <row r="394" spans="1:20" x14ac:dyDescent="0.25">
      <c r="A394" s="9"/>
      <c r="B394" s="9"/>
      <c r="C394" s="9"/>
      <c r="D394" s="9"/>
      <c r="E394" s="9"/>
      <c r="F394" s="9"/>
      <c r="G394" s="9"/>
      <c r="H394" s="9"/>
      <c r="I394" s="9"/>
      <c r="J394" t="s">
        <v>136</v>
      </c>
      <c r="K394">
        <f>K380/COS((K387-90)/180*3.14)</f>
        <v>148.76426240428523</v>
      </c>
      <c r="N394" s="9"/>
      <c r="O394" s="9"/>
      <c r="P394" s="9"/>
      <c r="Q394" s="9"/>
      <c r="R394" s="9"/>
      <c r="S394" s="9"/>
    </row>
    <row r="395" spans="1:20" x14ac:dyDescent="0.25">
      <c r="A395" s="9"/>
      <c r="B395" s="9"/>
      <c r="C395" s="9"/>
      <c r="D395" s="9"/>
      <c r="E395" s="9"/>
      <c r="F395" s="9"/>
      <c r="G395" s="9"/>
      <c r="H395" s="9"/>
      <c r="I395" s="9"/>
      <c r="J395" t="s">
        <v>85</v>
      </c>
      <c r="K395">
        <f>K380/COS((90-K389)/180*3.14)</f>
        <v>212.92901102050533</v>
      </c>
      <c r="N395" s="9"/>
      <c r="O395" s="9"/>
      <c r="P395" s="9"/>
      <c r="Q395" s="9"/>
      <c r="R395" s="9"/>
      <c r="S395" s="9"/>
    </row>
    <row r="396" spans="1:20" x14ac:dyDescent="0.25">
      <c r="A396" s="9"/>
      <c r="B396" s="9"/>
      <c r="C396" s="9"/>
      <c r="D396" s="9"/>
      <c r="E396" s="9"/>
      <c r="F396" s="9"/>
      <c r="G396" s="9"/>
      <c r="H396" s="9"/>
      <c r="I396" s="9"/>
      <c r="J396" t="s">
        <v>132</v>
      </c>
      <c r="M396">
        <f>K386-K387</f>
        <v>23.309477775442389</v>
      </c>
      <c r="N396" s="9"/>
      <c r="O396" s="9"/>
      <c r="P396" s="9"/>
      <c r="Q396" s="9"/>
      <c r="R396" s="9"/>
      <c r="S396" s="9"/>
    </row>
    <row r="397" spans="1:20" x14ac:dyDescent="0.25">
      <c r="A397" s="9"/>
      <c r="B397" s="9"/>
      <c r="C397" s="9"/>
      <c r="D397" s="9"/>
      <c r="E397" s="9"/>
      <c r="F397" s="9"/>
      <c r="G397" s="9"/>
      <c r="H397" s="9"/>
      <c r="I397" s="9"/>
      <c r="J397" t="s">
        <v>133</v>
      </c>
      <c r="M397">
        <f>COS((K386-90)/180*3.14)/COS((K387-90)/180*3.14)</f>
        <v>0.7002177030471548</v>
      </c>
      <c r="N397" s="9"/>
      <c r="O397" s="9"/>
      <c r="P397" s="9"/>
      <c r="Q397" s="9"/>
      <c r="R397" s="9"/>
      <c r="S397" s="9"/>
    </row>
    <row r="398" spans="1:20" x14ac:dyDescent="0.25">
      <c r="A398" s="9"/>
      <c r="B398" s="9"/>
      <c r="C398" s="9"/>
      <c r="D398" s="9"/>
      <c r="E398" s="9"/>
      <c r="F398" s="9"/>
      <c r="G398" s="9"/>
      <c r="H398" s="9"/>
      <c r="I398" s="9"/>
      <c r="J398" t="s">
        <v>140</v>
      </c>
      <c r="M398">
        <f>K380/(2*K381)*(S381)</f>
        <v>0.5</v>
      </c>
      <c r="N398" s="9"/>
      <c r="O398" s="9"/>
      <c r="P398" s="9"/>
      <c r="Q398" s="9"/>
      <c r="R398" s="9"/>
      <c r="S398" s="9"/>
      <c r="T398" s="9"/>
    </row>
    <row r="399" spans="1:20" x14ac:dyDescent="0.25">
      <c r="A399" s="9"/>
      <c r="B399" s="9"/>
      <c r="C399" s="9"/>
      <c r="D399" s="9"/>
      <c r="E399" s="9"/>
      <c r="F399" s="9"/>
      <c r="G399" s="9"/>
      <c r="H399" s="9"/>
      <c r="I399" s="9"/>
      <c r="J399" t="s">
        <v>143</v>
      </c>
      <c r="M399">
        <f>K380*(TAN((90-K388)/180*3.14)-TAN((90-K385)/180*3.14))</f>
        <v>95.971368417613448</v>
      </c>
      <c r="N399" s="9"/>
      <c r="O399" s="9"/>
      <c r="P399" s="9"/>
      <c r="Q399" s="9"/>
      <c r="R399" s="9"/>
      <c r="S399" s="9"/>
      <c r="T399" s="9"/>
    </row>
    <row r="400" spans="1:20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4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t="s">
        <v>16</v>
      </c>
      <c r="N401">
        <f>N380-0.5*K395^2/$C$28</f>
        <v>518.50089139117938</v>
      </c>
      <c r="P401" s="12" t="s">
        <v>139</v>
      </c>
      <c r="Q401" s="12">
        <f>N382/(N401*287)</f>
        <v>5.0879030194477401</v>
      </c>
      <c r="R401" s="9"/>
      <c r="S401" s="9"/>
      <c r="T401" t="s">
        <v>187</v>
      </c>
      <c r="U401">
        <f>N380</f>
        <v>540.51</v>
      </c>
      <c r="W401" t="s">
        <v>191</v>
      </c>
      <c r="X401">
        <f>U403/(U402*287)</f>
        <v>5.376201075829548</v>
      </c>
    </row>
    <row r="402" spans="1:24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t="s">
        <v>17</v>
      </c>
      <c r="N402">
        <f>N381-0.5*K393^2/$C$28</f>
        <v>537.59891754122498</v>
      </c>
      <c r="P402" s="12" t="s">
        <v>147</v>
      </c>
      <c r="Q402" s="12">
        <f>N414/(N402*287)</f>
        <v>5.5346144335396286</v>
      </c>
      <c r="R402" s="9"/>
      <c r="S402" s="9"/>
      <c r="T402" t="s">
        <v>188</v>
      </c>
      <c r="U402">
        <f>U401-0.5*K391^2/$C$28</f>
        <v>529.76689040354802</v>
      </c>
    </row>
    <row r="403" spans="1:24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t="s">
        <v>91</v>
      </c>
      <c r="N403">
        <f>N371</f>
        <v>878046.14720105915</v>
      </c>
      <c r="R403" s="9"/>
      <c r="S403" s="9"/>
      <c r="T403" t="s">
        <v>189</v>
      </c>
      <c r="U403">
        <f>N403/((N380/U402)^($C$27/($C$27-1)))</f>
        <v>817414.26459828508</v>
      </c>
    </row>
    <row r="404" spans="1:24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R404" s="9"/>
      <c r="S404" s="9"/>
      <c r="T404" t="s">
        <v>190</v>
      </c>
      <c r="U404">
        <f>U403+X401*K391^2/2</f>
        <v>876904.09548959078</v>
      </c>
    </row>
    <row r="405" spans="1:24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t="s">
        <v>24</v>
      </c>
      <c r="R405" s="9"/>
      <c r="S405" s="9"/>
      <c r="T405" s="9"/>
    </row>
    <row r="406" spans="1:24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N406" t="s">
        <v>224</v>
      </c>
      <c r="R406" s="9"/>
      <c r="S406" s="9"/>
      <c r="T406" s="9"/>
    </row>
    <row r="407" spans="1:24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O407" t="s">
        <v>198</v>
      </c>
      <c r="P407">
        <f>'Comp Design Parameters'!AJ4</f>
        <v>0.92911106238318242</v>
      </c>
      <c r="R407" s="9"/>
      <c r="S407" s="9"/>
      <c r="T407" s="9"/>
    </row>
    <row r="408" spans="1:24" x14ac:dyDescent="0.25">
      <c r="T408" s="9"/>
    </row>
    <row r="409" spans="1:24" x14ac:dyDescent="0.25">
      <c r="T409" s="9"/>
    </row>
    <row r="410" spans="1:24" x14ac:dyDescent="0.25">
      <c r="N410" t="s">
        <v>135</v>
      </c>
      <c r="O410">
        <f>(1+P407*E376/N380)^($C$27/($C$27-1))</f>
        <v>1.1213613761176142</v>
      </c>
      <c r="T410" s="9"/>
    </row>
    <row r="411" spans="1:24" x14ac:dyDescent="0.25">
      <c r="T411" s="9"/>
    </row>
    <row r="412" spans="1:24" x14ac:dyDescent="0.25">
      <c r="T412" s="9"/>
    </row>
    <row r="413" spans="1:24" x14ac:dyDescent="0.25">
      <c r="M413" t="s">
        <v>92</v>
      </c>
      <c r="N413">
        <f>N403*O410</f>
        <v>984607.03592014895</v>
      </c>
      <c r="T413" s="9"/>
    </row>
    <row r="414" spans="1:24" x14ac:dyDescent="0.25">
      <c r="M414" s="12" t="s">
        <v>141</v>
      </c>
      <c r="N414" s="12">
        <f>N413*(N402/N381)^($C$27/($C$27-1))</f>
        <v>853940.583073457</v>
      </c>
      <c r="T414" s="9"/>
    </row>
    <row r="415" spans="1:24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 spans="1:24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 spans="1:19" x14ac:dyDescent="0.25">
      <c r="A417">
        <v>9</v>
      </c>
      <c r="B417" t="s">
        <v>174</v>
      </c>
    </row>
    <row r="418" spans="1:19" x14ac:dyDescent="0.25">
      <c r="C418" t="s">
        <v>168</v>
      </c>
      <c r="D418" t="s">
        <v>28</v>
      </c>
      <c r="E418">
        <f>E80</f>
        <v>17.379999999999995</v>
      </c>
      <c r="F418" t="s">
        <v>31</v>
      </c>
    </row>
    <row r="419" spans="1:19" x14ac:dyDescent="0.25">
      <c r="C419" t="s">
        <v>144</v>
      </c>
      <c r="D419" t="s">
        <v>28</v>
      </c>
      <c r="E419">
        <f>G80</f>
        <v>0.83</v>
      </c>
    </row>
    <row r="420" spans="1:19" x14ac:dyDescent="0.25">
      <c r="C420" s="1" t="s">
        <v>140</v>
      </c>
      <c r="D420" s="1" t="s">
        <v>28</v>
      </c>
      <c r="E420" s="1">
        <v>0.5</v>
      </c>
    </row>
    <row r="422" spans="1:19" x14ac:dyDescent="0.25">
      <c r="G422" t="s">
        <v>3</v>
      </c>
      <c r="H422">
        <f>H380-($E$8-$E$9)/8</f>
        <v>1.0130000000000001</v>
      </c>
      <c r="J422" t="s">
        <v>80</v>
      </c>
      <c r="K422">
        <v>130.25</v>
      </c>
      <c r="M422" t="s">
        <v>93</v>
      </c>
      <c r="N422">
        <f>N381</f>
        <v>559.51</v>
      </c>
      <c r="P422" t="s">
        <v>130</v>
      </c>
      <c r="R422" s="11" t="s">
        <v>28</v>
      </c>
      <c r="S422">
        <f>E418*1005/(E419*K422*K423)</f>
        <v>0.67964752172856613</v>
      </c>
    </row>
    <row r="423" spans="1:19" x14ac:dyDescent="0.25">
      <c r="G423" t="s">
        <v>36</v>
      </c>
      <c r="H423">
        <v>469.35</v>
      </c>
      <c r="J423" t="s">
        <v>18</v>
      </c>
      <c r="K423">
        <f>H423*H422/2</f>
        <v>237.72577500000003</v>
      </c>
      <c r="M423" t="s">
        <v>94</v>
      </c>
      <c r="N423">
        <f>N422+E418</f>
        <v>576.89</v>
      </c>
      <c r="P423" t="s">
        <v>127</v>
      </c>
      <c r="R423" t="s">
        <v>28</v>
      </c>
      <c r="S423">
        <f>E420*2*K423/K422</f>
        <v>1.8251499040307104</v>
      </c>
    </row>
    <row r="424" spans="1:19" x14ac:dyDescent="0.25">
      <c r="M424" s="12" t="s">
        <v>126</v>
      </c>
      <c r="N424" s="12">
        <f>N414</f>
        <v>853940.583073457</v>
      </c>
      <c r="P424" t="s">
        <v>128</v>
      </c>
      <c r="R424" t="s">
        <v>28</v>
      </c>
      <c r="S424">
        <f>(S422+S423)/2</f>
        <v>1.2523987128796383</v>
      </c>
    </row>
    <row r="425" spans="1:19" x14ac:dyDescent="0.25">
      <c r="P425" t="s">
        <v>129</v>
      </c>
      <c r="R425" t="s">
        <v>28</v>
      </c>
      <c r="S425">
        <f>(S423-S422)/2</f>
        <v>0.57275119115107209</v>
      </c>
    </row>
    <row r="427" spans="1:19" x14ac:dyDescent="0.25">
      <c r="J427" t="s">
        <v>83</v>
      </c>
      <c r="K427">
        <f>90-ATAN(K423/K422-TAN((K428-90)/180*3.14))/3.14*180</f>
        <v>60.182908396806937</v>
      </c>
    </row>
    <row r="428" spans="1:19" x14ac:dyDescent="0.25">
      <c r="J428" t="s">
        <v>58</v>
      </c>
      <c r="K428">
        <f>ATAN(S424)/3.14*180+90</f>
        <v>141.41983031883041</v>
      </c>
    </row>
    <row r="429" spans="1:19" x14ac:dyDescent="0.25">
      <c r="J429" t="s">
        <v>52</v>
      </c>
      <c r="K429">
        <f>ATAN(S425)/3.14*180+90</f>
        <v>119.81709160319305</v>
      </c>
    </row>
    <row r="430" spans="1:19" x14ac:dyDescent="0.25">
      <c r="J430" t="s">
        <v>131</v>
      </c>
      <c r="K430">
        <f>90-ATAN(K423/K422-TAN((K429-90)/180*3.14))/3.14*180</f>
        <v>38.580169681169579</v>
      </c>
    </row>
    <row r="431" spans="1:19" x14ac:dyDescent="0.25">
      <c r="J431" t="s">
        <v>145</v>
      </c>
      <c r="K431">
        <f>K388</f>
        <v>37.785565149873378</v>
      </c>
    </row>
    <row r="433" spans="1:24" x14ac:dyDescent="0.25">
      <c r="A433" s="9"/>
      <c r="B433" s="9"/>
      <c r="C433" s="9"/>
      <c r="D433" s="9"/>
      <c r="E433" s="9"/>
      <c r="F433" s="9"/>
      <c r="G433" s="9"/>
      <c r="H433" s="9"/>
      <c r="I433" s="9"/>
      <c r="J433" t="s">
        <v>14</v>
      </c>
      <c r="K433">
        <f>K422/COS((90-K427)/180*3.14)</f>
        <v>150.10112665701811</v>
      </c>
      <c r="N433" s="9"/>
      <c r="O433" s="9"/>
      <c r="P433" s="9"/>
      <c r="Q433" s="9"/>
      <c r="R433" s="9"/>
      <c r="S433" s="9"/>
    </row>
    <row r="434" spans="1:24" x14ac:dyDescent="0.25">
      <c r="A434" s="9"/>
      <c r="B434" s="9"/>
      <c r="C434" s="9"/>
      <c r="D434" s="9"/>
      <c r="E434" s="9"/>
      <c r="F434" s="9"/>
      <c r="G434" s="9"/>
      <c r="H434" s="9"/>
      <c r="I434" s="9"/>
      <c r="J434" t="s">
        <v>15</v>
      </c>
      <c r="K434">
        <f>K422/COS((K428-90)/180*3.14)</f>
        <v>208.74579290378878</v>
      </c>
      <c r="N434" s="9"/>
      <c r="O434" s="9"/>
      <c r="P434" s="9"/>
      <c r="Q434" s="9"/>
      <c r="R434" s="9"/>
      <c r="S434" s="9"/>
    </row>
    <row r="435" spans="1:24" x14ac:dyDescent="0.25">
      <c r="A435" s="9"/>
      <c r="B435" s="9"/>
      <c r="C435" s="9"/>
      <c r="D435" s="9"/>
      <c r="E435" s="9"/>
      <c r="F435" s="9"/>
      <c r="G435" s="9"/>
      <c r="H435" s="9"/>
      <c r="I435" s="9"/>
      <c r="J435" t="s">
        <v>113</v>
      </c>
      <c r="K435">
        <f>K422/COS((90-K430)/180*3.14)</f>
        <v>208.74579290378878</v>
      </c>
      <c r="N435" s="9"/>
      <c r="O435" s="9"/>
      <c r="P435" s="9"/>
      <c r="Q435" s="9"/>
      <c r="R435" s="9"/>
      <c r="S435" s="9"/>
    </row>
    <row r="436" spans="1:24" x14ac:dyDescent="0.25">
      <c r="A436" s="9"/>
      <c r="B436" s="9"/>
      <c r="C436" s="9"/>
      <c r="D436" s="9"/>
      <c r="E436" s="9"/>
      <c r="F436" s="9"/>
      <c r="G436" s="9"/>
      <c r="H436" s="9"/>
      <c r="I436" s="9"/>
      <c r="J436" t="s">
        <v>136</v>
      </c>
      <c r="K436">
        <f>K422/COS((K429-90)/180*3.14)</f>
        <v>150.10112665701809</v>
      </c>
      <c r="N436" s="9"/>
      <c r="O436" s="9"/>
      <c r="P436" s="9"/>
      <c r="Q436" s="9"/>
      <c r="R436" s="9"/>
      <c r="S436" s="9"/>
    </row>
    <row r="437" spans="1:24" x14ac:dyDescent="0.25">
      <c r="A437" s="9"/>
      <c r="B437" s="9"/>
      <c r="C437" s="9"/>
      <c r="D437" s="9"/>
      <c r="E437" s="9"/>
      <c r="F437" s="9"/>
      <c r="G437" s="9"/>
      <c r="H437" s="9"/>
      <c r="I437" s="9"/>
      <c r="J437" t="s">
        <v>85</v>
      </c>
      <c r="K437">
        <f>K422/COS((90-K431)/180*3.14)</f>
        <v>212.45430065093197</v>
      </c>
      <c r="N437" s="9"/>
      <c r="O437" s="9"/>
      <c r="P437" s="9"/>
      <c r="Q437" s="9"/>
      <c r="R437" s="9"/>
      <c r="S437" s="9"/>
    </row>
    <row r="438" spans="1:24" x14ac:dyDescent="0.25">
      <c r="A438" s="9"/>
      <c r="B438" s="9"/>
      <c r="C438" s="9"/>
      <c r="D438" s="9"/>
      <c r="E438" s="9"/>
      <c r="F438" s="9"/>
      <c r="G438" s="9"/>
      <c r="H438" s="9"/>
      <c r="I438" s="9"/>
      <c r="J438" t="s">
        <v>132</v>
      </c>
      <c r="M438">
        <f>K428-K429</f>
        <v>21.602738715637358</v>
      </c>
      <c r="N438" s="9"/>
      <c r="O438" s="9"/>
      <c r="P438" s="9"/>
      <c r="Q438" s="9"/>
      <c r="R438" s="9"/>
      <c r="S438" s="9"/>
    </row>
    <row r="439" spans="1:24" x14ac:dyDescent="0.25">
      <c r="A439" s="9"/>
      <c r="B439" s="9"/>
      <c r="C439" s="9"/>
      <c r="D439" s="9"/>
      <c r="E439" s="9"/>
      <c r="F439" s="9"/>
      <c r="G439" s="9"/>
      <c r="H439" s="9"/>
      <c r="I439" s="9"/>
      <c r="J439" t="s">
        <v>133</v>
      </c>
      <c r="M439">
        <f>COS((K428-90)/180*3.14)/COS((K429-90)/180*3.14)</f>
        <v>0.71906180512198337</v>
      </c>
      <c r="N439" s="9"/>
      <c r="O439" s="9"/>
      <c r="P439" s="9"/>
      <c r="Q439" s="9"/>
      <c r="R439" s="9"/>
      <c r="S439" s="9"/>
    </row>
    <row r="440" spans="1:24" x14ac:dyDescent="0.25">
      <c r="A440" s="9"/>
      <c r="B440" s="9"/>
      <c r="C440" s="9"/>
      <c r="D440" s="9"/>
      <c r="E440" s="9"/>
      <c r="F440" s="9"/>
      <c r="G440" s="9"/>
      <c r="H440" s="9"/>
      <c r="I440" s="9"/>
      <c r="J440" t="s">
        <v>140</v>
      </c>
      <c r="M440">
        <f>K422/(2*K423)*(S423)</f>
        <v>0.5</v>
      </c>
      <c r="N440" s="9"/>
      <c r="O440" s="9"/>
      <c r="P440" s="9"/>
      <c r="Q440" s="9"/>
      <c r="R440" s="9"/>
      <c r="S440" s="9"/>
    </row>
    <row r="441" spans="1:24" x14ac:dyDescent="0.25">
      <c r="A441" s="9"/>
      <c r="B441" s="9"/>
      <c r="C441" s="9"/>
      <c r="D441" s="9"/>
      <c r="E441" s="9"/>
      <c r="F441" s="9"/>
      <c r="G441" s="9"/>
      <c r="H441" s="9"/>
      <c r="I441" s="9"/>
      <c r="J441" t="s">
        <v>143</v>
      </c>
      <c r="M441">
        <f>K422*(TAN((90-K430)/180*3.14)-TAN((90-K427)/180*3.14))</f>
        <v>88.524089705145698</v>
      </c>
      <c r="N441" s="9"/>
      <c r="O441" s="9"/>
      <c r="P441" s="9"/>
      <c r="Q441" s="9"/>
      <c r="R441" s="9"/>
      <c r="S441" s="9"/>
    </row>
    <row r="442" spans="1:24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 spans="1:24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t="s">
        <v>16</v>
      </c>
      <c r="N443">
        <f>N422-0.5*K437^2/$C$28</f>
        <v>537.59891754122498</v>
      </c>
      <c r="P443" s="12" t="s">
        <v>139</v>
      </c>
      <c r="Q443" s="12">
        <f>N424/(N443*287)</f>
        <v>5.5346144335396286</v>
      </c>
      <c r="R443" s="9"/>
      <c r="S443" s="9"/>
      <c r="T443" t="s">
        <v>187</v>
      </c>
      <c r="U443">
        <f>N422</f>
        <v>559.51</v>
      </c>
      <c r="W443" t="s">
        <v>191</v>
      </c>
      <c r="X443">
        <f>U445/(U444*287)</f>
        <v>5.8289444823554728</v>
      </c>
    </row>
    <row r="444" spans="1:24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t="s">
        <v>17</v>
      </c>
      <c r="N444">
        <f>N423-0.5*K435^2/$C$28</f>
        <v>555.73718152668368</v>
      </c>
      <c r="P444" t="s">
        <v>147</v>
      </c>
      <c r="Q444">
        <f>N456/(N444*287)</f>
        <v>5.7036456817629029</v>
      </c>
      <c r="R444" s="9"/>
      <c r="T444" t="s">
        <v>188</v>
      </c>
      <c r="U444">
        <f>U443-0.5*K433^2/$C$28</f>
        <v>548.57293775548237</v>
      </c>
    </row>
    <row r="445" spans="1:24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t="s">
        <v>91</v>
      </c>
      <c r="N445">
        <f>N413</f>
        <v>984607.03592014895</v>
      </c>
      <c r="P445" s="9" t="s">
        <v>148</v>
      </c>
      <c r="Q445" s="9"/>
      <c r="R445" s="9">
        <f>N456+0.5*Q444*K435^2</f>
        <v>1033979.5561947181</v>
      </c>
      <c r="S445" s="9"/>
      <c r="T445" t="s">
        <v>189</v>
      </c>
      <c r="U445">
        <f>N445/((N422/U444)^($C$27/($C$27-1)))</f>
        <v>917711.5440267137</v>
      </c>
    </row>
    <row r="446" spans="1:24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R446" s="9"/>
      <c r="S446" s="9"/>
      <c r="T446" t="s">
        <v>190</v>
      </c>
      <c r="U446">
        <f>U445+X443*K433^2/2</f>
        <v>983375.61850877351</v>
      </c>
    </row>
    <row r="447" spans="1:24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t="s">
        <v>24</v>
      </c>
      <c r="R447" s="9"/>
      <c r="S447" s="9"/>
    </row>
    <row r="448" spans="1:24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N448" t="s">
        <v>224</v>
      </c>
      <c r="R448" s="9"/>
      <c r="S448" s="9"/>
    </row>
    <row r="449" spans="1:19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O449" t="s">
        <v>198</v>
      </c>
      <c r="P449">
        <f>'Comp Design Parameters'!AK4</f>
        <v>0.92395354205826874</v>
      </c>
      <c r="R449" s="9"/>
      <c r="S449" s="9"/>
    </row>
    <row r="452" spans="1:19" x14ac:dyDescent="0.25">
      <c r="N452" t="s">
        <v>135</v>
      </c>
      <c r="O452">
        <f>(1+P449*E418/N422)^($C$27/($C$27-1))</f>
        <v>1.1061125990776055</v>
      </c>
    </row>
    <row r="455" spans="1:19" x14ac:dyDescent="0.25">
      <c r="M455" t="s">
        <v>92</v>
      </c>
      <c r="N455">
        <f>N445*O452</f>
        <v>1089086.2475717333</v>
      </c>
    </row>
    <row r="456" spans="1:19" x14ac:dyDescent="0.25">
      <c r="M456" t="s">
        <v>141</v>
      </c>
      <c r="N456" s="4">
        <f>E4*E5</f>
        <v>909711.929</v>
      </c>
    </row>
    <row r="457" spans="1:19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 spans="1:19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25"/>
  <sheetViews>
    <sheetView tabSelected="1" zoomScale="145" zoomScaleNormal="1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7" sqref="H27"/>
    </sheetView>
  </sheetViews>
  <sheetFormatPr defaultRowHeight="15" x14ac:dyDescent="0.25"/>
  <cols>
    <col min="1" max="1" width="15" style="63" customWidth="1"/>
    <col min="2" max="2" width="21" style="50" customWidth="1"/>
    <col min="3" max="18" width="9" customWidth="1"/>
    <col min="21" max="21" width="24.28515625" customWidth="1"/>
  </cols>
  <sheetData>
    <row r="2" spans="1:37" s="9" customFormat="1" x14ac:dyDescent="0.25">
      <c r="A2" s="58"/>
      <c r="B2" s="49"/>
    </row>
    <row r="3" spans="1:37" s="9" customFormat="1" x14ac:dyDescent="0.25">
      <c r="A3" s="58"/>
      <c r="B3" s="51" t="s">
        <v>176</v>
      </c>
      <c r="C3" s="67" t="s">
        <v>178</v>
      </c>
      <c r="D3" s="67" t="s">
        <v>178</v>
      </c>
      <c r="E3" s="67" t="s">
        <v>178</v>
      </c>
      <c r="F3" s="67" t="s">
        <v>179</v>
      </c>
      <c r="G3" s="67" t="s">
        <v>179</v>
      </c>
      <c r="H3" s="67" t="s">
        <v>179</v>
      </c>
      <c r="I3" s="67" t="s">
        <v>179</v>
      </c>
      <c r="J3" s="67" t="s">
        <v>180</v>
      </c>
      <c r="K3" s="67" t="s">
        <v>180</v>
      </c>
      <c r="L3" s="67" t="s">
        <v>180</v>
      </c>
      <c r="M3" s="67" t="s">
        <v>180</v>
      </c>
      <c r="N3" s="67" t="s">
        <v>180</v>
      </c>
      <c r="O3" s="67" t="s">
        <v>180</v>
      </c>
      <c r="P3" s="67" t="s">
        <v>180</v>
      </c>
      <c r="Q3" s="67" t="s">
        <v>180</v>
      </c>
      <c r="R3" s="67" t="s">
        <v>180</v>
      </c>
      <c r="U3" s="16" t="s">
        <v>200</v>
      </c>
      <c r="V3" s="16" t="s">
        <v>201</v>
      </c>
      <c r="W3" s="16" t="s">
        <v>202</v>
      </c>
      <c r="X3" s="16" t="s">
        <v>203</v>
      </c>
      <c r="Y3" s="16" t="s">
        <v>204</v>
      </c>
      <c r="Z3" s="16" t="s">
        <v>205</v>
      </c>
      <c r="AA3" s="16" t="s">
        <v>206</v>
      </c>
      <c r="AB3" s="16" t="s">
        <v>207</v>
      </c>
      <c r="AC3" s="16" t="s">
        <v>208</v>
      </c>
      <c r="AD3" s="16" t="s">
        <v>209</v>
      </c>
      <c r="AE3" s="16" t="s">
        <v>210</v>
      </c>
      <c r="AF3" s="16" t="s">
        <v>211</v>
      </c>
      <c r="AG3" s="16" t="s">
        <v>212</v>
      </c>
      <c r="AH3" s="16" t="s">
        <v>213</v>
      </c>
      <c r="AI3" s="16" t="s">
        <v>214</v>
      </c>
      <c r="AJ3" s="16" t="s">
        <v>215</v>
      </c>
      <c r="AK3" s="16" t="s">
        <v>216</v>
      </c>
    </row>
    <row r="4" spans="1:37" s="9" customFormat="1" x14ac:dyDescent="0.25">
      <c r="A4" s="58"/>
      <c r="B4" s="51" t="s">
        <v>177</v>
      </c>
      <c r="C4" s="48">
        <v>1</v>
      </c>
      <c r="D4" s="48">
        <v>2</v>
      </c>
      <c r="E4" s="48">
        <v>3</v>
      </c>
      <c r="F4" s="48">
        <v>1</v>
      </c>
      <c r="G4" s="48">
        <v>2</v>
      </c>
      <c r="H4" s="48">
        <v>3</v>
      </c>
      <c r="I4" s="48">
        <v>4</v>
      </c>
      <c r="J4" s="48">
        <v>1</v>
      </c>
      <c r="K4" s="48">
        <v>2</v>
      </c>
      <c r="L4" s="48">
        <v>3</v>
      </c>
      <c r="M4" s="48">
        <v>4</v>
      </c>
      <c r="N4" s="48">
        <v>5</v>
      </c>
      <c r="O4" s="48">
        <v>6</v>
      </c>
      <c r="P4" s="48">
        <v>7</v>
      </c>
      <c r="Q4" s="48">
        <v>8</v>
      </c>
      <c r="R4" s="48">
        <v>9</v>
      </c>
      <c r="U4" s="9" t="s">
        <v>342</v>
      </c>
      <c r="V4">
        <v>0.82062087931791206</v>
      </c>
      <c r="W4">
        <v>0.92968731875953214</v>
      </c>
      <c r="X4">
        <v>0.90741659060029256</v>
      </c>
      <c r="Y4">
        <v>0.95966112034700823</v>
      </c>
      <c r="Z4">
        <v>0.93012786624515553</v>
      </c>
      <c r="AA4">
        <v>0.9302136924112937</v>
      </c>
      <c r="AB4">
        <v>0.89831832920842269</v>
      </c>
      <c r="AC4">
        <v>0.95337700373079892</v>
      </c>
      <c r="AD4">
        <v>0.92881242655761476</v>
      </c>
      <c r="AE4">
        <v>0.92953762478689295</v>
      </c>
      <c r="AF4">
        <v>0.92944942328073188</v>
      </c>
      <c r="AG4">
        <v>0.92939183866213537</v>
      </c>
      <c r="AH4">
        <v>0.92929020042675892</v>
      </c>
      <c r="AI4">
        <v>0.92920426693652014</v>
      </c>
      <c r="AJ4">
        <v>0.92911106238318242</v>
      </c>
      <c r="AK4">
        <v>0.92395354205826874</v>
      </c>
    </row>
    <row r="5" spans="1:37" s="9" customFormat="1" x14ac:dyDescent="0.25">
      <c r="A5" s="60" t="s">
        <v>225</v>
      </c>
      <c r="B5" s="51" t="s">
        <v>228</v>
      </c>
      <c r="C5" s="41">
        <f>'Comp LP Design'!E3</f>
        <v>150</v>
      </c>
      <c r="D5" s="41">
        <f>'Comp LP Design'!E3</f>
        <v>150</v>
      </c>
      <c r="E5" s="41">
        <f>'Comp LP Design'!E3</f>
        <v>150</v>
      </c>
      <c r="F5" s="41">
        <f>'Comp LP Design'!E3</f>
        <v>150</v>
      </c>
      <c r="G5" s="41">
        <f>'Comp LP Design'!E3</f>
        <v>150</v>
      </c>
      <c r="H5" s="41">
        <f>'Comp LP Design'!E3</f>
        <v>150</v>
      </c>
      <c r="I5" s="41">
        <f>'Comp LP Design'!E3</f>
        <v>150</v>
      </c>
      <c r="J5" s="41">
        <f>'Comp LP Design'!E3</f>
        <v>150</v>
      </c>
      <c r="K5" s="41">
        <f>'Comp LP Design'!E3</f>
        <v>150</v>
      </c>
      <c r="L5" s="41">
        <f>'Comp LP Design'!E3</f>
        <v>150</v>
      </c>
      <c r="M5" s="41">
        <f>'Comp LP Design'!E3</f>
        <v>150</v>
      </c>
      <c r="N5" s="41">
        <f>'Comp LP Design'!E3</f>
        <v>150</v>
      </c>
      <c r="O5" s="41">
        <f>'Comp LP Design'!E3</f>
        <v>150</v>
      </c>
      <c r="P5" s="41">
        <f>'Comp LP Design'!E3</f>
        <v>150</v>
      </c>
      <c r="Q5" s="41">
        <f>'Comp LP Design'!E3</f>
        <v>150</v>
      </c>
      <c r="R5" s="41">
        <f>'Comp LP Design'!E3</f>
        <v>150</v>
      </c>
    </row>
    <row r="6" spans="1:37" s="9" customFormat="1" ht="30.75" customHeight="1" x14ac:dyDescent="0.25">
      <c r="A6" s="58"/>
      <c r="B6" s="51" t="s">
        <v>144</v>
      </c>
      <c r="C6" s="41">
        <f>'Comp LP Design'!G95</f>
        <v>0.98</v>
      </c>
      <c r="D6" s="41">
        <f>'Comp LP Design'!G96</f>
        <v>0.93</v>
      </c>
      <c r="E6" s="41">
        <f>'Comp LP Design'!G97</f>
        <v>0.88</v>
      </c>
      <c r="F6" s="41">
        <f>'Comp IP Design'!G72</f>
        <v>0.85</v>
      </c>
      <c r="G6" s="41">
        <f>'Comp IP Design'!G73</f>
        <v>0.85</v>
      </c>
      <c r="H6" s="41">
        <f>'Comp IP Design'!G74</f>
        <v>0.85</v>
      </c>
      <c r="I6" s="41">
        <f>'Comp IP Design'!G75</f>
        <v>0.85</v>
      </c>
      <c r="J6" s="41">
        <f>'Comp HP Design'!G72</f>
        <v>0.83</v>
      </c>
      <c r="K6" s="41">
        <f>'Comp HP Design'!G73</f>
        <v>0.83</v>
      </c>
      <c r="L6" s="41">
        <f>'Comp HP Design'!G74</f>
        <v>0.83</v>
      </c>
      <c r="M6" s="41">
        <f>'Comp HP Design'!G75</f>
        <v>0.83</v>
      </c>
      <c r="N6" s="41">
        <f>'Comp HP Design'!G76</f>
        <v>0.83</v>
      </c>
      <c r="O6" s="41">
        <f>'Comp HP Design'!G77</f>
        <v>0.83</v>
      </c>
      <c r="P6" s="41">
        <f>'Comp HP Design'!G78</f>
        <v>0.83</v>
      </c>
      <c r="Q6" s="41">
        <f>'Comp HP Design'!G79</f>
        <v>0.83</v>
      </c>
      <c r="R6" s="41">
        <f>'Comp HP Design'!G80</f>
        <v>0.83</v>
      </c>
    </row>
    <row r="7" spans="1:37" s="20" customFormat="1" x14ac:dyDescent="0.25">
      <c r="A7" s="59"/>
      <c r="B7" s="52" t="s">
        <v>229</v>
      </c>
      <c r="C7" s="30">
        <f>'Comp LP Design'!H101</f>
        <v>1.2042999999999999</v>
      </c>
      <c r="D7" s="30">
        <f>'Comp LP Design'!H141</f>
        <v>1.1648000000000001</v>
      </c>
      <c r="E7" s="30">
        <f>'Comp LP Design'!H183</f>
        <v>1.1253</v>
      </c>
      <c r="F7" s="30">
        <f>'Comp IP Design'!H82</f>
        <v>1.1253</v>
      </c>
      <c r="G7" s="30">
        <f>'Comp IP Design'!H122</f>
        <v>1.1105</v>
      </c>
      <c r="H7" s="30">
        <f>'Comp IP Design'!H164</f>
        <v>1.0957000000000001</v>
      </c>
      <c r="I7" s="30">
        <f>'Comp IP Design'!H206</f>
        <v>1.0809000000000002</v>
      </c>
      <c r="J7" s="30">
        <f>'Comp HP Design'!H88</f>
        <v>1.0809</v>
      </c>
      <c r="K7" s="30">
        <f>'Comp HP Design'!H128</f>
        <v>1.0724125</v>
      </c>
      <c r="L7" s="30">
        <f>'Comp HP Design'!H170</f>
        <v>1.063925</v>
      </c>
      <c r="M7" s="30">
        <f>'Comp HP Design'!H212</f>
        <v>1.0554375</v>
      </c>
      <c r="N7" s="30">
        <f>'Comp HP Design'!H254</f>
        <v>1.04695</v>
      </c>
      <c r="O7" s="30">
        <f>'Comp HP Design'!H296</f>
        <v>1.0384625000000001</v>
      </c>
      <c r="P7" s="30">
        <f>'Comp HP Design'!H338</f>
        <v>1.0299750000000001</v>
      </c>
      <c r="Q7" s="30">
        <f>'Comp HP Design'!H380</f>
        <v>1.0214875000000001</v>
      </c>
      <c r="R7" s="30">
        <f>'Comp HP Design'!H422</f>
        <v>1.0130000000000001</v>
      </c>
    </row>
    <row r="8" spans="1:37" s="9" customFormat="1" x14ac:dyDescent="0.25">
      <c r="A8" s="58"/>
      <c r="B8" s="51" t="s">
        <v>230</v>
      </c>
      <c r="C8" s="41">
        <f>'Comp LP Design'!H102</f>
        <v>469.35</v>
      </c>
      <c r="D8" s="41">
        <f>'Comp LP Design'!H142</f>
        <v>469.35</v>
      </c>
      <c r="E8" s="41">
        <f>'Comp LP Design'!H184</f>
        <v>469.35</v>
      </c>
      <c r="F8" s="41">
        <f>'Comp IP Design'!H83</f>
        <v>469.35</v>
      </c>
      <c r="G8" s="41">
        <f>'Comp IP Design'!H123</f>
        <v>469.35</v>
      </c>
      <c r="H8" s="41">
        <f>'Comp IP Design'!H165</f>
        <v>469.35</v>
      </c>
      <c r="I8" s="41">
        <f>'Comp IP Design'!H207</f>
        <v>469.35</v>
      </c>
      <c r="J8" s="41">
        <f>'Comp HP Design'!H89</f>
        <v>469.35</v>
      </c>
      <c r="K8" s="41">
        <f>'Comp HP Design'!H129</f>
        <v>469.35</v>
      </c>
      <c r="L8" s="41">
        <f>'Comp HP Design'!H171</f>
        <v>469.35</v>
      </c>
      <c r="M8" s="41">
        <f>'Comp HP Design'!H213</f>
        <v>469.35</v>
      </c>
      <c r="N8" s="41">
        <f>'Comp HP Design'!H255</f>
        <v>469.35</v>
      </c>
      <c r="O8" s="41">
        <f>'Comp HP Design'!H297</f>
        <v>469.35</v>
      </c>
      <c r="P8" s="41">
        <f>'Comp HP Design'!H339</f>
        <v>469.35</v>
      </c>
      <c r="Q8" s="41">
        <f>'Comp HP Design'!H381</f>
        <v>469.35</v>
      </c>
      <c r="R8" s="41">
        <f>'Comp HP Design'!H423</f>
        <v>469.35</v>
      </c>
    </row>
    <row r="9" spans="1:37" s="13" customFormat="1" x14ac:dyDescent="0.25">
      <c r="B9" s="53" t="s">
        <v>231</v>
      </c>
      <c r="C9" s="42">
        <f>'Comp LP Design'!K101</f>
        <v>130.25</v>
      </c>
      <c r="D9" s="42">
        <f>'Comp LP Design'!K141</f>
        <v>130.25</v>
      </c>
      <c r="E9" s="42">
        <f>'Comp LP Design'!K183</f>
        <v>130.25</v>
      </c>
      <c r="F9" s="42">
        <f>'Comp IP Design'!K82</f>
        <v>130.25</v>
      </c>
      <c r="G9" s="42">
        <f>'Comp IP Design'!K122</f>
        <v>130.25</v>
      </c>
      <c r="H9" s="42">
        <f>'Comp IP Design'!K164</f>
        <v>130.25</v>
      </c>
      <c r="I9" s="42">
        <f>'Comp IP Design'!K206</f>
        <v>130.25</v>
      </c>
      <c r="J9" s="42">
        <f>'Comp HP Design'!K88</f>
        <v>130.25</v>
      </c>
      <c r="K9" s="42">
        <f>'Comp HP Design'!K128</f>
        <v>130.25</v>
      </c>
      <c r="L9" s="42">
        <f>'Comp HP Design'!K170</f>
        <v>130.25</v>
      </c>
      <c r="M9" s="42">
        <f>'Comp HP Design'!K212</f>
        <v>130.25</v>
      </c>
      <c r="N9" s="42">
        <f>'Comp HP Design'!K254</f>
        <v>130.25</v>
      </c>
      <c r="O9" s="42">
        <f>'Comp HP Design'!K296</f>
        <v>130.25</v>
      </c>
      <c r="P9" s="42">
        <f>'Comp HP Design'!K338</f>
        <v>130.25</v>
      </c>
      <c r="Q9" s="42">
        <f>'Comp HP Design'!K380</f>
        <v>130.25</v>
      </c>
      <c r="R9" s="42">
        <f>'Comp HP Design'!K422</f>
        <v>130.25</v>
      </c>
    </row>
    <row r="10" spans="1:37" s="13" customFormat="1" x14ac:dyDescent="0.25">
      <c r="A10" s="60"/>
      <c r="B10" s="53" t="s">
        <v>232</v>
      </c>
      <c r="C10" s="42">
        <f>'Comp LP Design'!K102</f>
        <v>282.6191025</v>
      </c>
      <c r="D10" s="42">
        <f>'Comp LP Design'!K142</f>
        <v>273.34944000000002</v>
      </c>
      <c r="E10" s="42">
        <f>'Comp LP Design'!K184</f>
        <v>264.07977749999998</v>
      </c>
      <c r="F10" s="42">
        <f>'Comp IP Design'!K83</f>
        <v>264.07977749999998</v>
      </c>
      <c r="G10" s="42">
        <f>'Comp IP Design'!K123</f>
        <v>260.60658750000005</v>
      </c>
      <c r="H10" s="42">
        <f>'Comp IP Design'!K165</f>
        <v>257.13339750000006</v>
      </c>
      <c r="I10" s="42">
        <f>'Comp IP Design'!K207</f>
        <v>253.66020750000007</v>
      </c>
      <c r="J10" s="42">
        <f>'Comp HP Design'!K89</f>
        <v>253.66020750000001</v>
      </c>
      <c r="K10" s="42">
        <f>'Comp HP Design'!K129</f>
        <v>251.66840343750002</v>
      </c>
      <c r="L10" s="42">
        <f>'Comp HP Design'!K171</f>
        <v>249.67659937500002</v>
      </c>
      <c r="M10" s="42">
        <f>'Comp HP Design'!K213</f>
        <v>247.68479531250003</v>
      </c>
      <c r="N10" s="42">
        <f>'Comp HP Design'!K255</f>
        <v>245.69299125000003</v>
      </c>
      <c r="O10" s="42">
        <f>'Comp HP Design'!K297</f>
        <v>243.70118718750004</v>
      </c>
      <c r="P10" s="42">
        <f>'Comp HP Design'!K339</f>
        <v>241.70938312500004</v>
      </c>
      <c r="Q10" s="42">
        <f>'Comp HP Design'!K381</f>
        <v>239.71757906250002</v>
      </c>
      <c r="R10" s="42">
        <f>'Comp HP Design'!K423</f>
        <v>237.72577500000003</v>
      </c>
    </row>
    <row r="11" spans="1:37" s="13" customFormat="1" x14ac:dyDescent="0.25">
      <c r="A11" s="90" t="s">
        <v>297</v>
      </c>
      <c r="B11" s="53" t="s">
        <v>233</v>
      </c>
      <c r="C11" s="42">
        <f>'Comp LP Design'!K110</f>
        <v>64.645014652284644</v>
      </c>
      <c r="D11" s="42">
        <f>'Comp LP Design'!K150</f>
        <v>64.645014652284644</v>
      </c>
      <c r="E11" s="42">
        <f>'Comp LP Design'!K192</f>
        <v>49.836730023842485</v>
      </c>
      <c r="F11" s="42">
        <f>'Comp IP Design'!K91</f>
        <v>49.432545015128468</v>
      </c>
      <c r="G11" s="42">
        <f>'Comp IP Design'!K131</f>
        <v>38.128638493914551</v>
      </c>
      <c r="H11" s="42">
        <f>'Comp IP Design'!K173</f>
        <v>38.374567855172891</v>
      </c>
      <c r="I11" s="42">
        <f>'Comp IP Design'!K215</f>
        <v>38.592453799009085</v>
      </c>
      <c r="J11" s="42">
        <f>'Comp HP Design'!K97</f>
        <v>44.488109896811942</v>
      </c>
      <c r="K11" s="42">
        <f>'Comp HP Design'!K137</f>
        <v>36.900125161688365</v>
      </c>
      <c r="L11" s="42">
        <f>'Comp HP Design'!K179</f>
        <v>37.182361988085248</v>
      </c>
      <c r="M11" s="42">
        <f>'Comp HP Design'!K221</f>
        <v>37.28420097692878</v>
      </c>
      <c r="N11" s="42">
        <f>'Comp HP Design'!K263</f>
        <v>37.385564272049358</v>
      </c>
      <c r="O11" s="42">
        <f>'Comp HP Design'!K305</f>
        <v>37.48641801746124</v>
      </c>
      <c r="P11" s="42">
        <f>'Comp HP Design'!K347</f>
        <v>37.586727157650621</v>
      </c>
      <c r="Q11" s="42">
        <f>'Comp HP Design'!K389</f>
        <v>37.686455395710141</v>
      </c>
      <c r="R11" s="42">
        <f>'Comp HP Design'!K431</f>
        <v>37.785565149873378</v>
      </c>
    </row>
    <row r="12" spans="1:37" s="13" customFormat="1" x14ac:dyDescent="0.25">
      <c r="A12" s="90"/>
      <c r="B12" s="53" t="s">
        <v>234</v>
      </c>
      <c r="C12" s="42">
        <f>'Comp LP Design'!K106</f>
        <v>90</v>
      </c>
      <c r="D12" s="42">
        <f>'Comp LP Design'!K146</f>
        <v>78.355803598312335</v>
      </c>
      <c r="E12" s="42">
        <f>'Comp LP Design'!K188</f>
        <v>81.003236187389476</v>
      </c>
      <c r="F12" s="42">
        <f>'Comp IP Design'!K87</f>
        <v>52.941115942538183</v>
      </c>
      <c r="G12" s="42">
        <f>'Comp IP Design'!K127</f>
        <v>53.510957045817882</v>
      </c>
      <c r="H12" s="42">
        <f>'Comp IP Design'!K169</f>
        <v>54.141077340310936</v>
      </c>
      <c r="I12" s="42">
        <f>'Comp IP Design'!K211</f>
        <v>65.14892351017788</v>
      </c>
      <c r="J12" s="42">
        <f>'Comp HP Design'!K93</f>
        <v>58.312639081595208</v>
      </c>
      <c r="K12" s="42">
        <f>'Comp HP Design'!K133</f>
        <v>58.384977792993638</v>
      </c>
      <c r="L12" s="42">
        <f>'Comp HP Design'!K175</f>
        <v>58.821397870674502</v>
      </c>
      <c r="M12" s="42">
        <f>'Comp HP Design'!K217</f>
        <v>59.263781112794469</v>
      </c>
      <c r="N12" s="42">
        <f>'Comp HP Design'!K259</f>
        <v>59.712231143290197</v>
      </c>
      <c r="O12" s="42">
        <f>'Comp HP Design'!K301</f>
        <v>60.16685323680332</v>
      </c>
      <c r="P12" s="42">
        <f>'Comp HP Design'!K343</f>
        <v>60.627754312607024</v>
      </c>
      <c r="Q12" s="42">
        <f>'Comp HP Design'!K385</f>
        <v>61.095042925315781</v>
      </c>
      <c r="R12" s="42">
        <f>'Comp HP Design'!K427</f>
        <v>60.182908396806937</v>
      </c>
    </row>
    <row r="13" spans="1:37" s="13" customFormat="1" x14ac:dyDescent="0.25">
      <c r="A13" s="90"/>
      <c r="B13" s="53" t="s">
        <v>235</v>
      </c>
      <c r="C13" s="42">
        <f>'Comp LP Design'!K107</f>
        <v>155.28965202521459</v>
      </c>
      <c r="D13" s="42">
        <f>'Comp LP Design'!K147</f>
        <v>152.18179308182386</v>
      </c>
      <c r="E13" s="42">
        <f>'Comp LP Design'!K189</f>
        <v>151.8856130773508</v>
      </c>
      <c r="F13" s="42">
        <f>'Comp IP Design'!K88</f>
        <v>141.87136150608546</v>
      </c>
      <c r="G13" s="42">
        <f>'Comp IP Design'!K128</f>
        <v>141.6254321448271</v>
      </c>
      <c r="H13" s="42">
        <f>'Comp IP Design'!K170</f>
        <v>141.40754620099091</v>
      </c>
      <c r="I13" s="42">
        <f>'Comp IP Design'!K212</f>
        <v>146.06504716800222</v>
      </c>
      <c r="J13" s="42">
        <f>'Comp HP Design'!K94</f>
        <v>143.09987483831162</v>
      </c>
      <c r="K13" s="42">
        <f>'Comp HP Design'!K134</f>
        <v>142.81763801191477</v>
      </c>
      <c r="L13" s="42">
        <f>'Comp HP Design'!K176</f>
        <v>142.71579902307121</v>
      </c>
      <c r="M13" s="42">
        <f>'Comp HP Design'!K218</f>
        <v>142.61443572795065</v>
      </c>
      <c r="N13" s="42">
        <f>'Comp HP Design'!K260</f>
        <v>142.51358198253877</v>
      </c>
      <c r="O13" s="42">
        <f>'Comp HP Design'!K302</f>
        <v>142.41327284234939</v>
      </c>
      <c r="P13" s="42">
        <f>'Comp HP Design'!K344</f>
        <v>142.31354460428986</v>
      </c>
      <c r="Q13" s="42">
        <f>'Comp HP Design'!K386</f>
        <v>142.21443485012662</v>
      </c>
      <c r="R13" s="42">
        <f>'Comp HP Design'!K428</f>
        <v>141.41983031883041</v>
      </c>
    </row>
    <row r="14" spans="1:37" s="13" customFormat="1" x14ac:dyDescent="0.25">
      <c r="A14" s="90"/>
      <c r="B14" s="53" t="s">
        <v>236</v>
      </c>
      <c r="C14" s="42">
        <f>'Comp LP Design'!K109</f>
        <v>64.645014652284644</v>
      </c>
      <c r="D14" s="42">
        <f>'Comp LP Design'!K149</f>
        <v>49.836730023842485</v>
      </c>
      <c r="E14" s="42">
        <f>'Comp LP Design'!K191</f>
        <v>49.432545015128468</v>
      </c>
      <c r="F14" s="42">
        <f>'Comp IP Design'!K90</f>
        <v>38.128638493914551</v>
      </c>
      <c r="G14" s="42">
        <f>'Comp IP Design'!K130</f>
        <v>38.374567855172891</v>
      </c>
      <c r="H14" s="42">
        <f>'Comp IP Design'!K172</f>
        <v>38.592453799009085</v>
      </c>
      <c r="I14" s="42">
        <f>'Comp IP Design'!K214</f>
        <v>44.488109896811942</v>
      </c>
      <c r="J14" s="42">
        <f>'Comp HP Design'!K96</f>
        <v>36.900125161688365</v>
      </c>
      <c r="K14" s="42">
        <f>'Comp HP Design'!K136</f>
        <v>37.182361988085248</v>
      </c>
      <c r="L14" s="42">
        <f>'Comp HP Design'!K178</f>
        <v>37.28420097692878</v>
      </c>
      <c r="M14" s="42">
        <f>'Comp HP Design'!K220</f>
        <v>37.385564272049358</v>
      </c>
      <c r="N14" s="42">
        <f>'Comp HP Design'!K262</f>
        <v>37.48641801746124</v>
      </c>
      <c r="O14" s="42">
        <f>'Comp HP Design'!K304</f>
        <v>37.586727157650621</v>
      </c>
      <c r="P14" s="42">
        <f>'Comp HP Design'!K346</f>
        <v>37.686455395710141</v>
      </c>
      <c r="Q14" s="42">
        <f>'Comp HP Design'!K388</f>
        <v>37.785565149873378</v>
      </c>
      <c r="R14" s="42">
        <f>'Comp HP Design'!K430</f>
        <v>38.580169681169579</v>
      </c>
    </row>
    <row r="15" spans="1:37" s="13" customFormat="1" x14ac:dyDescent="0.25">
      <c r="A15" s="90"/>
      <c r="B15" s="53" t="s">
        <v>237</v>
      </c>
      <c r="C15" s="42">
        <f>'Comp LP Design'!K108</f>
        <v>149.5088939779337</v>
      </c>
      <c r="D15" s="42">
        <f>'Comp LP Design'!K148</f>
        <v>141.48433923901561</v>
      </c>
      <c r="E15" s="42">
        <f>'Comp LP Design'!K190</f>
        <v>139.55259065055554</v>
      </c>
      <c r="F15" s="42">
        <f>'Comp IP Design'!K89</f>
        <v>127.05888405746185</v>
      </c>
      <c r="G15" s="42">
        <f>'Comp IP Design'!K129</f>
        <v>126.48904295418208</v>
      </c>
      <c r="H15" s="42">
        <f>'Comp IP Design'!K171</f>
        <v>125.85892265968906</v>
      </c>
      <c r="I15" s="42">
        <f>'Comp IP Design'!K213</f>
        <v>132.95310984483589</v>
      </c>
      <c r="J15" s="42">
        <f>'Comp HP Design'!K95</f>
        <v>121.68736091840478</v>
      </c>
      <c r="K15" s="42">
        <f>'Comp HP Design'!K135</f>
        <v>121.6150222070064</v>
      </c>
      <c r="L15" s="42">
        <f>'Comp HP Design'!K177</f>
        <v>121.17860212932547</v>
      </c>
      <c r="M15" s="42">
        <f>'Comp HP Design'!K219</f>
        <v>120.73621888720555</v>
      </c>
      <c r="N15" s="42">
        <f>'Comp HP Design'!K261</f>
        <v>120.28776885670982</v>
      </c>
      <c r="O15" s="42">
        <f>'Comp HP Design'!K303</f>
        <v>119.83314676319671</v>
      </c>
      <c r="P15" s="42">
        <f>'Comp HP Design'!K345</f>
        <v>119.37224568739298</v>
      </c>
      <c r="Q15" s="42">
        <f>'Comp HP Design'!K387</f>
        <v>118.90495707468423</v>
      </c>
      <c r="R15" s="42">
        <f>'Comp HP Design'!K429</f>
        <v>119.81709160319305</v>
      </c>
    </row>
    <row r="16" spans="1:37" s="13" customFormat="1" x14ac:dyDescent="0.25">
      <c r="A16" s="60"/>
      <c r="B16" s="53" t="s">
        <v>238</v>
      </c>
      <c r="C16" s="42">
        <f>'Comp LP Design'!K116</f>
        <v>144.11883586897099</v>
      </c>
      <c r="D16" s="42">
        <f>'Comp LP Design'!K156</f>
        <v>144.11883586897099</v>
      </c>
      <c r="E16" s="42">
        <f>'Comp LP Design'!K198</f>
        <v>170.38643225010972</v>
      </c>
      <c r="F16" s="42">
        <f>'Comp IP Design'!K97</f>
        <v>171.40994645086116</v>
      </c>
      <c r="G16" s="42">
        <f>'Comp IP Design'!K137</f>
        <v>210.83212467105315</v>
      </c>
      <c r="H16" s="42">
        <f>'Comp IP Design'!K179</f>
        <v>209.68903447333773</v>
      </c>
      <c r="I16" s="42">
        <f>'Comp IP Design'!K221</f>
        <v>208.68979035762283</v>
      </c>
      <c r="J16" s="42">
        <f>'Comp HP Design'!K103</f>
        <v>185.79314841945788</v>
      </c>
      <c r="K16" s="42">
        <f>'Comp HP Design'!K143</f>
        <v>216.7951321980029</v>
      </c>
      <c r="L16" s="42">
        <f>'Comp HP Design'!K185</f>
        <v>215.38675050478085</v>
      </c>
      <c r="M16" s="42">
        <f>'Comp HP Design'!K227</f>
        <v>214.88432291949724</v>
      </c>
      <c r="N16" s="42">
        <f>'Comp HP Design'!K269</f>
        <v>214.38723472697504</v>
      </c>
      <c r="O16" s="42">
        <f>'Comp HP Design'!K311</f>
        <v>213.89558484618757</v>
      </c>
      <c r="P16" s="42">
        <f>'Comp HP Design'!K353</f>
        <v>213.4094752340624</v>
      </c>
      <c r="Q16" s="42">
        <f>'Comp HP Design'!K395</f>
        <v>212.92901102050533</v>
      </c>
      <c r="R16" s="42">
        <f>'Comp HP Design'!K437</f>
        <v>212.45430065093197</v>
      </c>
    </row>
    <row r="17" spans="1:18" s="13" customFormat="1" x14ac:dyDescent="0.25">
      <c r="A17" s="60"/>
      <c r="B17" s="53" t="s">
        <v>239</v>
      </c>
      <c r="C17" s="42">
        <f>'Comp LP Design'!K112</f>
        <v>130.25</v>
      </c>
      <c r="D17" s="42">
        <f>'Comp LP Design'!K152</f>
        <v>132.98406709592254</v>
      </c>
      <c r="E17" s="42">
        <f>'Comp LP Design'!K194</f>
        <v>131.87074152199119</v>
      </c>
      <c r="F17" s="42">
        <f>'Comp IP Design'!K93</f>
        <v>163.17676115656232</v>
      </c>
      <c r="G17" s="42">
        <f>'Comp IP Design'!K133</f>
        <v>161.96974118863554</v>
      </c>
      <c r="H17" s="42">
        <f>'Comp IP Design'!K175</f>
        <v>160.67400064061866</v>
      </c>
      <c r="I17" s="42">
        <f>'Comp IP Design'!K217</f>
        <v>143.52686938308381</v>
      </c>
      <c r="J17" s="42">
        <f>'Comp HP Design'!K99</f>
        <v>153.04187692176779</v>
      </c>
      <c r="K17" s="42">
        <f>'Comp HP Design'!K139</f>
        <v>152.92294856110763</v>
      </c>
      <c r="L17" s="42">
        <f>'Comp HP Design'!K181</f>
        <v>152.21448071778593</v>
      </c>
      <c r="M17" s="42">
        <f>'Comp HP Design'!K223</f>
        <v>151.51192137087276</v>
      </c>
      <c r="N17" s="42">
        <f>'Comp HP Design'!K265</f>
        <v>150.81544058983837</v>
      </c>
      <c r="O17" s="42">
        <f>'Comp HP Design'!K307</f>
        <v>150.12521448208599</v>
      </c>
      <c r="P17" s="42">
        <f>'Comp HP Design'!K349</f>
        <v>149.4414254408226</v>
      </c>
      <c r="Q17" s="42">
        <f>'Comp HP Design'!K391</f>
        <v>148.7642624042852</v>
      </c>
      <c r="R17" s="42">
        <f>'Comp HP Design'!K433</f>
        <v>150.10112665701811</v>
      </c>
    </row>
    <row r="18" spans="1:18" s="13" customFormat="1" x14ac:dyDescent="0.25">
      <c r="A18" s="60"/>
      <c r="B18" s="53" t="s">
        <v>240</v>
      </c>
      <c r="C18" s="42">
        <f>'Comp LP Design'!K113</f>
        <v>311.1890415774721</v>
      </c>
      <c r="D18" s="42">
        <f>'Comp LP Design'!K153</f>
        <v>278.81583287651802</v>
      </c>
      <c r="E18" s="42">
        <f>'Comp LP Design'!K195</f>
        <v>276.11937899618562</v>
      </c>
      <c r="F18" s="42">
        <f>'Comp IP Design'!K94</f>
        <v>210.83212467105321</v>
      </c>
      <c r="G18" s="42">
        <f>'Comp IP Design'!K134</f>
        <v>209.68903447333767</v>
      </c>
      <c r="H18" s="42">
        <f>'Comp IP Design'!K176</f>
        <v>208.6897903576228</v>
      </c>
      <c r="I18" s="42">
        <f>'Comp IP Design'!K218</f>
        <v>233.14598324285731</v>
      </c>
      <c r="J18" s="42">
        <f>'Comp HP Design'!K100</f>
        <v>216.79513219800282</v>
      </c>
      <c r="K18" s="42">
        <f>'Comp HP Design'!K140</f>
        <v>215.38675050478093</v>
      </c>
      <c r="L18" s="42">
        <f>'Comp HP Design'!K182</f>
        <v>214.88432291949721</v>
      </c>
      <c r="M18" s="42">
        <f>'Comp HP Design'!K224</f>
        <v>214.38723472697507</v>
      </c>
      <c r="N18" s="42">
        <f>'Comp HP Design'!K266</f>
        <v>213.8955848461876</v>
      </c>
      <c r="O18" s="42">
        <f>'Comp HP Design'!K308</f>
        <v>213.40947523406246</v>
      </c>
      <c r="P18" s="42">
        <f>'Comp HP Design'!K350</f>
        <v>212.92901102050533</v>
      </c>
      <c r="Q18" s="42">
        <f>'Comp HP Design'!K392</f>
        <v>212.45430065093197</v>
      </c>
      <c r="R18" s="42">
        <f>'Comp HP Design'!K434</f>
        <v>208.74579290378878</v>
      </c>
    </row>
    <row r="19" spans="1:18" s="13" customFormat="1" x14ac:dyDescent="0.25">
      <c r="A19" s="60"/>
      <c r="B19" s="53" t="s">
        <v>242</v>
      </c>
      <c r="C19" s="42">
        <f>'Comp LP Design'!K114</f>
        <v>144.11883586897099</v>
      </c>
      <c r="D19" s="42">
        <f>'Comp LP Design'!K154</f>
        <v>170.38643225010972</v>
      </c>
      <c r="E19" s="42">
        <f>'Comp LP Design'!K196</f>
        <v>171.40994645086116</v>
      </c>
      <c r="F19" s="42">
        <f>'Comp IP Design'!K95</f>
        <v>210.83212467105315</v>
      </c>
      <c r="G19" s="42">
        <f>'Comp IP Design'!K135</f>
        <v>209.68903447333773</v>
      </c>
      <c r="H19" s="42">
        <f>'Comp IP Design'!K177</f>
        <v>208.68979035762283</v>
      </c>
      <c r="I19" s="42">
        <f>'Comp IP Design'!K219</f>
        <v>185.79314841945788</v>
      </c>
      <c r="J19" s="42">
        <f>'Comp HP Design'!K101</f>
        <v>216.7951321980029</v>
      </c>
      <c r="K19" s="42">
        <f>'Comp HP Design'!K141</f>
        <v>215.38675050478085</v>
      </c>
      <c r="L19" s="42">
        <f>'Comp HP Design'!K183</f>
        <v>214.88432291949724</v>
      </c>
      <c r="M19" s="42">
        <f>'Comp HP Design'!K225</f>
        <v>214.38723472697504</v>
      </c>
      <c r="N19" s="42">
        <f>'Comp HP Design'!K267</f>
        <v>213.89558484618757</v>
      </c>
      <c r="O19" s="42">
        <f>'Comp HP Design'!K309</f>
        <v>213.4094752340624</v>
      </c>
      <c r="P19" s="42">
        <f>'Comp HP Design'!K351</f>
        <v>212.92901102050533</v>
      </c>
      <c r="Q19" s="42">
        <f>'Comp HP Design'!K393</f>
        <v>212.45430065093197</v>
      </c>
      <c r="R19" s="42">
        <f>'Comp HP Design'!K435</f>
        <v>208.74579290378878</v>
      </c>
    </row>
    <row r="20" spans="1:18" s="13" customFormat="1" x14ac:dyDescent="0.25">
      <c r="A20" s="60"/>
      <c r="B20" s="53" t="s">
        <v>241</v>
      </c>
      <c r="C20" s="42">
        <f>'Comp LP Design'!K115</f>
        <v>256.46919700298781</v>
      </c>
      <c r="D20" s="42">
        <f>'Comp LP Design'!K155</f>
        <v>209.04053693478028</v>
      </c>
      <c r="E20" s="42">
        <f>'Comp LP Design'!K197</f>
        <v>200.66758492356786</v>
      </c>
      <c r="F20" s="42">
        <f>'Comp IP Design'!K96</f>
        <v>163.17676115656238</v>
      </c>
      <c r="G20" s="42">
        <f>'Comp IP Design'!K136</f>
        <v>161.96974118863548</v>
      </c>
      <c r="H20" s="42">
        <f>'Comp IP Design'!K178</f>
        <v>160.67400064061863</v>
      </c>
      <c r="I20" s="42">
        <f>'Comp IP Design'!K220</f>
        <v>177.89571987357508</v>
      </c>
      <c r="J20" s="42">
        <f>'Comp HP Design'!K102</f>
        <v>153.04187692176777</v>
      </c>
      <c r="K20" s="42">
        <f>'Comp HP Design'!K142</f>
        <v>152.92294856110772</v>
      </c>
      <c r="L20" s="42">
        <f>'Comp HP Design'!K184</f>
        <v>152.21448071778588</v>
      </c>
      <c r="M20" s="42">
        <f>'Comp HP Design'!K226</f>
        <v>151.51192137087281</v>
      </c>
      <c r="N20" s="42">
        <f>'Comp HP Design'!K268</f>
        <v>150.8154405898384</v>
      </c>
      <c r="O20" s="42">
        <f>'Comp HP Design'!K310</f>
        <v>150.12521448208605</v>
      </c>
      <c r="P20" s="42">
        <f>'Comp HP Design'!K352</f>
        <v>149.4414254408226</v>
      </c>
      <c r="Q20" s="42">
        <f>'Comp HP Design'!K394</f>
        <v>148.76426240428523</v>
      </c>
      <c r="R20" s="42">
        <f>'Comp HP Design'!K436</f>
        <v>150.10112665701809</v>
      </c>
    </row>
    <row r="21" spans="1:18" s="13" customFormat="1" ht="30" x14ac:dyDescent="0.25">
      <c r="A21" s="60"/>
      <c r="B21" s="53" t="s">
        <v>244</v>
      </c>
      <c r="C21" s="42">
        <f>'Comp LP Design'!M117</f>
        <v>5.7807580472808979</v>
      </c>
      <c r="D21" s="42">
        <f>'Comp LP Design'!M157</f>
        <v>10.697453842808244</v>
      </c>
      <c r="E21" s="42">
        <f>'Comp LP Design'!M199</f>
        <v>12.333022426795253</v>
      </c>
      <c r="F21" s="42">
        <f>'Comp IP Design'!M98</f>
        <v>14.812477448623611</v>
      </c>
      <c r="G21" s="42">
        <f>'Comp IP Design'!M138</f>
        <v>15.136389190645019</v>
      </c>
      <c r="H21" s="42">
        <f>'Comp IP Design'!M180</f>
        <v>15.548623541301851</v>
      </c>
      <c r="I21" s="42">
        <f>'Comp IP Design'!M222</f>
        <v>13.11193732316633</v>
      </c>
      <c r="J21" s="42">
        <f>'Comp HP Design'!M104</f>
        <v>21.412513919906843</v>
      </c>
      <c r="K21" s="42">
        <f>'Comp HP Design'!M144</f>
        <v>21.202615804908362</v>
      </c>
      <c r="L21" s="42">
        <f>'Comp HP Design'!M186</f>
        <v>21.537196893745744</v>
      </c>
      <c r="M21" s="42">
        <f>'Comp HP Design'!M228</f>
        <v>21.878216840745097</v>
      </c>
      <c r="N21" s="42">
        <f>'Comp HP Design'!M270</f>
        <v>22.22581312582895</v>
      </c>
      <c r="O21" s="42">
        <f>'Comp HP Design'!M312</f>
        <v>22.580126079152677</v>
      </c>
      <c r="P21" s="42">
        <f>'Comp HP Design'!M354</f>
        <v>22.941298916896883</v>
      </c>
      <c r="Q21" s="42">
        <f>'Comp HP Design'!M396</f>
        <v>23.309477775442389</v>
      </c>
      <c r="R21" s="42">
        <f>'Comp HP Design'!M438</f>
        <v>21.602738715637358</v>
      </c>
    </row>
    <row r="22" spans="1:18" s="14" customFormat="1" ht="17.25" customHeight="1" x14ac:dyDescent="0.25">
      <c r="A22" s="61"/>
      <c r="B22" s="54" t="s">
        <v>181</v>
      </c>
      <c r="C22" s="43">
        <f>'Comp LP Design'!M118</f>
        <v>0.82415883188848893</v>
      </c>
      <c r="D22" s="43">
        <f>'Comp LP Design'!M158</f>
        <v>0.74974414034571768</v>
      </c>
      <c r="E22" s="43">
        <f>'Comp LP Design'!M200</f>
        <v>0.72674212745618227</v>
      </c>
      <c r="F22" s="43">
        <f>'Comp IP Design'!M99</f>
        <v>0.77396535945912326</v>
      </c>
      <c r="G22" s="43">
        <f>'Comp IP Design'!M139</f>
        <v>0.77242828455691237</v>
      </c>
      <c r="H22" s="43">
        <f>'Comp IP Design'!M181</f>
        <v>0.76991787842269832</v>
      </c>
      <c r="I22" s="43">
        <f>'Comp IP Design'!M223</f>
        <v>0.76302288119743999</v>
      </c>
      <c r="J22" s="43">
        <f>'Comp HP Design'!M105</f>
        <v>0.70592856661556369</v>
      </c>
      <c r="K22" s="43">
        <f>'Comp HP Design'!M145</f>
        <v>0.70999236583827519</v>
      </c>
      <c r="L22" s="43">
        <f>'Comp HP Design'!M187</f>
        <v>0.7083554474786441</v>
      </c>
      <c r="M22" s="43">
        <f>'Comp HP Design'!M229</f>
        <v>0.70672081555520405</v>
      </c>
      <c r="N22" s="43">
        <f>'Comp HP Design'!M271</f>
        <v>0.70508907745005511</v>
      </c>
      <c r="O22" s="43">
        <f>'Comp HP Design'!M313</f>
        <v>0.70346086703709976</v>
      </c>
      <c r="P22" s="43">
        <f>'Comp HP Design'!M355</f>
        <v>0.70183684564444437</v>
      </c>
      <c r="Q22" s="43">
        <f>'Comp HP Design'!M397</f>
        <v>0.7002177030471548</v>
      </c>
      <c r="R22" s="43">
        <f>'Comp HP Design'!M439</f>
        <v>0.71906180512198337</v>
      </c>
    </row>
    <row r="23" spans="1:18" s="13" customFormat="1" ht="20.25" customHeight="1" x14ac:dyDescent="0.25">
      <c r="A23" s="60"/>
      <c r="B23" s="53" t="s">
        <v>182</v>
      </c>
      <c r="C23" s="42">
        <f>'Comp LP Design'!M119</f>
        <v>0.89086705223345497</v>
      </c>
      <c r="D23" s="42">
        <f>'Comp LP Design'!M159</f>
        <v>0.75000000000000011</v>
      </c>
      <c r="E23" s="42">
        <f>'Comp LP Design'!M201</f>
        <v>0.75000000000000011</v>
      </c>
      <c r="F23" s="42">
        <f>'Comp IP Design'!M100</f>
        <v>0.5</v>
      </c>
      <c r="G23" s="42">
        <f>'Comp IP Design'!M140</f>
        <v>0.5</v>
      </c>
      <c r="H23" s="42">
        <f>'Comp IP Design'!M182</f>
        <v>0.5</v>
      </c>
      <c r="I23" s="42">
        <f>'Comp IP Design'!M224</f>
        <v>0.62</v>
      </c>
      <c r="J23" s="42">
        <f>'Comp HP Design'!M106</f>
        <v>0.5</v>
      </c>
      <c r="K23" s="42">
        <f>'Comp HP Design'!M146</f>
        <v>0.5</v>
      </c>
      <c r="L23" s="42">
        <f>'Comp HP Design'!M188</f>
        <v>0.5</v>
      </c>
      <c r="M23" s="42">
        <f>'Comp HP Design'!M230</f>
        <v>0.5</v>
      </c>
      <c r="N23" s="42">
        <f>'Comp HP Design'!M272</f>
        <v>0.5</v>
      </c>
      <c r="O23" s="42">
        <f>'Comp HP Design'!M314</f>
        <v>0.49999999999999994</v>
      </c>
      <c r="P23" s="42">
        <f>'Comp HP Design'!M356</f>
        <v>0.5</v>
      </c>
      <c r="Q23" s="42">
        <f>'Comp HP Design'!M398</f>
        <v>0.5</v>
      </c>
      <c r="R23" s="42">
        <f>'Comp HP Design'!M440</f>
        <v>0.5</v>
      </c>
    </row>
    <row r="24" spans="1:18" s="13" customFormat="1" ht="30" x14ac:dyDescent="0.25">
      <c r="A24" s="60"/>
      <c r="B24" s="53" t="s">
        <v>243</v>
      </c>
      <c r="C24" s="42">
        <f>'Comp LP Design'!M120</f>
        <v>61.686111501920749</v>
      </c>
      <c r="D24" s="42">
        <f>'Comp LP Design'!M160</f>
        <v>83.020284903809511</v>
      </c>
      <c r="E24" s="42">
        <f>'Comp LP Design'!M202</f>
        <v>90.81708100672185</v>
      </c>
      <c r="F24" s="42">
        <f>'Comp IP Design'!M101</f>
        <v>67.492973451042573</v>
      </c>
      <c r="G24" s="42">
        <f>'Comp IP Design'!M141</f>
        <v>68.053897976186136</v>
      </c>
      <c r="H24" s="42">
        <f>'Comp IP Design'!M183</f>
        <v>68.973125584151489</v>
      </c>
      <c r="I24" s="42">
        <f>'Comp IP Design'!M225</f>
        <v>72.20149837188616</v>
      </c>
      <c r="J24" s="42">
        <f>'Comp HP Design'!M107</f>
        <v>92.952353407705971</v>
      </c>
      <c r="K24" s="42">
        <f>'Comp HP Design'!M147</f>
        <v>91.414034428437617</v>
      </c>
      <c r="L24" s="42">
        <f>'Comp HP Design'!M189</f>
        <v>92.143293179957993</v>
      </c>
      <c r="M24" s="42">
        <f>'Comp HP Design'!M231</f>
        <v>92.884280875453925</v>
      </c>
      <c r="N24" s="42">
        <f>'Comp HP Design'!M273</f>
        <v>93.637282770415851</v>
      </c>
      <c r="O24" s="42">
        <f>'Comp HP Design'!M315</f>
        <v>94.40259344606757</v>
      </c>
      <c r="P24" s="42">
        <f>'Comp HP Design'!M357</f>
        <v>95.180517193608409</v>
      </c>
      <c r="Q24" s="42">
        <f>'Comp HP Design'!M399</f>
        <v>95.971368417613448</v>
      </c>
      <c r="R24" s="42">
        <f>'Comp HP Design'!M441</f>
        <v>88.524089705145698</v>
      </c>
    </row>
    <row r="25" spans="1:18" s="9" customFormat="1" x14ac:dyDescent="0.25">
      <c r="B25" s="77" t="s">
        <v>328</v>
      </c>
      <c r="C25" s="29">
        <v>-1.0043700184426383</v>
      </c>
      <c r="D25" s="29">
        <v>-0.57542428444318561</v>
      </c>
      <c r="E25" s="29">
        <v>-1.4710526713957437</v>
      </c>
      <c r="F25" s="29">
        <v>-0.18366559158154111</v>
      </c>
      <c r="G25" s="29">
        <v>-0.99427639068773954</v>
      </c>
      <c r="H25" s="29">
        <v>-1.0134522451525347</v>
      </c>
      <c r="I25" s="29">
        <v>-1.6535658198471395</v>
      </c>
      <c r="J25" s="29">
        <v>-0.75746167979049872</v>
      </c>
      <c r="K25" s="29">
        <v>-1.4268019231510569</v>
      </c>
      <c r="L25" s="29">
        <v>-1.4257757671757774</v>
      </c>
      <c r="M25" s="29">
        <v>-1.4441997915909544</v>
      </c>
      <c r="N25" s="29">
        <v>-1.4628976078701736</v>
      </c>
      <c r="O25" s="29">
        <v>-1.4818712268594867</v>
      </c>
      <c r="P25" s="29">
        <v>-1.5011224740761875</v>
      </c>
      <c r="Q25" s="29">
        <v>-1.5206529717807422</v>
      </c>
      <c r="R25" s="29">
        <v>-1.4301611066839939</v>
      </c>
    </row>
    <row r="26" spans="1:18" s="13" customFormat="1" x14ac:dyDescent="0.25">
      <c r="B26" s="77" t="s">
        <v>329</v>
      </c>
      <c r="C26" s="29">
        <v>-0.79493686613078607</v>
      </c>
      <c r="D26" s="29">
        <v>-0.78672429763959528</v>
      </c>
      <c r="E26" s="29">
        <v>-0.88669713181984799</v>
      </c>
      <c r="F26" s="29">
        <v>-0.50771049327145312</v>
      </c>
      <c r="G26" s="29">
        <v>-0.56229828639543822</v>
      </c>
      <c r="H26" s="29">
        <v>-0.57113575877995104</v>
      </c>
      <c r="I26" s="29">
        <v>-0.69320873505688219</v>
      </c>
      <c r="J26" s="29">
        <v>-0.65923435747910353</v>
      </c>
      <c r="K26" s="29">
        <v>-0.69467475428355208</v>
      </c>
      <c r="L26" s="29">
        <v>-0.69950690300412</v>
      </c>
      <c r="M26" s="29">
        <v>-0.70539571526331246</v>
      </c>
      <c r="N26" s="29">
        <v>-0.71134971309973738</v>
      </c>
      <c r="O26" s="29">
        <v>-0.71736982061043963</v>
      </c>
      <c r="P26" s="29">
        <v>-0.72345698003411996</v>
      </c>
      <c r="Q26" s="29">
        <v>-0.7296121521558051</v>
      </c>
      <c r="R26" s="29">
        <v>-0.7014319237719977</v>
      </c>
    </row>
    <row r="27" spans="1:18" s="13" customFormat="1" x14ac:dyDescent="0.25">
      <c r="B27" s="77" t="s">
        <v>333</v>
      </c>
      <c r="C27" s="29">
        <v>-0.84732315932245261</v>
      </c>
      <c r="D27" s="29">
        <v>-0.50583533334373887</v>
      </c>
      <c r="E27" s="29">
        <v>-1.288807434262859</v>
      </c>
      <c r="F27" s="29">
        <v>-0.19917579950879702</v>
      </c>
      <c r="G27" s="29">
        <v>-0.92285771603496858</v>
      </c>
      <c r="H27" s="29">
        <v>-0.95445008251027086</v>
      </c>
      <c r="I27" s="29">
        <v>-1.5081754578935171</v>
      </c>
      <c r="J27" s="29">
        <v>-0.73304844227641974</v>
      </c>
      <c r="K27" s="29">
        <v>-1.3442170716974304</v>
      </c>
      <c r="L27" s="29">
        <v>-1.3500618231960639</v>
      </c>
      <c r="M27" s="29">
        <v>-1.371609122981382</v>
      </c>
      <c r="N27" s="29">
        <v>-1.3929652527812744</v>
      </c>
      <c r="O27" s="29">
        <v>-1.4142210775356787</v>
      </c>
      <c r="P27" s="29">
        <v>-1.4354457148701461</v>
      </c>
      <c r="Q27" s="29">
        <v>-1.4536775737856404</v>
      </c>
      <c r="R27" s="29">
        <v>-1.3441434992478991</v>
      </c>
    </row>
    <row r="28" spans="1:18" s="13" customFormat="1" x14ac:dyDescent="0.25">
      <c r="B28" s="77" t="s">
        <v>331</v>
      </c>
      <c r="C28" s="29">
        <v>-0.44234281743162412</v>
      </c>
      <c r="D28" s="29">
        <v>-0.5943707066532975</v>
      </c>
      <c r="E28" s="29">
        <v>-0.82277187133156127</v>
      </c>
      <c r="F28" s="29">
        <v>-0.57205812804197731</v>
      </c>
      <c r="G28" s="29">
        <v>-0.65088218390565322</v>
      </c>
      <c r="H28" s="29">
        <v>-0.66227115615125332</v>
      </c>
      <c r="I28" s="29">
        <v>-0.80704144059889038</v>
      </c>
      <c r="J28" s="29">
        <v>-0.90243092274136127</v>
      </c>
      <c r="K28" s="29">
        <v>-0.95977070887775684</v>
      </c>
      <c r="L28" s="29">
        <v>-0.98552932676947813</v>
      </c>
      <c r="M28" s="29">
        <v>-1.0094649322641165</v>
      </c>
      <c r="N28" s="29">
        <v>-1.0309830157657875</v>
      </c>
      <c r="O28" s="29">
        <v>-1.050543569730187</v>
      </c>
      <c r="P28" s="29">
        <v>-1.0685087717636457</v>
      </c>
      <c r="Q28" s="29">
        <v>-1.0877273580069753</v>
      </c>
      <c r="R28" s="29">
        <v>-1.0747056377216067</v>
      </c>
    </row>
    <row r="29" spans="1:18" s="13" customFormat="1" x14ac:dyDescent="0.25">
      <c r="B29" s="77" t="s">
        <v>330</v>
      </c>
      <c r="C29" s="29">
        <v>-1.2887777906235851</v>
      </c>
      <c r="D29" s="29">
        <v>-0.73739304014652951</v>
      </c>
      <c r="E29" s="29">
        <v>-1.877105456909655</v>
      </c>
      <c r="F29" s="29">
        <v>-0.21937795369045818</v>
      </c>
      <c r="G29" s="29">
        <v>-1.1659439570427232</v>
      </c>
      <c r="H29" s="29">
        <v>-1.1778991459752819</v>
      </c>
      <c r="I29" s="29">
        <v>-1.9354613515439254</v>
      </c>
      <c r="J29" s="29">
        <v>-0.86200833230087381</v>
      </c>
      <c r="K29" s="29">
        <v>-1.6180356743065947</v>
      </c>
      <c r="L29" s="29">
        <v>-1.5955254735600992</v>
      </c>
      <c r="M29" s="29">
        <v>-1.6000247073297447</v>
      </c>
      <c r="N29" s="29">
        <v>-1.6068412229098228</v>
      </c>
      <c r="O29" s="29">
        <v>-1.6155965767822302</v>
      </c>
      <c r="P29" s="29">
        <v>-1.6259982229210688</v>
      </c>
      <c r="Q29" s="29">
        <v>-1.6335558078464889</v>
      </c>
      <c r="R29" s="29">
        <v>-1.5215149644625356</v>
      </c>
    </row>
    <row r="30" spans="1:18" s="13" customFormat="1" x14ac:dyDescent="0.25">
      <c r="B30" s="77" t="s">
        <v>332</v>
      </c>
      <c r="C30" s="29">
        <v>-0.99923478018905998</v>
      </c>
      <c r="D30" s="29">
        <v>-1.1491573046166752</v>
      </c>
      <c r="E30" s="29">
        <v>-1.4822971894235653</v>
      </c>
      <c r="F30" s="29">
        <v>-0.93203176113746256</v>
      </c>
      <c r="G30" s="29">
        <v>-1.0259394373000494</v>
      </c>
      <c r="H30" s="29">
        <v>-1.0127205832145567</v>
      </c>
      <c r="I30" s="29">
        <v>-1.1560968070060447</v>
      </c>
      <c r="J30" s="29">
        <v>-1.2313523862185813</v>
      </c>
      <c r="K30" s="29">
        <v>-1.2794634132720328</v>
      </c>
      <c r="L30" s="29">
        <v>-1.2700982889632864</v>
      </c>
      <c r="M30" s="29">
        <v>-1.2650840672637762</v>
      </c>
      <c r="N30" s="29">
        <v>-1.2618624787367074</v>
      </c>
      <c r="O30" s="29">
        <v>-1.2601157534490048</v>
      </c>
      <c r="P30" s="29">
        <v>-1.2596053444083974</v>
      </c>
      <c r="Q30" s="29">
        <v>-1.2666991186890877</v>
      </c>
      <c r="R30" s="29">
        <v>-1.2290338365487441</v>
      </c>
    </row>
    <row r="31" spans="1:18" s="13" customFormat="1" x14ac:dyDescent="0.25">
      <c r="B31" s="77" t="s">
        <v>334</v>
      </c>
      <c r="C31" s="42">
        <f>C19/C10</f>
        <v>0.50994017953535531</v>
      </c>
      <c r="D31" s="42">
        <f t="shared" ref="D31:R31" si="0">D19/D10</f>
        <v>0.62332826527872054</v>
      </c>
      <c r="E31" s="42">
        <f t="shared" si="0"/>
        <v>0.64908395513496364</v>
      </c>
      <c r="F31" s="42">
        <f t="shared" si="0"/>
        <v>0.79836527683780389</v>
      </c>
      <c r="G31" s="42">
        <f t="shared" si="0"/>
        <v>0.8046190868960198</v>
      </c>
      <c r="H31" s="42">
        <f t="shared" si="0"/>
        <v>0.81160126372780017</v>
      </c>
      <c r="I31" s="42">
        <f t="shared" si="0"/>
        <v>0.73244893336081429</v>
      </c>
      <c r="J31" s="42">
        <f t="shared" si="0"/>
        <v>0.85466748740242549</v>
      </c>
      <c r="K31" s="42">
        <f t="shared" si="0"/>
        <v>0.85583548654835628</v>
      </c>
      <c r="L31" s="42">
        <f t="shared" si="0"/>
        <v>0.86065063148650633</v>
      </c>
      <c r="M31" s="42">
        <f t="shared" si="0"/>
        <v>0.86556477742804527</v>
      </c>
      <c r="N31" s="42">
        <f t="shared" si="0"/>
        <v>0.87058073475340758</v>
      </c>
      <c r="O31" s="42">
        <f t="shared" si="0"/>
        <v>0.87570141818746394</v>
      </c>
      <c r="P31" s="42">
        <f t="shared" si="0"/>
        <v>0.88092985165738913</v>
      </c>
      <c r="Q31" s="42">
        <f t="shared" si="0"/>
        <v>0.88626917342403211</v>
      </c>
      <c r="R31" s="42">
        <f t="shared" si="0"/>
        <v>0.87809490958138114</v>
      </c>
    </row>
    <row r="32" spans="1:18" s="15" customFormat="1" x14ac:dyDescent="0.25">
      <c r="B32" s="79" t="s">
        <v>335</v>
      </c>
      <c r="C32" s="42">
        <f>C33/C10^2</f>
        <v>0.21344127668062818</v>
      </c>
      <c r="D32" s="42">
        <f t="shared" ref="C32:R32" si="1">D33/D10^2</f>
        <v>0.28291629639220156</v>
      </c>
      <c r="E32" s="42">
        <f t="shared" si="1"/>
        <v>0.3043913328270188</v>
      </c>
      <c r="F32" s="42">
        <f t="shared" si="1"/>
        <v>0.2181885324914839</v>
      </c>
      <c r="G32" s="42">
        <f t="shared" si="1"/>
        <v>0.22470561301173481</v>
      </c>
      <c r="H32" s="42">
        <f t="shared" si="1"/>
        <v>0.23149756915739736</v>
      </c>
      <c r="I32" s="42">
        <f t="shared" si="1"/>
        <v>0.24638520994203428</v>
      </c>
      <c r="J32" s="42">
        <f t="shared" si="1"/>
        <v>0.30323401332701683</v>
      </c>
      <c r="K32" s="42">
        <f t="shared" si="1"/>
        <v>0.30919277118592287</v>
      </c>
      <c r="L32" s="42">
        <f t="shared" si="1"/>
        <v>0.31530383602931283</v>
      </c>
      <c r="M32" s="42">
        <f t="shared" si="1"/>
        <v>0.32157227416510403</v>
      </c>
      <c r="N32" s="42">
        <f t="shared" si="1"/>
        <v>0.32800336169057109</v>
      </c>
      <c r="O32" s="42">
        <f t="shared" si="1"/>
        <v>0.33460259494018474</v>
      </c>
      <c r="P32" s="42">
        <f t="shared" si="1"/>
        <v>0.34137570154347452</v>
      </c>
      <c r="Q32" s="42">
        <f t="shared" si="1"/>
        <v>0.34832865213387632</v>
      </c>
      <c r="R32" s="42">
        <f t="shared" si="1"/>
        <v>0.32510955546691878</v>
      </c>
    </row>
    <row r="33" spans="1:18" s="15" customFormat="1" x14ac:dyDescent="0.25">
      <c r="B33" s="78" t="s">
        <v>197</v>
      </c>
      <c r="C33" s="41">
        <v>17048.314000000002</v>
      </c>
      <c r="D33" s="41">
        <v>21139.482</v>
      </c>
      <c r="E33" s="41">
        <v>21227.682000000001</v>
      </c>
      <c r="F33" s="41">
        <v>15216.060000000001</v>
      </c>
      <c r="G33" s="41">
        <v>15261.060000000001</v>
      </c>
      <c r="H33" s="41">
        <v>15306.060000000001</v>
      </c>
      <c r="I33" s="41">
        <v>15853.286970000008</v>
      </c>
      <c r="J33" s="41">
        <v>19511.137999999999</v>
      </c>
      <c r="K33" s="41">
        <v>19583.338</v>
      </c>
      <c r="L33" s="41">
        <v>19655.538</v>
      </c>
      <c r="M33" s="41">
        <v>19727.738000000001</v>
      </c>
      <c r="N33" s="41">
        <v>19799.938000000002</v>
      </c>
      <c r="O33" s="41">
        <v>19872.138000000003</v>
      </c>
      <c r="P33" s="41">
        <v>19944.338</v>
      </c>
      <c r="Q33" s="41">
        <v>20016.537999999997</v>
      </c>
      <c r="R33" s="41">
        <v>18373.093199999996</v>
      </c>
    </row>
    <row r="34" spans="1:18" s="15" customFormat="1" x14ac:dyDescent="0.25">
      <c r="B34" s="78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</row>
    <row r="35" spans="1:18" s="15" customFormat="1" x14ac:dyDescent="0.25">
      <c r="B35" s="88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1:18" s="15" customFormat="1" ht="30" x14ac:dyDescent="0.25">
      <c r="A36" s="60" t="s">
        <v>226</v>
      </c>
      <c r="B36" s="51" t="s">
        <v>245</v>
      </c>
      <c r="C36" s="41">
        <f>'Comp LP Design'!E95</f>
        <v>17</v>
      </c>
      <c r="D36" s="41">
        <f>'Comp LP Design'!E96</f>
        <v>21</v>
      </c>
      <c r="E36" s="41">
        <f>'Comp LP Design'!E97</f>
        <v>21</v>
      </c>
      <c r="F36" s="41">
        <f>'Comp IP Design'!E72</f>
        <v>15</v>
      </c>
      <c r="G36" s="41">
        <f>'Comp IP Design'!E73</f>
        <v>15</v>
      </c>
      <c r="H36" s="41">
        <f>'Comp IP Design'!E74</f>
        <v>15</v>
      </c>
      <c r="I36" s="41">
        <f>'Comp IP Design'!E75</f>
        <v>15.490000000000009</v>
      </c>
      <c r="J36" s="41">
        <f>'Comp HP Design'!E72</f>
        <v>19</v>
      </c>
      <c r="K36" s="41">
        <f>'Comp HP Design'!E73</f>
        <v>19</v>
      </c>
      <c r="L36" s="41">
        <f>'Comp HP Design'!E74</f>
        <v>19</v>
      </c>
      <c r="M36" s="41">
        <f>'Comp HP Design'!E75</f>
        <v>19</v>
      </c>
      <c r="N36" s="41">
        <f>'Comp HP Design'!E76</f>
        <v>19</v>
      </c>
      <c r="O36" s="41">
        <f>'Comp HP Design'!E77</f>
        <v>19</v>
      </c>
      <c r="P36" s="41">
        <f>'Comp HP Design'!E78</f>
        <v>19</v>
      </c>
      <c r="Q36" s="41">
        <f>'Comp HP Design'!E79</f>
        <v>19</v>
      </c>
      <c r="R36" s="41">
        <f>'Comp HP Design'!E80</f>
        <v>17.379999999999995</v>
      </c>
    </row>
    <row r="37" spans="1:18" s="15" customFormat="1" x14ac:dyDescent="0.25">
      <c r="A37" s="13"/>
      <c r="B37" s="53" t="s">
        <v>246</v>
      </c>
      <c r="C37" s="42">
        <f>'Comp LP Design'!N101</f>
        <v>288.20999999999998</v>
      </c>
      <c r="D37" s="42">
        <f>'Comp LP Design'!N141</f>
        <v>305.20999999999998</v>
      </c>
      <c r="E37" s="42">
        <f>'Comp LP Design'!N183</f>
        <v>326.20999999999998</v>
      </c>
      <c r="F37" s="42">
        <f>'Comp IP Design'!N82</f>
        <v>347.02</v>
      </c>
      <c r="G37" s="42">
        <f>'Comp IP Design'!N122</f>
        <v>362.02</v>
      </c>
      <c r="H37" s="42">
        <f>'Comp IP Design'!N164</f>
        <v>377.02</v>
      </c>
      <c r="I37" s="42">
        <f>'Comp IP Design'!N206</f>
        <v>392.02</v>
      </c>
      <c r="J37" s="42">
        <f>'Comp HP Design'!N88</f>
        <v>407.51</v>
      </c>
      <c r="K37" s="42">
        <f>'Comp HP Design'!N128</f>
        <v>426.51</v>
      </c>
      <c r="L37" s="42">
        <f>'Comp HP Design'!N170</f>
        <v>445.51</v>
      </c>
      <c r="M37" s="42">
        <f>'Comp HP Design'!N212</f>
        <v>464.51</v>
      </c>
      <c r="N37" s="42">
        <f>'Comp HP Design'!N254</f>
        <v>483.51</v>
      </c>
      <c r="O37" s="42">
        <f>'Comp HP Design'!N296</f>
        <v>502.51</v>
      </c>
      <c r="P37" s="42">
        <f>'Comp HP Design'!N338</f>
        <v>521.51</v>
      </c>
      <c r="Q37" s="42">
        <f>'Comp HP Design'!N380</f>
        <v>540.51</v>
      </c>
      <c r="R37" s="42">
        <f>'Comp HP Design'!N422</f>
        <v>559.51</v>
      </c>
    </row>
    <row r="38" spans="1:18" s="15" customFormat="1" x14ac:dyDescent="0.25">
      <c r="A38" s="60"/>
      <c r="B38" s="53" t="s">
        <v>247</v>
      </c>
      <c r="C38" s="42">
        <f>'Comp LP Design'!U122</f>
        <v>288.20999999999998</v>
      </c>
      <c r="D38" s="42">
        <f>'Comp LP Design'!U162</f>
        <v>305.20999999999998</v>
      </c>
      <c r="E38" s="42">
        <f>'Comp LP Design'!U204</f>
        <v>326.20999999999998</v>
      </c>
      <c r="F38" s="42">
        <f>'Comp IP Design'!U103</f>
        <v>347.02</v>
      </c>
      <c r="G38" s="42">
        <f>'Comp IP Design'!U143</f>
        <v>362.02</v>
      </c>
      <c r="H38" s="42">
        <f>'Comp IP Design'!U185</f>
        <v>377.02</v>
      </c>
      <c r="I38" s="42">
        <f>'Comp IP Design'!U227</f>
        <v>392.02</v>
      </c>
      <c r="J38" s="42">
        <f>'Comp HP Design'!U109</f>
        <v>407.51</v>
      </c>
      <c r="K38" s="42">
        <f>'Comp HP Design'!U149</f>
        <v>426.51</v>
      </c>
      <c r="L38" s="42">
        <f>'Comp HP Design'!U191</f>
        <v>445.51</v>
      </c>
      <c r="M38" s="42">
        <f>'Comp HP Design'!U233</f>
        <v>464.51</v>
      </c>
      <c r="N38" s="42">
        <f>'Comp HP Design'!U275</f>
        <v>483.51</v>
      </c>
      <c r="O38" s="42">
        <f>'Comp HP Design'!U317</f>
        <v>502.51</v>
      </c>
      <c r="P38" s="42">
        <f>'Comp HP Design'!U359</f>
        <v>521.51</v>
      </c>
      <c r="Q38" s="42">
        <f>'Comp HP Design'!U401</f>
        <v>540.51</v>
      </c>
      <c r="R38" s="42">
        <f>'Comp HP Design'!U443</f>
        <v>559.51</v>
      </c>
    </row>
    <row r="39" spans="1:18" s="15" customFormat="1" x14ac:dyDescent="0.25">
      <c r="A39" s="60"/>
      <c r="B39" s="53" t="s">
        <v>248</v>
      </c>
      <c r="C39" s="42">
        <f>'Comp LP Design'!N102</f>
        <v>305.20999999999998</v>
      </c>
      <c r="D39" s="42">
        <f>'Comp LP Design'!N142</f>
        <v>326.20999999999998</v>
      </c>
      <c r="E39" s="42">
        <f>'Comp LP Design'!N184</f>
        <v>347.21</v>
      </c>
      <c r="F39" s="42">
        <f>'Comp IP Design'!N83</f>
        <v>362.02</v>
      </c>
      <c r="G39" s="42">
        <f>'Comp IP Design'!N123</f>
        <v>377.02</v>
      </c>
      <c r="H39" s="42">
        <f>'Comp IP Design'!N165</f>
        <v>392.02</v>
      </c>
      <c r="I39" s="42">
        <f>'Comp IP Design'!N207</f>
        <v>407.51</v>
      </c>
      <c r="J39" s="42">
        <f>'Comp HP Design'!N89</f>
        <v>426.51</v>
      </c>
      <c r="K39" s="42">
        <f>'Comp HP Design'!N129</f>
        <v>445.51</v>
      </c>
      <c r="L39" s="42">
        <f>'Comp HP Design'!N171</f>
        <v>464.51</v>
      </c>
      <c r="M39" s="42">
        <f>'Comp HP Design'!N213</f>
        <v>483.51</v>
      </c>
      <c r="N39" s="42">
        <f>'Comp HP Design'!N255</f>
        <v>502.51</v>
      </c>
      <c r="O39" s="42">
        <f>'Comp HP Design'!N297</f>
        <v>521.51</v>
      </c>
      <c r="P39" s="42">
        <f>'Comp HP Design'!N339</f>
        <v>540.51</v>
      </c>
      <c r="Q39" s="42">
        <f>'Comp HP Design'!N381</f>
        <v>559.51</v>
      </c>
      <c r="R39" s="42">
        <f>'Comp HP Design'!N423</f>
        <v>576.89</v>
      </c>
    </row>
    <row r="40" spans="1:18" x14ac:dyDescent="0.25">
      <c r="A40" s="60"/>
      <c r="B40" s="53" t="s">
        <v>249</v>
      </c>
      <c r="C40" s="42">
        <f>'Comp LP Design'!N122</f>
        <v>277.87654783471271</v>
      </c>
      <c r="D40" s="42">
        <f>'Comp LP Design'!N162</f>
        <v>294.87654783471271</v>
      </c>
      <c r="E40" s="42">
        <f>'Comp LP Design'!N204</f>
        <v>311.76644960451677</v>
      </c>
      <c r="F40" s="42">
        <f>'Comp IP Design'!N103</f>
        <v>332.40240311329001</v>
      </c>
      <c r="G40" s="42">
        <f>'Comp IP Design'!N143</f>
        <v>340.01495802311359</v>
      </c>
      <c r="H40" s="42">
        <f>'Comp IP Design'!N185</f>
        <v>355.2529251592274</v>
      </c>
      <c r="I40" s="42">
        <f>'Comp IP Design'!N227</f>
        <v>370.45988683192644</v>
      </c>
      <c r="J40" s="42">
        <f>'Comp HP Design'!N109</f>
        <v>390.33632139322651</v>
      </c>
      <c r="K40" s="42">
        <f>'Comp HP Design'!N149</f>
        <v>403.6944032307041</v>
      </c>
      <c r="L40" s="42">
        <f>'Comp HP Design'!N191</f>
        <v>422.98987752766567</v>
      </c>
      <c r="M40" s="42">
        <f>'Comp HP Design'!N233</f>
        <v>442.09481930263553</v>
      </c>
      <c r="N40" s="42">
        <f>'Comp HP Design'!N275</f>
        <v>461.19840465345675</v>
      </c>
      <c r="O40" s="42">
        <f>'Comp HP Design'!N317</f>
        <v>480.30062076859582</v>
      </c>
      <c r="P40" s="42">
        <f>'Comp HP Design'!N359</f>
        <v>499.40145431083596</v>
      </c>
      <c r="Q40" s="42">
        <f>'Comp HP Design'!N401</f>
        <v>518.50089139117938</v>
      </c>
      <c r="R40" s="42">
        <f>'Comp HP Design'!N443</f>
        <v>537.59891754122498</v>
      </c>
    </row>
    <row r="41" spans="1:18" s="14" customFormat="1" x14ac:dyDescent="0.25">
      <c r="A41" s="60"/>
      <c r="B41" s="53" t="s">
        <v>250</v>
      </c>
      <c r="C41" s="42">
        <f>'Comp LP Design'!U123</f>
        <v>279.76967039800991</v>
      </c>
      <c r="D41" s="42">
        <f>'Comp LP Design'!U163</f>
        <v>296.41161089483938</v>
      </c>
      <c r="E41" s="42">
        <f>'Comp LP Design'!U205</f>
        <v>317.55831220419907</v>
      </c>
      <c r="F41" s="42">
        <f>'Comp IP Design'!U104</f>
        <v>333.83848743487829</v>
      </c>
      <c r="G41" s="42">
        <f>'Comp IP Design'!U144</f>
        <v>349.03277373231998</v>
      </c>
      <c r="H41" s="42">
        <f>'Comp IP Design'!U186</f>
        <v>364.23973540501902</v>
      </c>
      <c r="I41" s="42">
        <f>'Comp IP Design'!U228</f>
        <v>381.82199889360948</v>
      </c>
      <c r="J41" s="42">
        <f>'Comp HP Design'!U110</f>
        <v>396.14018636323419</v>
      </c>
      <c r="K41" s="42">
        <f>'Comp HP Design'!U150</f>
        <v>415.15785038998877</v>
      </c>
      <c r="L41" s="42">
        <f>'Comp HP Design'!U192</f>
        <v>434.26279216495863</v>
      </c>
      <c r="M41" s="42">
        <f>'Comp HP Design'!U234</f>
        <v>453.36637751577985</v>
      </c>
      <c r="N41" s="42">
        <f>'Comp HP Design'!U276</f>
        <v>472.46859363091892</v>
      </c>
      <c r="O41" s="42">
        <f>'Comp HP Design'!U318</f>
        <v>491.56942717315906</v>
      </c>
      <c r="P41" s="42">
        <f>'Comp HP Design'!U360</f>
        <v>510.66886425350242</v>
      </c>
      <c r="Q41" s="42">
        <f>'Comp HP Design'!U402</f>
        <v>529.76689040354802</v>
      </c>
      <c r="R41" s="42">
        <f>'Comp HP Design'!U444</f>
        <v>548.57293775548237</v>
      </c>
    </row>
    <row r="42" spans="1:18" s="14" customFormat="1" x14ac:dyDescent="0.25">
      <c r="A42" s="60"/>
      <c r="B42" s="53" t="s">
        <v>251</v>
      </c>
      <c r="C42" s="42">
        <f>'Comp LP Design'!N123</f>
        <v>294.87654783471271</v>
      </c>
      <c r="D42" s="42">
        <f>'Comp LP Design'!N163</f>
        <v>311.76644960451677</v>
      </c>
      <c r="E42" s="42">
        <f>'Comp LP Design'!N205</f>
        <v>332.59240311329</v>
      </c>
      <c r="F42" s="42">
        <f>'Comp IP Design'!N104</f>
        <v>339.90548020233308</v>
      </c>
      <c r="G42" s="42">
        <f>'Comp IP Design'!N144</f>
        <v>355.2529251592274</v>
      </c>
      <c r="H42" s="42">
        <f>'Comp IP Design'!N186</f>
        <v>370.45988683192644</v>
      </c>
      <c r="I42" s="42">
        <f>'Comp IP Design'!N228</f>
        <v>390.42133960415111</v>
      </c>
      <c r="J42" s="42">
        <f>'Comp HP Design'!N110</f>
        <v>403.12685107226389</v>
      </c>
      <c r="K42" s="42">
        <f>'Comp HP Design'!N150</f>
        <v>422.98987752766567</v>
      </c>
      <c r="L42" s="42">
        <f>'Comp HP Design'!N192</f>
        <v>442.09481930263553</v>
      </c>
      <c r="M42" s="42">
        <f>'Comp HP Design'!N234</f>
        <v>461.19840465345675</v>
      </c>
      <c r="N42" s="42">
        <f>'Comp HP Design'!N276</f>
        <v>480.30062076859582</v>
      </c>
      <c r="O42" s="42">
        <f>'Comp HP Design'!N318</f>
        <v>499.40145431083596</v>
      </c>
      <c r="P42" s="42">
        <f>'Comp HP Design'!N360</f>
        <v>518.50089139117938</v>
      </c>
      <c r="Q42" s="42">
        <f>'Comp HP Design'!N402</f>
        <v>537.59891754122498</v>
      </c>
      <c r="R42" s="42">
        <f>'Comp HP Design'!N444</f>
        <v>555.73718152668368</v>
      </c>
    </row>
    <row r="43" spans="1:18" s="14" customFormat="1" x14ac:dyDescent="0.25">
      <c r="A43" s="62"/>
      <c r="B43" s="55" t="s">
        <v>252</v>
      </c>
      <c r="C43" s="44">
        <f>'Comp LP Design'!N124</f>
        <v>111450.99457239109</v>
      </c>
      <c r="D43" s="44">
        <f>'Comp LP Design'!N164</f>
        <v>131518.13863177586</v>
      </c>
      <c r="E43" s="44">
        <f>'Comp LP Design'!N206</f>
        <v>163393.40159116933</v>
      </c>
      <c r="F43" s="44">
        <f>'Comp IP Design'!N105</f>
        <v>205375.81941179046</v>
      </c>
      <c r="G43" s="44">
        <f>'Comp IP Design'!N145</f>
        <v>237076.4365863995</v>
      </c>
      <c r="H43" s="44">
        <f>'Comp IP Design'!N187</f>
        <v>270949.31332521472</v>
      </c>
      <c r="I43" s="44">
        <f>'Comp IP Design'!N229</f>
        <v>308053.83833408903</v>
      </c>
      <c r="J43" s="44">
        <f>'Comp HP Design'!N111</f>
        <v>342769.32431356283</v>
      </c>
      <c r="K43" s="44">
        <f>'Comp HP Design'!N151</f>
        <v>400240.22564886627</v>
      </c>
      <c r="L43" s="44">
        <f>'Comp HP Design'!N193</f>
        <v>462462.42525765917</v>
      </c>
      <c r="M43" s="44">
        <f>'Comp HP Design'!N235</f>
        <v>531193.96452692896</v>
      </c>
      <c r="N43" s="44">
        <f>'Comp HP Design'!N277</f>
        <v>606748.0002254463</v>
      </c>
      <c r="O43" s="44">
        <f>'Comp HP Design'!N319</f>
        <v>689494.59038778045</v>
      </c>
      <c r="P43" s="44">
        <f>'Comp HP Design'!N361</f>
        <v>779801.63231303589</v>
      </c>
      <c r="Q43" s="44">
        <f>'Comp HP Design'!N403</f>
        <v>878046.14720105915</v>
      </c>
      <c r="R43" s="44">
        <f>'Comp HP Design'!N445</f>
        <v>984607.03592014895</v>
      </c>
    </row>
    <row r="44" spans="1:18" ht="15.75" customHeight="1" x14ac:dyDescent="0.25">
      <c r="A44" s="62"/>
      <c r="B44" s="55" t="s">
        <v>253</v>
      </c>
      <c r="C44" s="44">
        <f>'Comp LP Design'!U125</f>
        <v>111050.27309995353</v>
      </c>
      <c r="D44" s="44">
        <f>'Comp LP Design'!U165</f>
        <v>131059.82799051731</v>
      </c>
      <c r="E44" s="44">
        <f>'Comp LP Design'!U207</f>
        <v>162910.90164636576</v>
      </c>
      <c r="F44" s="44">
        <f>'Comp IP Design'!U106</f>
        <v>204013.81943878924</v>
      </c>
      <c r="G44" s="44">
        <f>'Comp IP Design'!U146</f>
        <v>235665.28844647962</v>
      </c>
      <c r="H44" s="44">
        <f>'Comp IP Design'!U188</f>
        <v>269500.26663491019</v>
      </c>
      <c r="I44" s="44">
        <f>'Comp IP Design'!U230</f>
        <v>307052.95087608293</v>
      </c>
      <c r="J44" s="44">
        <f>'Comp HP Design'!U112</f>
        <v>341805.45944112435</v>
      </c>
      <c r="K44" s="44">
        <f>'Comp HP Design'!U152</f>
        <v>399226.386453958</v>
      </c>
      <c r="L44" s="44">
        <f>'Comp HP Design'!U194</f>
        <v>461421.47586822324</v>
      </c>
      <c r="M44" s="44">
        <f>'Comp HP Design'!U236</f>
        <v>530128.14270879631</v>
      </c>
      <c r="N44" s="44">
        <f>'Comp HP Design'!U278</f>
        <v>605659.65526664106</v>
      </c>
      <c r="O44" s="44">
        <f>'Comp HP Design'!U320</f>
        <v>688386.04713703308</v>
      </c>
      <c r="P44" s="44">
        <f>'Comp HP Design'!U362</f>
        <v>778675.19733823894</v>
      </c>
      <c r="Q44" s="44">
        <f>'Comp HP Design'!U404</f>
        <v>876904.09548959078</v>
      </c>
      <c r="R44" s="44">
        <f>'Comp HP Design'!U446</f>
        <v>983375.61850877351</v>
      </c>
    </row>
    <row r="45" spans="1:18" ht="15.75" customHeight="1" x14ac:dyDescent="0.25">
      <c r="A45" s="62"/>
      <c r="B45" s="55" t="s">
        <v>254</v>
      </c>
      <c r="C45" s="44">
        <f>'Comp LP Design'!N134</f>
        <v>131518.13863177586</v>
      </c>
      <c r="D45" s="44">
        <f>'Comp LP Design'!N174</f>
        <v>163393.40159116933</v>
      </c>
      <c r="E45" s="44">
        <f>'Comp LP Design'!N216</f>
        <v>199311.0180852779</v>
      </c>
      <c r="F45" s="44">
        <f>'Comp IP Design'!N115</f>
        <v>237076.4365863995</v>
      </c>
      <c r="G45" s="44">
        <f>'Comp IP Design'!N155</f>
        <v>270949.31332521472</v>
      </c>
      <c r="H45" s="44">
        <f>'Comp IP Design'!N197</f>
        <v>308053.83833408903</v>
      </c>
      <c r="I45" s="44">
        <f>'Comp IP Design'!N239</f>
        <v>348437.40683917148</v>
      </c>
      <c r="J45" s="44">
        <f>'Comp HP Design'!N121</f>
        <v>400240.22564886627</v>
      </c>
      <c r="K45" s="44">
        <f>'Comp HP Design'!N161</f>
        <v>462462.42525765917</v>
      </c>
      <c r="L45" s="44">
        <f>'Comp HP Design'!N203</f>
        <v>531193.96452692896</v>
      </c>
      <c r="M45" s="44">
        <f>'Comp HP Design'!N245</f>
        <v>606748.0002254463</v>
      </c>
      <c r="N45" s="44">
        <f>'Comp HP Design'!N287</f>
        <v>689494.59038778045</v>
      </c>
      <c r="O45" s="44">
        <f>'Comp HP Design'!N329</f>
        <v>779801.63231303589</v>
      </c>
      <c r="P45" s="44">
        <f>'Comp HP Design'!N371</f>
        <v>878046.14720105915</v>
      </c>
      <c r="Q45" s="44">
        <f>'Comp HP Design'!N413</f>
        <v>984607.03592014895</v>
      </c>
      <c r="R45" s="44">
        <f>'Comp HP Design'!N455</f>
        <v>1089086.2475717333</v>
      </c>
    </row>
    <row r="46" spans="1:18" ht="15.75" customHeight="1" x14ac:dyDescent="0.25">
      <c r="A46" s="62"/>
      <c r="B46" s="55" t="s">
        <v>255</v>
      </c>
      <c r="C46" s="44">
        <f>'Comp LP Design'!N103</f>
        <v>98610</v>
      </c>
      <c r="D46" s="44">
        <f>'Comp LP Design'!N143</f>
        <v>116581.81572660251</v>
      </c>
      <c r="E46" s="44">
        <f>'Comp LP Design'!N185</f>
        <v>139443.0549129986</v>
      </c>
      <c r="F46" s="44">
        <f>'Comp IP Design'!N84</f>
        <v>177970</v>
      </c>
      <c r="G46" s="44">
        <f>'Comp IP Design'!N124</f>
        <v>189763.08041359083</v>
      </c>
      <c r="H46" s="44">
        <f>'Comp IP Design'!N166</f>
        <v>219622.69198696531</v>
      </c>
      <c r="I46" s="44">
        <f>'Comp IP Design'!N208</f>
        <v>252269.3949017406</v>
      </c>
      <c r="J46" s="44">
        <f>'Comp HP Design'!N90</f>
        <v>297010</v>
      </c>
      <c r="K46" s="44">
        <f>'Comp HP Design'!N130</f>
        <v>327374.46508310002</v>
      </c>
      <c r="L46" s="44">
        <f>'Comp HP Design'!N172</f>
        <v>384402.49265600316</v>
      </c>
      <c r="M46" s="44">
        <f>'Comp HP Design'!N214</f>
        <v>445345.92592099099</v>
      </c>
      <c r="N46" s="44">
        <f>'Comp HP Design'!N256</f>
        <v>512721.22207098652</v>
      </c>
      <c r="O46" s="44">
        <f>'Comp HP Design'!N298</f>
        <v>586897.10490777704</v>
      </c>
      <c r="P46" s="44">
        <f>'Comp HP Design'!N340</f>
        <v>668241.21291703219</v>
      </c>
      <c r="Q46" s="44">
        <f>'Comp HP Design'!N382</f>
        <v>757129.60600701603</v>
      </c>
      <c r="R46" s="44">
        <f>'Comp HP Design'!N424</f>
        <v>853940.583073457</v>
      </c>
    </row>
    <row r="47" spans="1:18" ht="15.75" customHeight="1" x14ac:dyDescent="0.25">
      <c r="A47" s="62"/>
      <c r="B47" s="55" t="s">
        <v>256</v>
      </c>
      <c r="C47" s="44">
        <f>'Comp LP Design'!U124</f>
        <v>100439.48995185169</v>
      </c>
      <c r="D47" s="44">
        <f>'Comp LP Design'!U164</f>
        <v>118719.82240605219</v>
      </c>
      <c r="E47" s="44">
        <f>'Comp LP Design'!U206</f>
        <v>148722.35915716164</v>
      </c>
      <c r="F47" s="44">
        <f>'Comp IP Design'!U105</f>
        <v>179123.98219608405</v>
      </c>
      <c r="G47" s="44">
        <f>'Comp IP Design'!U145</f>
        <v>208379.04670782108</v>
      </c>
      <c r="H47" s="44">
        <f>'Comp IP Design'!U187</f>
        <v>239880.17744240852</v>
      </c>
      <c r="I47" s="44">
        <f>'Comp IP Design'!U229</f>
        <v>280671.87623352761</v>
      </c>
      <c r="J47" s="44">
        <f>'Comp HP Design'!U111</f>
        <v>309885.58681125275</v>
      </c>
      <c r="K47" s="44">
        <f>'Comp HP Design'!U151</f>
        <v>363549.74051119882</v>
      </c>
      <c r="L47" s="44">
        <f>'Comp HP Design'!U193</f>
        <v>422180.02060241817</v>
      </c>
      <c r="M47" s="44">
        <f>'Comp HP Design'!U235</f>
        <v>487154.77643092931</v>
      </c>
      <c r="N47" s="44">
        <f>'Comp HP Design'!U277</f>
        <v>558793.61990815052</v>
      </c>
      <c r="O47" s="44">
        <f>'Comp HP Design'!U319</f>
        <v>637468.30672690296</v>
      </c>
      <c r="P47" s="44">
        <f>'Comp HP Design'!U361</f>
        <v>723548.92414743127</v>
      </c>
      <c r="Q47" s="44">
        <f>'Comp HP Design'!U403</f>
        <v>817414.26459828508</v>
      </c>
      <c r="R47" s="44">
        <f>'Comp HP Design'!U445</f>
        <v>917711.5440267137</v>
      </c>
    </row>
    <row r="48" spans="1:18" s="18" customFormat="1" ht="13.5" customHeight="1" x14ac:dyDescent="0.25">
      <c r="A48" s="62"/>
      <c r="B48" s="55" t="s">
        <v>257</v>
      </c>
      <c r="C48" s="44">
        <f>'Comp LP Design'!N135</f>
        <v>116581.81572660251</v>
      </c>
      <c r="D48" s="44">
        <f>'Comp LP Design'!N175</f>
        <v>139443.0549129986</v>
      </c>
      <c r="E48" s="44">
        <f>'Comp LP Design'!N217</f>
        <v>177970</v>
      </c>
      <c r="F48" s="44">
        <f>'Comp IP Design'!N116</f>
        <v>189763.08041359083</v>
      </c>
      <c r="G48" s="44">
        <f>'Comp IP Design'!N156</f>
        <v>219622.69198696531</v>
      </c>
      <c r="H48" s="44">
        <f>'Comp IP Design'!N198</f>
        <v>252269.3949017406</v>
      </c>
      <c r="I48" s="44">
        <f>'Comp IP Design'!N240</f>
        <v>297010</v>
      </c>
      <c r="J48" s="44">
        <f>'Comp HP Design'!N122</f>
        <v>327374.46508310002</v>
      </c>
      <c r="K48" s="44">
        <f>'Comp HP Design'!N162</f>
        <v>384402.49265600316</v>
      </c>
      <c r="L48" s="44">
        <f>'Comp HP Design'!N204</f>
        <v>445345.92592099099</v>
      </c>
      <c r="M48" s="44">
        <f>'Comp HP Design'!N246</f>
        <v>512721.22207098652</v>
      </c>
      <c r="N48" s="44">
        <f>'Comp HP Design'!N288</f>
        <v>586897.10490777704</v>
      </c>
      <c r="O48" s="44">
        <f>'Comp HP Design'!N330</f>
        <v>668241.21291703219</v>
      </c>
      <c r="P48" s="44">
        <f>'Comp HP Design'!N372</f>
        <v>757129.60600701603</v>
      </c>
      <c r="Q48" s="44">
        <f>'Comp HP Design'!N414</f>
        <v>853940.583073457</v>
      </c>
      <c r="R48" s="44">
        <f>'Comp HP Design'!N456</f>
        <v>909711.929</v>
      </c>
    </row>
    <row r="49" spans="1:18" s="18" customFormat="1" x14ac:dyDescent="0.25">
      <c r="A49" s="63"/>
      <c r="B49" s="56" t="s">
        <v>186</v>
      </c>
      <c r="C49" s="28">
        <f t="shared" ref="C49:R49" si="2">C45/C43</f>
        <v>1.1800535216072072</v>
      </c>
      <c r="D49" s="28">
        <f t="shared" si="2"/>
        <v>1.2423640061439567</v>
      </c>
      <c r="E49" s="28">
        <f t="shared" si="2"/>
        <v>1.2198229313077094</v>
      </c>
      <c r="F49" s="28">
        <f t="shared" si="2"/>
        <v>1.1543541847594407</v>
      </c>
      <c r="G49" s="28">
        <f t="shared" si="2"/>
        <v>1.1428774501023458</v>
      </c>
      <c r="H49" s="28">
        <f t="shared" si="2"/>
        <v>1.136942679623397</v>
      </c>
      <c r="I49" s="28">
        <f t="shared" si="2"/>
        <v>1.1310925672066643</v>
      </c>
      <c r="J49" s="28">
        <f t="shared" si="2"/>
        <v>1.1676664078688952</v>
      </c>
      <c r="K49" s="28">
        <f t="shared" si="2"/>
        <v>1.1554621340419213</v>
      </c>
      <c r="L49" s="28">
        <f t="shared" si="2"/>
        <v>1.1486208079088291</v>
      </c>
      <c r="M49" s="28">
        <f t="shared" si="2"/>
        <v>1.1422343639875583</v>
      </c>
      <c r="N49" s="28">
        <f t="shared" si="2"/>
        <v>1.1363771947028889</v>
      </c>
      <c r="O49" s="28">
        <f t="shared" si="2"/>
        <v>1.1309757076911446</v>
      </c>
      <c r="P49" s="28">
        <f t="shared" si="2"/>
        <v>1.1259865468562971</v>
      </c>
      <c r="Q49" s="28">
        <f t="shared" si="2"/>
        <v>1.1213613761176142</v>
      </c>
      <c r="R49" s="28">
        <f t="shared" si="2"/>
        <v>1.1061125990776055</v>
      </c>
    </row>
    <row r="50" spans="1:18" s="18" customFormat="1" x14ac:dyDescent="0.25">
      <c r="A50" s="61"/>
      <c r="B50" s="54" t="s">
        <v>258</v>
      </c>
      <c r="C50" s="43">
        <f>'Comp LP Design'!Q122</f>
        <v>1.2364802026351303</v>
      </c>
      <c r="D50" s="43">
        <f>'Comp LP Design'!Q162</f>
        <v>1.3775541668154452</v>
      </c>
      <c r="E50" s="43">
        <f>'Comp LP Design'!Q204</f>
        <v>1.5584239530875701</v>
      </c>
      <c r="F50" s="43">
        <f>'Comp IP Design'!Q103</f>
        <v>1.8655236057525719</v>
      </c>
      <c r="G50" s="43">
        <f>'Comp IP Design'!Q143</f>
        <v>1.9446068078363783</v>
      </c>
      <c r="H50" s="43">
        <f>'Comp IP Design'!Q185</f>
        <v>2.1540592811129575</v>
      </c>
      <c r="I50" s="43">
        <f>'Comp IP Design'!Q227</f>
        <v>2.3726926178131933</v>
      </c>
      <c r="J50" s="43">
        <f>'Comp HP Design'!Q109</f>
        <v>2.6512471221911915</v>
      </c>
      <c r="K50" s="43">
        <f>'Comp HP Design'!Q149</f>
        <v>2.8255967126571306</v>
      </c>
      <c r="L50" s="43">
        <f>'Comp HP Design'!Q191</f>
        <v>3.166462316641617</v>
      </c>
      <c r="M50" s="43">
        <f>'Comp HP Design'!Q233</f>
        <v>3.5099437883692279</v>
      </c>
      <c r="N50" s="43">
        <f>'Comp HP Design'!Q275</f>
        <v>3.8735717129515117</v>
      </c>
      <c r="O50" s="43">
        <f>'Comp HP Design'!Q317</f>
        <v>4.2576202472732598</v>
      </c>
      <c r="P50" s="43">
        <f>'Comp HP Design'!Q359</f>
        <v>4.6623144074396592</v>
      </c>
      <c r="Q50" s="43">
        <f>'Comp HP Design'!Q401</f>
        <v>5.0879030194477401</v>
      </c>
      <c r="R50" s="43">
        <f>'Comp HP Design'!Q443</f>
        <v>5.5346144335396286</v>
      </c>
    </row>
    <row r="51" spans="1:18" s="19" customFormat="1" x14ac:dyDescent="0.25">
      <c r="A51" s="61"/>
      <c r="B51" s="54" t="s">
        <v>259</v>
      </c>
      <c r="C51" s="43">
        <f>'Comp LP Design'!X122</f>
        <v>1.2508982089634904</v>
      </c>
      <c r="D51" s="43">
        <f>'Comp LP Design'!X162</f>
        <v>1.3955523420365601</v>
      </c>
      <c r="E51" s="43">
        <f>'Comp LP Design'!X204</f>
        <v>1.6318148618849131</v>
      </c>
      <c r="F51" s="43">
        <f>'Comp IP Design'!X103</f>
        <v>1.86954289872664</v>
      </c>
      <c r="G51" s="43">
        <f>'Comp IP Design'!X143</f>
        <v>2.0802040691781216</v>
      </c>
      <c r="H51" s="43">
        <f>'Comp IP Design'!X185</f>
        <v>2.2946959168742169</v>
      </c>
      <c r="I51" s="43">
        <f>'Comp IP Design'!X227</f>
        <v>2.5612740782456234</v>
      </c>
      <c r="J51" s="43">
        <f>'Comp HP Design'!X109</f>
        <v>2.725653083847063</v>
      </c>
      <c r="K51" s="43">
        <f>'Comp HP Design'!X149</f>
        <v>3.051186032839956</v>
      </c>
      <c r="L51" s="43">
        <f>'Comp HP Design'!X191</f>
        <v>3.3873740769122236</v>
      </c>
      <c r="M51" s="43">
        <f>'Comp HP Design'!X233</f>
        <v>3.7439993047108575</v>
      </c>
      <c r="N51" s="43">
        <f>'Comp HP Design'!X275</f>
        <v>4.1209429017876786</v>
      </c>
      <c r="O51" s="43">
        <f>'Comp HP Design'!X317</f>
        <v>4.5184745085769862</v>
      </c>
      <c r="P51" s="43">
        <f>'Comp HP Design'!X359</f>
        <v>4.9368124184405069</v>
      </c>
      <c r="Q51" s="43">
        <f>'Comp HP Design'!X401</f>
        <v>5.376201075829548</v>
      </c>
      <c r="R51" s="43">
        <f>'Comp HP Design'!X443</f>
        <v>5.8289444823554728</v>
      </c>
    </row>
    <row r="52" spans="1:18" s="19" customFormat="1" x14ac:dyDescent="0.25">
      <c r="A52" s="61"/>
      <c r="B52" s="54" t="s">
        <v>260</v>
      </c>
      <c r="C52" s="43">
        <f>'Comp LP Design'!Q123</f>
        <v>1.3775541668154452</v>
      </c>
      <c r="D52" s="43">
        <f>'Comp LP Design'!Q163</f>
        <v>1.5584239530875701</v>
      </c>
      <c r="E52" s="43">
        <f>'Comp LP Design'!Q205</f>
        <v>1.8644578884307839</v>
      </c>
      <c r="F52" s="43">
        <f>'Comp IP Design'!Q104</f>
        <v>1.9452331328825947</v>
      </c>
      <c r="G52" s="43">
        <f>'Comp IP Design'!Q144</f>
        <v>2.1540592811129575</v>
      </c>
      <c r="H52" s="43">
        <f>'Comp IP Design'!Q186</f>
        <v>2.3726926178131933</v>
      </c>
      <c r="I52" s="43">
        <f>'Comp IP Design'!Q228</f>
        <v>2.6506697862103348</v>
      </c>
      <c r="J52" s="43">
        <f>'Comp HP Design'!Q110</f>
        <v>2.8295747992293463</v>
      </c>
      <c r="K52" s="43">
        <f>'Comp HP Design'!Q150</f>
        <v>3.166462316641617</v>
      </c>
      <c r="L52" s="43">
        <f>'Comp HP Design'!Q192</f>
        <v>3.5099437883692279</v>
      </c>
      <c r="M52" s="43">
        <f>'Comp HP Design'!Q234</f>
        <v>3.8735717129515117</v>
      </c>
      <c r="N52" s="43">
        <f>'Comp HP Design'!Q276</f>
        <v>4.2576202472732598</v>
      </c>
      <c r="O52" s="43">
        <f>'Comp HP Design'!Q318</f>
        <v>4.6623144074396592</v>
      </c>
      <c r="P52" s="43">
        <f>'Comp HP Design'!Q360</f>
        <v>5.0879030194477401</v>
      </c>
      <c r="Q52" s="43">
        <f>'Comp HP Design'!Q402</f>
        <v>5.5346144335396286</v>
      </c>
      <c r="R52" s="43">
        <f>'Comp HP Design'!Q444</f>
        <v>5.7036456817629029</v>
      </c>
    </row>
    <row r="53" spans="1:18" s="19" customFormat="1" x14ac:dyDescent="0.25">
      <c r="A53" s="63"/>
      <c r="B53" s="57" t="s">
        <v>263</v>
      </c>
      <c r="C53" s="22">
        <v>287</v>
      </c>
      <c r="D53" s="22">
        <v>287</v>
      </c>
      <c r="E53" s="22">
        <v>287</v>
      </c>
      <c r="F53" s="22">
        <v>287</v>
      </c>
      <c r="G53" s="22">
        <v>287</v>
      </c>
      <c r="H53" s="22">
        <v>287</v>
      </c>
      <c r="I53" s="22">
        <v>287</v>
      </c>
      <c r="J53" s="22">
        <v>287</v>
      </c>
      <c r="K53" s="22">
        <v>287</v>
      </c>
      <c r="L53" s="22">
        <v>287</v>
      </c>
      <c r="M53" s="22">
        <v>287</v>
      </c>
      <c r="N53" s="22">
        <v>287</v>
      </c>
      <c r="O53" s="22">
        <v>287</v>
      </c>
      <c r="P53" s="22">
        <v>287</v>
      </c>
      <c r="Q53" s="22">
        <v>287</v>
      </c>
      <c r="R53" s="22">
        <v>287</v>
      </c>
    </row>
    <row r="54" spans="1:18" s="19" customFormat="1" x14ac:dyDescent="0.25">
      <c r="A54" s="63"/>
      <c r="B54" s="57" t="s">
        <v>262</v>
      </c>
      <c r="C54" s="22">
        <v>1.4</v>
      </c>
      <c r="D54" s="22">
        <v>1.4</v>
      </c>
      <c r="E54" s="22">
        <v>1.4</v>
      </c>
      <c r="F54" s="22">
        <v>1.395</v>
      </c>
      <c r="G54" s="22">
        <v>1.395</v>
      </c>
      <c r="H54" s="22">
        <v>1.395</v>
      </c>
      <c r="I54" s="22">
        <v>1.395</v>
      </c>
      <c r="J54" s="22">
        <v>1.39</v>
      </c>
      <c r="K54" s="22">
        <v>1.39</v>
      </c>
      <c r="L54" s="22">
        <v>1.39</v>
      </c>
      <c r="M54" s="22">
        <v>1.39</v>
      </c>
      <c r="N54" s="22">
        <v>1.39</v>
      </c>
      <c r="O54" s="22">
        <v>1.39</v>
      </c>
      <c r="P54" s="22">
        <v>1.39</v>
      </c>
      <c r="Q54" s="22">
        <v>1.39</v>
      </c>
      <c r="R54" s="22">
        <v>1.39</v>
      </c>
    </row>
    <row r="55" spans="1:18" s="19" customFormat="1" x14ac:dyDescent="0.25">
      <c r="A55" s="63"/>
      <c r="B55" s="57" t="s">
        <v>261</v>
      </c>
      <c r="C55" s="28">
        <f t="shared" ref="C55:R55" si="3" xml:space="preserve"> 0.0002*((C39-C38)/2+C38) + 0.9435</f>
        <v>1.002842</v>
      </c>
      <c r="D55" s="28">
        <f t="shared" si="3"/>
        <v>1.006642</v>
      </c>
      <c r="E55" s="28">
        <f t="shared" si="3"/>
        <v>1.010842</v>
      </c>
      <c r="F55" s="28">
        <f t="shared" si="3"/>
        <v>1.0144040000000001</v>
      </c>
      <c r="G55" s="28">
        <f t="shared" si="3"/>
        <v>1.017404</v>
      </c>
      <c r="H55" s="28">
        <f t="shared" si="3"/>
        <v>1.0204040000000001</v>
      </c>
      <c r="I55" s="28">
        <f t="shared" si="3"/>
        <v>1.0234529999999999</v>
      </c>
      <c r="J55" s="28">
        <f t="shared" si="3"/>
        <v>1.026902</v>
      </c>
      <c r="K55" s="28">
        <f t="shared" si="3"/>
        <v>1.030702</v>
      </c>
      <c r="L55" s="28">
        <f t="shared" si="3"/>
        <v>1.034502</v>
      </c>
      <c r="M55" s="28">
        <f t="shared" si="3"/>
        <v>1.0383020000000001</v>
      </c>
      <c r="N55" s="28">
        <f t="shared" si="3"/>
        <v>1.0421020000000001</v>
      </c>
      <c r="O55" s="28">
        <f t="shared" si="3"/>
        <v>1.0459020000000001</v>
      </c>
      <c r="P55" s="28">
        <f t="shared" si="3"/>
        <v>1.0497019999999999</v>
      </c>
      <c r="Q55" s="28">
        <f t="shared" si="3"/>
        <v>1.0535019999999999</v>
      </c>
      <c r="R55" s="28">
        <f t="shared" si="3"/>
        <v>1.05714</v>
      </c>
    </row>
    <row r="56" spans="1:18" s="19" customFormat="1" x14ac:dyDescent="0.25">
      <c r="A56" s="63"/>
      <c r="B56" s="57" t="s">
        <v>264</v>
      </c>
      <c r="C56" s="47">
        <v>0.82062087931791194</v>
      </c>
      <c r="D56" s="47">
        <v>0.92968731875953214</v>
      </c>
      <c r="E56" s="47">
        <v>0.90741659060029256</v>
      </c>
      <c r="F56" s="47">
        <v>0.95966112034700823</v>
      </c>
      <c r="G56" s="47">
        <v>0.93012786624515553</v>
      </c>
      <c r="H56" s="47">
        <v>0.9302136924112937</v>
      </c>
      <c r="I56" s="47">
        <v>0.89831832920842269</v>
      </c>
      <c r="J56" s="47">
        <v>0.95337700373079892</v>
      </c>
      <c r="K56" s="47">
        <v>0.92881242655761476</v>
      </c>
      <c r="L56" s="47">
        <v>0.92953762478689295</v>
      </c>
      <c r="M56" s="47">
        <v>0.92944942328073188</v>
      </c>
      <c r="N56" s="47">
        <v>0.92939183866213537</v>
      </c>
      <c r="O56" s="47">
        <v>0.92929020042675892</v>
      </c>
      <c r="P56" s="47">
        <v>0.92920426693652014</v>
      </c>
      <c r="Q56" s="47">
        <v>0.92911106238318242</v>
      </c>
      <c r="R56" s="47">
        <v>0.92395354205826874</v>
      </c>
    </row>
    <row r="57" spans="1:18" s="19" customFormat="1" x14ac:dyDescent="0.25">
      <c r="A57" s="63"/>
      <c r="B57" s="8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</row>
    <row r="58" spans="1:18" s="17" customFormat="1" ht="18" customHeight="1" x14ac:dyDescent="0.25">
      <c r="A58" s="64" t="s">
        <v>282</v>
      </c>
      <c r="B58" s="56" t="s">
        <v>265</v>
      </c>
      <c r="C58" s="45">
        <f t="shared" ref="C58:R58" si="4">C5/(C9*3.14*C7*C50)</f>
        <v>0.24629864660281278</v>
      </c>
      <c r="D58" s="45">
        <f t="shared" si="4"/>
        <v>0.2285724231034304</v>
      </c>
      <c r="E58" s="45">
        <f t="shared" si="4"/>
        <v>0.20913655287517008</v>
      </c>
      <c r="F58" s="45">
        <f t="shared" si="4"/>
        <v>0.17470881229366661</v>
      </c>
      <c r="G58" s="45">
        <f t="shared" si="4"/>
        <v>0.16983747101583241</v>
      </c>
      <c r="H58" s="45">
        <f t="shared" si="4"/>
        <v>0.15539411455377114</v>
      </c>
      <c r="I58" s="45">
        <f t="shared" si="4"/>
        <v>0.14300686401037058</v>
      </c>
      <c r="J58" s="45">
        <f t="shared" si="4"/>
        <v>0.12798178174111097</v>
      </c>
      <c r="K58" s="45">
        <f t="shared" si="4"/>
        <v>0.12103523978669893</v>
      </c>
      <c r="L58" s="45">
        <f t="shared" si="4"/>
        <v>0.10886757294995085</v>
      </c>
      <c r="M58" s="45">
        <f t="shared" si="4"/>
        <v>9.9003647904369496E-2</v>
      </c>
      <c r="N58" s="45">
        <f t="shared" si="4"/>
        <v>9.0437039513651521E-2</v>
      </c>
      <c r="O58" s="45">
        <f t="shared" si="4"/>
        <v>8.2951861849383704E-2</v>
      </c>
      <c r="P58" s="45">
        <f t="shared" si="4"/>
        <v>7.6375776441962751E-2</v>
      </c>
      <c r="Q58" s="45">
        <f t="shared" si="4"/>
        <v>7.0568680635953993E-2</v>
      </c>
      <c r="R58" s="45">
        <f t="shared" si="4"/>
        <v>6.5416463563494995E-2</v>
      </c>
    </row>
    <row r="59" spans="1:18" s="17" customFormat="1" x14ac:dyDescent="0.25">
      <c r="A59" s="64"/>
      <c r="B59" s="56" t="s">
        <v>266</v>
      </c>
      <c r="C59" s="45">
        <f t="shared" ref="C59:R59" si="5">C5/(C9*3.14*C7*C51)</f>
        <v>0.24345977816416625</v>
      </c>
      <c r="D59" s="45">
        <f t="shared" si="5"/>
        <v>0.22562456769320133</v>
      </c>
      <c r="E59" s="45">
        <f t="shared" si="5"/>
        <v>0.19973063187471848</v>
      </c>
      <c r="F59" s="45">
        <f t="shared" si="5"/>
        <v>0.17433320930416685</v>
      </c>
      <c r="G59" s="45">
        <f t="shared" si="5"/>
        <v>0.1587666841232496</v>
      </c>
      <c r="H59" s="45">
        <f t="shared" si="5"/>
        <v>0.14587036662393157</v>
      </c>
      <c r="I59" s="45">
        <f t="shared" si="5"/>
        <v>0.13247755615690965</v>
      </c>
      <c r="J59" s="45">
        <f t="shared" si="5"/>
        <v>0.12448808417508077</v>
      </c>
      <c r="K59" s="45">
        <f t="shared" si="5"/>
        <v>0.11208650405974863</v>
      </c>
      <c r="L59" s="45">
        <f t="shared" si="5"/>
        <v>0.10176764048583832</v>
      </c>
      <c r="M59" s="45">
        <f t="shared" si="5"/>
        <v>9.2814450726686884E-2</v>
      </c>
      <c r="N59" s="45">
        <f t="shared" si="5"/>
        <v>8.5008301840627576E-2</v>
      </c>
      <c r="O59" s="45">
        <f t="shared" si="5"/>
        <v>7.816300078456731E-2</v>
      </c>
      <c r="P59" s="45">
        <f t="shared" si="5"/>
        <v>7.212910937321744E-2</v>
      </c>
      <c r="Q59" s="45">
        <f t="shared" si="5"/>
        <v>6.6784444670480017E-2</v>
      </c>
      <c r="R59" s="45">
        <f t="shared" si="5"/>
        <v>6.2113287324248534E-2</v>
      </c>
    </row>
    <row r="60" spans="1:18" s="17" customFormat="1" x14ac:dyDescent="0.25">
      <c r="A60" s="64"/>
      <c r="B60" s="56" t="s">
        <v>267</v>
      </c>
      <c r="C60" s="45">
        <f t="shared" ref="C60:R60" si="6">C5/(C9*3.14*C7*C52)</f>
        <v>0.22107544501442811</v>
      </c>
      <c r="D60" s="45">
        <f t="shared" si="6"/>
        <v>0.20204443934617863</v>
      </c>
      <c r="E60" s="45">
        <f t="shared" si="6"/>
        <v>0.17480867521290211</v>
      </c>
      <c r="F60" s="45">
        <f t="shared" si="6"/>
        <v>0.16754979542418755</v>
      </c>
      <c r="G60" s="45">
        <f t="shared" si="6"/>
        <v>0.15332312590415764</v>
      </c>
      <c r="H60" s="45">
        <f t="shared" si="6"/>
        <v>0.14107522068888345</v>
      </c>
      <c r="I60" s="45">
        <f t="shared" si="6"/>
        <v>0.12800965714372717</v>
      </c>
      <c r="J60" s="45">
        <f t="shared" si="6"/>
        <v>0.11991601375105382</v>
      </c>
      <c r="K60" s="45">
        <f t="shared" si="6"/>
        <v>0.10800595158185536</v>
      </c>
      <c r="L60" s="45">
        <f t="shared" si="6"/>
        <v>9.8213842738038834E-2</v>
      </c>
      <c r="M60" s="45">
        <f t="shared" si="6"/>
        <v>8.9709772979278693E-2</v>
      </c>
      <c r="N60" s="45">
        <f t="shared" si="6"/>
        <v>8.2279380902398044E-2</v>
      </c>
      <c r="O60" s="45">
        <f t="shared" si="6"/>
        <v>7.5751546484163448E-2</v>
      </c>
      <c r="P60" s="45">
        <f t="shared" si="6"/>
        <v>6.9987160038951474E-2</v>
      </c>
      <c r="Q60" s="45">
        <f t="shared" si="6"/>
        <v>6.48729207061471E-2</v>
      </c>
      <c r="R60" s="45">
        <f t="shared" si="6"/>
        <v>6.3477804132765381E-2</v>
      </c>
    </row>
    <row r="61" spans="1:18" ht="15.75" customHeight="1" x14ac:dyDescent="0.25">
      <c r="A61" s="65"/>
      <c r="B61" s="56" t="s">
        <v>268</v>
      </c>
      <c r="C61" s="46">
        <f t="shared" ref="C61:R61" si="7">C7/2-C58/2</f>
        <v>0.47900067669859359</v>
      </c>
      <c r="D61" s="46">
        <f t="shared" si="7"/>
        <v>0.46811378844828483</v>
      </c>
      <c r="E61" s="46">
        <f t="shared" si="7"/>
        <v>0.45808172356241494</v>
      </c>
      <c r="F61" s="46">
        <f t="shared" si="7"/>
        <v>0.47529559385316666</v>
      </c>
      <c r="G61" s="46">
        <f t="shared" si="7"/>
        <v>0.47033126449208384</v>
      </c>
      <c r="H61" s="46">
        <f t="shared" si="7"/>
        <v>0.47015294272311448</v>
      </c>
      <c r="I61" s="46">
        <f t="shared" si="7"/>
        <v>0.46894656799481482</v>
      </c>
      <c r="J61" s="46">
        <f t="shared" si="7"/>
        <v>0.4764591091294445</v>
      </c>
      <c r="K61" s="46">
        <f t="shared" si="7"/>
        <v>0.47568863010665052</v>
      </c>
      <c r="L61" s="46">
        <f t="shared" si="7"/>
        <v>0.47752871352502457</v>
      </c>
      <c r="M61" s="46">
        <f t="shared" si="7"/>
        <v>0.47821692604781529</v>
      </c>
      <c r="N61" s="46">
        <f t="shared" si="7"/>
        <v>0.47825648024317424</v>
      </c>
      <c r="O61" s="46">
        <f t="shared" si="7"/>
        <v>0.47775531907530816</v>
      </c>
      <c r="P61" s="46">
        <f t="shared" si="7"/>
        <v>0.47679961177901864</v>
      </c>
      <c r="Q61" s="46">
        <f t="shared" si="7"/>
        <v>0.47545940968202305</v>
      </c>
      <c r="R61" s="46">
        <f t="shared" si="7"/>
        <v>0.47379176821825258</v>
      </c>
    </row>
    <row r="62" spans="1:18" ht="15.75" customHeight="1" x14ac:dyDescent="0.25">
      <c r="A62" s="65"/>
      <c r="B62" s="56" t="s">
        <v>269</v>
      </c>
      <c r="C62" s="46">
        <f t="shared" ref="C62:R62" si="8">C7/2-C59/2</f>
        <v>0.48042011091791681</v>
      </c>
      <c r="D62" s="46">
        <f t="shared" si="8"/>
        <v>0.46958771615339934</v>
      </c>
      <c r="E62" s="46">
        <f t="shared" si="8"/>
        <v>0.46278468406264073</v>
      </c>
      <c r="F62" s="46">
        <f t="shared" si="8"/>
        <v>0.47548339534791656</v>
      </c>
      <c r="G62" s="46">
        <f t="shared" si="8"/>
        <v>0.47586665793837524</v>
      </c>
      <c r="H62" s="46">
        <f t="shared" si="8"/>
        <v>0.47491481668803426</v>
      </c>
      <c r="I62" s="46">
        <f t="shared" si="8"/>
        <v>0.4742112219215453</v>
      </c>
      <c r="J62" s="46">
        <f t="shared" si="8"/>
        <v>0.47820595791245962</v>
      </c>
      <c r="K62" s="46">
        <f t="shared" si="8"/>
        <v>0.48016299797012568</v>
      </c>
      <c r="L62" s="46">
        <f t="shared" si="8"/>
        <v>0.48107867975708085</v>
      </c>
      <c r="M62" s="46">
        <f t="shared" si="8"/>
        <v>0.48131152463665655</v>
      </c>
      <c r="N62" s="46">
        <f t="shared" si="8"/>
        <v>0.48097084907968624</v>
      </c>
      <c r="O62" s="46">
        <f t="shared" si="8"/>
        <v>0.48014974960771639</v>
      </c>
      <c r="P62" s="46">
        <f t="shared" si="8"/>
        <v>0.4789229453133913</v>
      </c>
      <c r="Q62" s="46">
        <f t="shared" si="8"/>
        <v>0.47735152766476002</v>
      </c>
      <c r="R62" s="46">
        <f t="shared" si="8"/>
        <v>0.47544335633787582</v>
      </c>
    </row>
    <row r="63" spans="1:18" ht="15.75" customHeight="1" x14ac:dyDescent="0.25">
      <c r="A63" s="65"/>
      <c r="B63" s="56" t="s">
        <v>270</v>
      </c>
      <c r="C63" s="46">
        <f t="shared" ref="C63:R63" si="9">C7/2-C60/2</f>
        <v>0.49161227749278591</v>
      </c>
      <c r="D63" s="46">
        <f t="shared" si="9"/>
        <v>0.4813777803269107</v>
      </c>
      <c r="E63" s="46">
        <f t="shared" si="9"/>
        <v>0.47524566239354893</v>
      </c>
      <c r="F63" s="46">
        <f t="shared" si="9"/>
        <v>0.4788751022879062</v>
      </c>
      <c r="G63" s="46">
        <f t="shared" si="9"/>
        <v>0.4785884370479212</v>
      </c>
      <c r="H63" s="46">
        <f t="shared" si="9"/>
        <v>0.47731238965555833</v>
      </c>
      <c r="I63" s="46">
        <f t="shared" si="9"/>
        <v>0.47644517142813653</v>
      </c>
      <c r="J63" s="46">
        <f t="shared" si="9"/>
        <v>0.4804919931244731</v>
      </c>
      <c r="K63" s="46">
        <f t="shared" si="9"/>
        <v>0.48220327420907233</v>
      </c>
      <c r="L63" s="46">
        <f t="shared" si="9"/>
        <v>0.48285557863098061</v>
      </c>
      <c r="M63" s="46">
        <f t="shared" si="9"/>
        <v>0.48286386351036065</v>
      </c>
      <c r="N63" s="46">
        <f t="shared" si="9"/>
        <v>0.48233530954880099</v>
      </c>
      <c r="O63" s="46">
        <f t="shared" si="9"/>
        <v>0.48135547675791829</v>
      </c>
      <c r="P63" s="46">
        <f t="shared" si="9"/>
        <v>0.47999391998052432</v>
      </c>
      <c r="Q63" s="46">
        <f t="shared" si="9"/>
        <v>0.47830728964692648</v>
      </c>
      <c r="R63" s="46">
        <f t="shared" si="9"/>
        <v>0.47476109793361737</v>
      </c>
    </row>
    <row r="64" spans="1:18" ht="15.75" customHeight="1" x14ac:dyDescent="0.25">
      <c r="A64" s="65"/>
      <c r="B64" s="56" t="s">
        <v>271</v>
      </c>
      <c r="C64" s="46">
        <f t="shared" ref="C64:R64" si="10">C7/2+C58/2</f>
        <v>0.72529932330140634</v>
      </c>
      <c r="D64" s="46">
        <f t="shared" si="10"/>
        <v>0.69668621155171517</v>
      </c>
      <c r="E64" s="46">
        <f t="shared" si="10"/>
        <v>0.66721827643758502</v>
      </c>
      <c r="F64" s="46">
        <f t="shared" si="10"/>
        <v>0.6500044061468333</v>
      </c>
      <c r="G64" s="46">
        <f t="shared" si="10"/>
        <v>0.6401687355079162</v>
      </c>
      <c r="H64" s="46">
        <f t="shared" si="10"/>
        <v>0.62554705727688564</v>
      </c>
      <c r="I64" s="46">
        <f t="shared" si="10"/>
        <v>0.61195343200518537</v>
      </c>
      <c r="J64" s="46">
        <f t="shared" si="10"/>
        <v>0.60444089087055541</v>
      </c>
      <c r="K64" s="46">
        <f t="shared" si="10"/>
        <v>0.59672386989334947</v>
      </c>
      <c r="L64" s="46">
        <f t="shared" si="10"/>
        <v>0.58639628647497544</v>
      </c>
      <c r="M64" s="46">
        <f t="shared" si="10"/>
        <v>0.57722057395218473</v>
      </c>
      <c r="N64" s="46">
        <f t="shared" si="10"/>
        <v>0.5686935197568258</v>
      </c>
      <c r="O64" s="46">
        <f t="shared" si="10"/>
        <v>0.56070718092469185</v>
      </c>
      <c r="P64" s="46">
        <f t="shared" si="10"/>
        <v>0.55317538822098145</v>
      </c>
      <c r="Q64" s="46">
        <f t="shared" si="10"/>
        <v>0.54602809031797706</v>
      </c>
      <c r="R64" s="46">
        <f t="shared" si="10"/>
        <v>0.53920823178174759</v>
      </c>
    </row>
    <row r="65" spans="1:18" ht="15.75" customHeight="1" x14ac:dyDescent="0.25">
      <c r="A65" s="65"/>
      <c r="B65" s="56" t="s">
        <v>272</v>
      </c>
      <c r="C65" s="46">
        <f t="shared" ref="C65:R65" si="11">C7/2+C59/2</f>
        <v>0.72387988908208312</v>
      </c>
      <c r="D65" s="46">
        <f t="shared" si="11"/>
        <v>0.69521228384660072</v>
      </c>
      <c r="E65" s="46">
        <f t="shared" si="11"/>
        <v>0.66251531593735924</v>
      </c>
      <c r="F65" s="46">
        <f t="shared" si="11"/>
        <v>0.64981660465208346</v>
      </c>
      <c r="G65" s="46">
        <f t="shared" si="11"/>
        <v>0.63463334206162481</v>
      </c>
      <c r="H65" s="46">
        <f t="shared" si="11"/>
        <v>0.62078518331196586</v>
      </c>
      <c r="I65" s="46">
        <f t="shared" si="11"/>
        <v>0.60668877807845489</v>
      </c>
      <c r="J65" s="46">
        <f t="shared" si="11"/>
        <v>0.6026940420875404</v>
      </c>
      <c r="K65" s="46">
        <f t="shared" si="11"/>
        <v>0.59224950202987436</v>
      </c>
      <c r="L65" s="46">
        <f t="shared" si="11"/>
        <v>0.58284632024291916</v>
      </c>
      <c r="M65" s="46">
        <f t="shared" si="11"/>
        <v>0.57412597536334342</v>
      </c>
      <c r="N65" s="46">
        <f t="shared" si="11"/>
        <v>0.56597915092031381</v>
      </c>
      <c r="O65" s="46">
        <f t="shared" si="11"/>
        <v>0.55831275039228367</v>
      </c>
      <c r="P65" s="46">
        <f t="shared" si="11"/>
        <v>0.55105205468660878</v>
      </c>
      <c r="Q65" s="46">
        <f t="shared" si="11"/>
        <v>0.54413597233524003</v>
      </c>
      <c r="R65" s="46">
        <f t="shared" si="11"/>
        <v>0.5375566436621243</v>
      </c>
    </row>
    <row r="66" spans="1:18" ht="15.75" customHeight="1" x14ac:dyDescent="0.25">
      <c r="A66" s="65"/>
      <c r="B66" s="56" t="s">
        <v>273</v>
      </c>
      <c r="C66" s="46">
        <f t="shared" ref="C66:R66" si="12">C7/2+C60/2</f>
        <v>0.71268772250721402</v>
      </c>
      <c r="D66" s="46">
        <f t="shared" si="12"/>
        <v>0.68342221967308936</v>
      </c>
      <c r="E66" s="46">
        <f t="shared" si="12"/>
        <v>0.65005433760645104</v>
      </c>
      <c r="F66" s="46">
        <f t="shared" si="12"/>
        <v>0.64642489771209377</v>
      </c>
      <c r="G66" s="46">
        <f t="shared" si="12"/>
        <v>0.63191156295207884</v>
      </c>
      <c r="H66" s="46">
        <f t="shared" si="12"/>
        <v>0.61838761034444178</v>
      </c>
      <c r="I66" s="46">
        <f t="shared" si="12"/>
        <v>0.60445482857186372</v>
      </c>
      <c r="J66" s="46">
        <f t="shared" si="12"/>
        <v>0.60040800687552687</v>
      </c>
      <c r="K66" s="46">
        <f t="shared" si="12"/>
        <v>0.59020922579092772</v>
      </c>
      <c r="L66" s="46">
        <f t="shared" si="12"/>
        <v>0.5810694213690194</v>
      </c>
      <c r="M66" s="46">
        <f t="shared" si="12"/>
        <v>0.57257363648963933</v>
      </c>
      <c r="N66" s="46">
        <f t="shared" si="12"/>
        <v>0.56461469045119905</v>
      </c>
      <c r="O66" s="46">
        <f t="shared" si="12"/>
        <v>0.55710702324208172</v>
      </c>
      <c r="P66" s="46">
        <f t="shared" si="12"/>
        <v>0.54998108001947577</v>
      </c>
      <c r="Q66" s="46">
        <f t="shared" si="12"/>
        <v>0.54318021035307362</v>
      </c>
      <c r="R66" s="46">
        <f t="shared" si="12"/>
        <v>0.5382389020663827</v>
      </c>
    </row>
    <row r="67" spans="1:18" ht="14.25" customHeight="1" x14ac:dyDescent="0.25">
      <c r="A67" s="66"/>
      <c r="B67" s="54" t="s">
        <v>183</v>
      </c>
      <c r="C67" s="47">
        <f>C61/C64</f>
        <v>0.66041792858469195</v>
      </c>
      <c r="D67" s="47">
        <f t="shared" ref="D67:R67" si="13">D61/D64</f>
        <v>0.67191481715371459</v>
      </c>
      <c r="E67" s="47">
        <f t="shared" si="13"/>
        <v>0.68655452007131312</v>
      </c>
      <c r="F67" s="47">
        <f t="shared" si="13"/>
        <v>0.73121903383805575</v>
      </c>
      <c r="G67" s="47">
        <f t="shared" si="13"/>
        <v>0.73469889796932741</v>
      </c>
      <c r="H67" s="47">
        <f t="shared" si="13"/>
        <v>0.75158685066759234</v>
      </c>
      <c r="I67" s="47">
        <f t="shared" si="13"/>
        <v>0.76631087182274549</v>
      </c>
      <c r="J67" s="47">
        <f t="shared" si="13"/>
        <v>0.78826418980889401</v>
      </c>
      <c r="K67" s="47">
        <f t="shared" si="13"/>
        <v>0.79716708867649089</v>
      </c>
      <c r="L67" s="47">
        <f t="shared" si="13"/>
        <v>0.81434470943806569</v>
      </c>
      <c r="M67" s="47">
        <f t="shared" si="13"/>
        <v>0.82848212213487282</v>
      </c>
      <c r="N67" s="47">
        <f t="shared" si="13"/>
        <v>0.84097402841459745</v>
      </c>
      <c r="O67" s="47">
        <f t="shared" si="13"/>
        <v>0.85205849921061583</v>
      </c>
      <c r="P67" s="47">
        <f t="shared" si="13"/>
        <v>0.86193207783956516</v>
      </c>
      <c r="Q67" s="47">
        <f t="shared" si="13"/>
        <v>0.8707599812404182</v>
      </c>
      <c r="R67" s="47">
        <f t="shared" si="13"/>
        <v>0.87868051764095978</v>
      </c>
    </row>
    <row r="68" spans="1:18" ht="15" customHeight="1" x14ac:dyDescent="0.25">
      <c r="A68" s="66"/>
      <c r="B68" s="54" t="s">
        <v>192</v>
      </c>
      <c r="C68" s="47">
        <f>C62/C65</f>
        <v>0.663673791969983</v>
      </c>
      <c r="D68" s="47">
        <f t="shared" ref="D68:R68" si="14">D62/D65</f>
        <v>0.67545946333855966</v>
      </c>
      <c r="E68" s="47">
        <f t="shared" si="14"/>
        <v>0.69852677052132783</v>
      </c>
      <c r="F68" s="47">
        <f t="shared" si="14"/>
        <v>0.73171936811693794</v>
      </c>
      <c r="G68" s="47">
        <f t="shared" si="14"/>
        <v>0.749829273691339</v>
      </c>
      <c r="H68" s="47">
        <f t="shared" si="14"/>
        <v>0.76502279605693047</v>
      </c>
      <c r="I68" s="47">
        <f t="shared" si="14"/>
        <v>0.78163836064925851</v>
      </c>
      <c r="J68" s="47">
        <f t="shared" si="14"/>
        <v>0.79344729583870832</v>
      </c>
      <c r="K68" s="47">
        <f t="shared" si="14"/>
        <v>0.81074445199939604</v>
      </c>
      <c r="L68" s="47">
        <f t="shared" si="14"/>
        <v>0.82539541393445959</v>
      </c>
      <c r="M68" s="47">
        <f t="shared" si="14"/>
        <v>0.83833783052935729</v>
      </c>
      <c r="N68" s="47">
        <f t="shared" si="14"/>
        <v>0.84980312136516101</v>
      </c>
      <c r="O68" s="47">
        <f t="shared" si="14"/>
        <v>0.86000140471510256</v>
      </c>
      <c r="P68" s="47">
        <f t="shared" si="14"/>
        <v>0.86910654127904785</v>
      </c>
      <c r="Q68" s="47">
        <f t="shared" si="14"/>
        <v>0.87726515417853246</v>
      </c>
      <c r="R68" s="47">
        <f t="shared" si="14"/>
        <v>0.88445257247478248</v>
      </c>
    </row>
    <row r="69" spans="1:18" ht="15.75" customHeight="1" x14ac:dyDescent="0.25">
      <c r="A69" s="66"/>
      <c r="B69" s="54" t="s">
        <v>184</v>
      </c>
      <c r="C69" s="47">
        <f>C63/C66</f>
        <v>0.6898004020096048</v>
      </c>
      <c r="D69" s="47">
        <f t="shared" ref="D69:R69" si="15">D63/D66</f>
        <v>0.70436366636890246</v>
      </c>
      <c r="E69" s="47">
        <f t="shared" si="15"/>
        <v>0.73108605681094163</v>
      </c>
      <c r="F69" s="47">
        <f t="shared" si="15"/>
        <v>0.74080547327740565</v>
      </c>
      <c r="G69" s="47">
        <f t="shared" si="15"/>
        <v>0.75736616499327303</v>
      </c>
      <c r="H69" s="47">
        <f t="shared" si="15"/>
        <v>0.77186602977005869</v>
      </c>
      <c r="I69" s="47">
        <f t="shared" si="15"/>
        <v>0.78822295547514498</v>
      </c>
      <c r="J69" s="47">
        <f t="shared" si="15"/>
        <v>0.80027579183181341</v>
      </c>
      <c r="K69" s="47">
        <f t="shared" si="15"/>
        <v>0.81700395916868507</v>
      </c>
      <c r="L69" s="47">
        <f t="shared" si="15"/>
        <v>0.83097743724554696</v>
      </c>
      <c r="M69" s="47">
        <f t="shared" si="15"/>
        <v>0.84332185895027323</v>
      </c>
      <c r="N69" s="47">
        <f t="shared" si="15"/>
        <v>0.85427339689541848</v>
      </c>
      <c r="O69" s="47">
        <f t="shared" si="15"/>
        <v>0.86402694038332584</v>
      </c>
      <c r="P69" s="47">
        <f t="shared" si="15"/>
        <v>0.87274624058617967</v>
      </c>
      <c r="Q69" s="47">
        <f t="shared" si="15"/>
        <v>0.88056832802509688</v>
      </c>
      <c r="R69" s="47">
        <f t="shared" si="15"/>
        <v>0.88206388670706604</v>
      </c>
    </row>
    <row r="70" spans="1:18" ht="15.75" customHeight="1" x14ac:dyDescent="0.25">
      <c r="B70" s="84" t="s">
        <v>337</v>
      </c>
      <c r="C70" s="29">
        <v>88.594985347715351</v>
      </c>
      <c r="D70" s="29">
        <v>98.354985347715356</v>
      </c>
      <c r="E70" s="29">
        <v>96.163269976157522</v>
      </c>
      <c r="F70" s="29">
        <v>124.82745498487152</v>
      </c>
      <c r="G70" s="29">
        <v>115.30136150608547</v>
      </c>
      <c r="H70" s="29">
        <v>114.6854321448271</v>
      </c>
      <c r="I70" s="29">
        <v>104.99754620099091</v>
      </c>
      <c r="J70" s="29">
        <v>114.01189010318805</v>
      </c>
      <c r="K70" s="29">
        <v>109.49987483831163</v>
      </c>
      <c r="L70" s="29">
        <v>109.21763801191477</v>
      </c>
      <c r="M70" s="29">
        <v>108.91579902307122</v>
      </c>
      <c r="N70" s="29">
        <v>108.51443572795066</v>
      </c>
      <c r="O70" s="29">
        <v>108.11358198253876</v>
      </c>
      <c r="P70" s="29">
        <v>107.82327284234938</v>
      </c>
      <c r="Q70" s="29">
        <v>107.51354460428986</v>
      </c>
      <c r="R70" s="29">
        <v>108.51443485012662</v>
      </c>
    </row>
    <row r="71" spans="1:18" ht="15.75" customHeight="1" x14ac:dyDescent="0.25">
      <c r="B71" s="84" t="s">
        <v>336</v>
      </c>
      <c r="C71" s="29">
        <v>130.10889397793369</v>
      </c>
      <c r="D71" s="29">
        <v>120.78433923901561</v>
      </c>
      <c r="E71" s="29">
        <v>115.15259065055554</v>
      </c>
      <c r="F71" s="29">
        <v>111.65888405746185</v>
      </c>
      <c r="G71" s="29">
        <v>110.88904295418209</v>
      </c>
      <c r="H71" s="29">
        <v>110.05892265968906</v>
      </c>
      <c r="I71" s="29">
        <v>113.55310984483589</v>
      </c>
      <c r="J71" s="29">
        <v>102.08736091840478</v>
      </c>
      <c r="K71" s="29">
        <v>102.1150222070064</v>
      </c>
      <c r="L71" s="29">
        <v>101.47860212932547</v>
      </c>
      <c r="M71" s="29">
        <v>100.93621888720556</v>
      </c>
      <c r="N71" s="29">
        <v>100.28776885670982</v>
      </c>
      <c r="O71" s="29">
        <v>99.733146763196714</v>
      </c>
      <c r="P71" s="29">
        <v>99.172245687392973</v>
      </c>
      <c r="Q71" s="29">
        <v>98.504957074684228</v>
      </c>
      <c r="R71" s="29">
        <v>99.71709160319304</v>
      </c>
    </row>
    <row r="72" spans="1:18" ht="13.5" customHeight="1" x14ac:dyDescent="0.25">
      <c r="B72" s="84" t="s">
        <v>338</v>
      </c>
      <c r="C72" s="29">
        <v>89.580091957367273</v>
      </c>
      <c r="D72" s="29">
        <v>100.31952081716827</v>
      </c>
      <c r="E72" s="29">
        <v>98.3142710095062</v>
      </c>
      <c r="F72" s="29">
        <v>129.3663489142925</v>
      </c>
      <c r="G72" s="29">
        <v>117.555932565117</v>
      </c>
      <c r="H72" s="29">
        <v>116.8758469561823</v>
      </c>
      <c r="I72" s="29">
        <v>106.57236663443808</v>
      </c>
      <c r="J72" s="29">
        <v>115.9865783402733</v>
      </c>
      <c r="K72" s="29">
        <v>110.90588725015481</v>
      </c>
      <c r="L72" s="29">
        <v>110.5205018329213</v>
      </c>
      <c r="M72" s="29">
        <v>110.06934429070311</v>
      </c>
      <c r="N72" s="29">
        <v>109.55190330271618</v>
      </c>
      <c r="O72" s="29">
        <v>109.16254017995976</v>
      </c>
      <c r="P72" s="29">
        <v>108.69680299049296</v>
      </c>
      <c r="Q72" s="29">
        <v>108.25110643639971</v>
      </c>
      <c r="R72" s="29">
        <v>109.12255802670293</v>
      </c>
    </row>
    <row r="73" spans="1:18" x14ac:dyDescent="0.25">
      <c r="B73" s="84" t="s">
        <v>339</v>
      </c>
      <c r="C73" s="29">
        <v>133.14697375897561</v>
      </c>
      <c r="D73" s="29">
        <v>127.6595881201102</v>
      </c>
      <c r="E73" s="29">
        <v>131.88298202989992</v>
      </c>
      <c r="F73" s="29">
        <v>121.1470183847937</v>
      </c>
      <c r="G73" s="29">
        <v>118.74032733103402</v>
      </c>
      <c r="H73" s="29">
        <v>118.42652641796229</v>
      </c>
      <c r="I73" s="29">
        <v>119.94605039082802</v>
      </c>
      <c r="J73" s="29">
        <v>115.60461274853812</v>
      </c>
      <c r="K73" s="29">
        <v>114.31522268652625</v>
      </c>
      <c r="L73" s="29">
        <v>114.05348772075385</v>
      </c>
      <c r="M73" s="29">
        <v>113.8270949640217</v>
      </c>
      <c r="N73" s="29">
        <v>113.63036415917169</v>
      </c>
      <c r="O73" s="29">
        <v>113.3584901906256</v>
      </c>
      <c r="P73" s="29">
        <v>113.10765703421664</v>
      </c>
      <c r="Q73" s="29">
        <v>112.77477254747352</v>
      </c>
      <c r="R73" s="29">
        <v>112.47507703826712</v>
      </c>
    </row>
    <row r="74" spans="1:18" x14ac:dyDescent="0.25">
      <c r="B74" s="84" t="s">
        <v>340</v>
      </c>
      <c r="C74" s="29">
        <v>67.092323461319523</v>
      </c>
      <c r="D74" s="29">
        <v>85.686140419731672</v>
      </c>
      <c r="E74" s="29">
        <v>67.85051995349788</v>
      </c>
      <c r="F74" s="29">
        <v>118.26036138419283</v>
      </c>
      <c r="G74" s="29">
        <v>99.290208215837765</v>
      </c>
      <c r="H74" s="29">
        <v>89.01461052370783</v>
      </c>
      <c r="I74" s="29">
        <v>93.008890000452141</v>
      </c>
      <c r="J74" s="29">
        <v>99.55205509833084</v>
      </c>
      <c r="K74" s="29">
        <v>87.917001391151999</v>
      </c>
      <c r="L74" s="29">
        <v>87.496973715414441</v>
      </c>
      <c r="M74" s="29">
        <v>86.745007256132965</v>
      </c>
      <c r="N74" s="29">
        <v>86.16476371945096</v>
      </c>
      <c r="O74" s="29">
        <v>85.359463570151249</v>
      </c>
      <c r="P74" s="29">
        <v>84.73172515804454</v>
      </c>
      <c r="Q74" s="29">
        <v>83.983713263670296</v>
      </c>
      <c r="R74" s="29">
        <v>85.856041090153482</v>
      </c>
    </row>
    <row r="75" spans="1:18" x14ac:dyDescent="0.25">
      <c r="B75" s="84" t="s">
        <v>341</v>
      </c>
      <c r="C75" s="29">
        <v>131.72179933688491</v>
      </c>
      <c r="D75" s="29">
        <v>119.45360556303564</v>
      </c>
      <c r="E75" s="29">
        <v>112.43274966812234</v>
      </c>
      <c r="F75" s="29">
        <v>106.41584117279862</v>
      </c>
      <c r="G75" s="29">
        <v>104.02016058158955</v>
      </c>
      <c r="H75" s="29">
        <v>103.43225925923372</v>
      </c>
      <c r="I75" s="29">
        <v>107.07287672258123</v>
      </c>
      <c r="J75" s="29">
        <v>94.358747301326872</v>
      </c>
      <c r="K75" s="29">
        <v>93.31529399307496</v>
      </c>
      <c r="L75" s="29">
        <v>92.58481389053955</v>
      </c>
      <c r="M75" s="29">
        <v>91.823699244544571</v>
      </c>
      <c r="N75" s="29">
        <v>91.135617547326945</v>
      </c>
      <c r="O75" s="29">
        <v>90.523542250162762</v>
      </c>
      <c r="P75" s="29">
        <v>89.789923409514344</v>
      </c>
      <c r="Q75" s="29">
        <v>89.136773233438959</v>
      </c>
      <c r="R75" s="29">
        <v>90.23801984471811</v>
      </c>
    </row>
    <row r="76" spans="1:18" x14ac:dyDescent="0.25">
      <c r="B76" s="75" t="s">
        <v>193</v>
      </c>
      <c r="C76" s="76">
        <v>0.33333333333333331</v>
      </c>
      <c r="D76" s="76">
        <v>0.33333333333333331</v>
      </c>
      <c r="E76" s="76">
        <v>0.33333333333333331</v>
      </c>
      <c r="F76" s="76">
        <v>0.33333333333333331</v>
      </c>
      <c r="G76" s="76">
        <v>0.33333333333333331</v>
      </c>
      <c r="H76" s="76">
        <v>0.33333333333333331</v>
      </c>
      <c r="I76" s="76">
        <v>0.33333333333333331</v>
      </c>
      <c r="J76" s="76">
        <v>0.33333333333333331</v>
      </c>
      <c r="K76" s="76">
        <v>0.33333333333333331</v>
      </c>
      <c r="L76" s="76">
        <v>0.33333333333333331</v>
      </c>
      <c r="M76" s="76">
        <v>0.33333333333333331</v>
      </c>
      <c r="N76" s="76">
        <v>0.33333333333333331</v>
      </c>
      <c r="O76" s="76">
        <v>0.33333333333333331</v>
      </c>
      <c r="P76" s="76">
        <v>0.33333333333333331</v>
      </c>
      <c r="Q76" s="76">
        <v>0.33333333333333331</v>
      </c>
      <c r="R76" s="76">
        <v>0.33333333333333331</v>
      </c>
    </row>
    <row r="77" spans="1:18" x14ac:dyDescent="0.25">
      <c r="B77" s="54" t="s">
        <v>274</v>
      </c>
      <c r="C77" s="28">
        <f t="shared" ref="C77:R77" si="16">C76*C58</f>
        <v>8.2099548867604261E-2</v>
      </c>
      <c r="D77" s="28">
        <f t="shared" si="16"/>
        <v>7.6190807701143462E-2</v>
      </c>
      <c r="E77" s="28">
        <f t="shared" si="16"/>
        <v>6.971218429172335E-2</v>
      </c>
      <c r="F77" s="28">
        <f t="shared" si="16"/>
        <v>5.8236270764555537E-2</v>
      </c>
      <c r="G77" s="28">
        <f t="shared" si="16"/>
        <v>5.6612490338610801E-2</v>
      </c>
      <c r="H77" s="28">
        <f t="shared" si="16"/>
        <v>5.1798038184590375E-2</v>
      </c>
      <c r="I77" s="28">
        <f t="shared" si="16"/>
        <v>4.7668954670123526E-2</v>
      </c>
      <c r="J77" s="28">
        <f t="shared" si="16"/>
        <v>4.2660593913703651E-2</v>
      </c>
      <c r="K77" s="28">
        <f t="shared" si="16"/>
        <v>4.0345079928899644E-2</v>
      </c>
      <c r="L77" s="28">
        <f t="shared" si="16"/>
        <v>3.6289190983316948E-2</v>
      </c>
      <c r="M77" s="28">
        <f t="shared" si="16"/>
        <v>3.3001215968123165E-2</v>
      </c>
      <c r="N77" s="28">
        <f t="shared" si="16"/>
        <v>3.014567983788384E-2</v>
      </c>
      <c r="O77" s="28">
        <f t="shared" si="16"/>
        <v>2.7650620616461234E-2</v>
      </c>
      <c r="P77" s="28">
        <f t="shared" si="16"/>
        <v>2.5458592147320915E-2</v>
      </c>
      <c r="Q77" s="28">
        <f t="shared" si="16"/>
        <v>2.3522893545317995E-2</v>
      </c>
      <c r="R77" s="28">
        <f t="shared" si="16"/>
        <v>2.1805487854498332E-2</v>
      </c>
    </row>
    <row r="78" spans="1:18" x14ac:dyDescent="0.25">
      <c r="B78" s="54" t="s">
        <v>275</v>
      </c>
      <c r="C78" s="28">
        <f t="shared" ref="C78:R78" si="17">C76*C59</f>
        <v>8.1153259388055413E-2</v>
      </c>
      <c r="D78" s="28">
        <f t="shared" si="17"/>
        <v>7.5208189231067105E-2</v>
      </c>
      <c r="E78" s="28">
        <f t="shared" si="17"/>
        <v>6.6576877291572828E-2</v>
      </c>
      <c r="F78" s="28">
        <f t="shared" si="17"/>
        <v>5.8111069768055613E-2</v>
      </c>
      <c r="G78" s="28">
        <f t="shared" si="17"/>
        <v>5.2922228041083194E-2</v>
      </c>
      <c r="H78" s="28">
        <f t="shared" si="17"/>
        <v>4.862345554131052E-2</v>
      </c>
      <c r="I78" s="28">
        <f t="shared" si="17"/>
        <v>4.4159185385636547E-2</v>
      </c>
      <c r="J78" s="28">
        <f t="shared" si="17"/>
        <v>4.1496028058360251E-2</v>
      </c>
      <c r="K78" s="28">
        <f t="shared" si="17"/>
        <v>3.7362168019916209E-2</v>
      </c>
      <c r="L78" s="28">
        <f t="shared" si="17"/>
        <v>3.3922546828612773E-2</v>
      </c>
      <c r="M78" s="28">
        <f t="shared" si="17"/>
        <v>3.093815024222896E-2</v>
      </c>
      <c r="N78" s="28">
        <f t="shared" si="17"/>
        <v>2.8336100613542525E-2</v>
      </c>
      <c r="O78" s="28">
        <f t="shared" si="17"/>
        <v>2.6054333594855768E-2</v>
      </c>
      <c r="P78" s="28">
        <f t="shared" si="17"/>
        <v>2.4043036457739145E-2</v>
      </c>
      <c r="Q78" s="28">
        <f t="shared" si="17"/>
        <v>2.2261481556826671E-2</v>
      </c>
      <c r="R78" s="28">
        <f t="shared" si="17"/>
        <v>2.0704429108082845E-2</v>
      </c>
    </row>
    <row r="79" spans="1:18" x14ac:dyDescent="0.25">
      <c r="B79" s="54" t="s">
        <v>194</v>
      </c>
      <c r="C79" s="22">
        <v>1</v>
      </c>
      <c r="D79" s="22">
        <v>1</v>
      </c>
      <c r="E79" s="22">
        <v>1</v>
      </c>
      <c r="F79" s="22">
        <v>1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25">
      <c r="B80" s="54" t="s">
        <v>276</v>
      </c>
      <c r="C80" s="28">
        <f>C77/C79</f>
        <v>8.2099548867604261E-2</v>
      </c>
      <c r="D80" s="28">
        <f t="shared" ref="D80:R80" si="18">D77/D79</f>
        <v>7.6190807701143462E-2</v>
      </c>
      <c r="E80" s="28">
        <f t="shared" si="18"/>
        <v>6.971218429172335E-2</v>
      </c>
      <c r="F80" s="28">
        <f t="shared" si="18"/>
        <v>5.8236270764555537E-2</v>
      </c>
      <c r="G80" s="28">
        <f t="shared" si="18"/>
        <v>5.6612490338610801E-2</v>
      </c>
      <c r="H80" s="28">
        <f t="shared" si="18"/>
        <v>5.1798038184590375E-2</v>
      </c>
      <c r="I80" s="28">
        <f t="shared" si="18"/>
        <v>4.7668954670123526E-2</v>
      </c>
      <c r="J80" s="28">
        <f t="shared" si="18"/>
        <v>4.2660593913703651E-2</v>
      </c>
      <c r="K80" s="28">
        <f t="shared" si="18"/>
        <v>4.0345079928899644E-2</v>
      </c>
      <c r="L80" s="28">
        <f t="shared" si="18"/>
        <v>3.6289190983316948E-2</v>
      </c>
      <c r="M80" s="28">
        <f t="shared" si="18"/>
        <v>3.3001215968123165E-2</v>
      </c>
      <c r="N80" s="28">
        <f t="shared" si="18"/>
        <v>3.014567983788384E-2</v>
      </c>
      <c r="O80" s="28">
        <f t="shared" si="18"/>
        <v>2.7650620616461234E-2</v>
      </c>
      <c r="P80" s="28">
        <f t="shared" si="18"/>
        <v>2.5458592147320915E-2</v>
      </c>
      <c r="Q80" s="28">
        <f t="shared" si="18"/>
        <v>2.3522893545317995E-2</v>
      </c>
      <c r="R80" s="28">
        <f t="shared" si="18"/>
        <v>2.1805487854498332E-2</v>
      </c>
    </row>
    <row r="81" spans="1:18" x14ac:dyDescent="0.25">
      <c r="B81" s="54" t="s">
        <v>277</v>
      </c>
      <c r="C81" s="28">
        <f>C78/C79</f>
        <v>8.1153259388055413E-2</v>
      </c>
      <c r="D81" s="28">
        <f t="shared" ref="D81:R81" si="19">D78/D79</f>
        <v>7.5208189231067105E-2</v>
      </c>
      <c r="E81" s="28">
        <f t="shared" si="19"/>
        <v>6.6576877291572828E-2</v>
      </c>
      <c r="F81" s="28">
        <f t="shared" si="19"/>
        <v>5.8111069768055613E-2</v>
      </c>
      <c r="G81" s="28">
        <f t="shared" si="19"/>
        <v>5.2922228041083194E-2</v>
      </c>
      <c r="H81" s="28">
        <f t="shared" si="19"/>
        <v>4.862345554131052E-2</v>
      </c>
      <c r="I81" s="28">
        <f t="shared" si="19"/>
        <v>4.4159185385636547E-2</v>
      </c>
      <c r="J81" s="28">
        <f t="shared" si="19"/>
        <v>4.1496028058360251E-2</v>
      </c>
      <c r="K81" s="28">
        <f t="shared" si="19"/>
        <v>3.7362168019916209E-2</v>
      </c>
      <c r="L81" s="28">
        <f t="shared" si="19"/>
        <v>3.3922546828612773E-2</v>
      </c>
      <c r="M81" s="28">
        <f t="shared" si="19"/>
        <v>3.093815024222896E-2</v>
      </c>
      <c r="N81" s="28">
        <f t="shared" si="19"/>
        <v>2.8336100613542525E-2</v>
      </c>
      <c r="O81" s="28">
        <f t="shared" si="19"/>
        <v>2.6054333594855768E-2</v>
      </c>
      <c r="P81" s="28">
        <f t="shared" si="19"/>
        <v>2.4043036457739145E-2</v>
      </c>
      <c r="Q81" s="28">
        <f t="shared" si="19"/>
        <v>2.2261481556826671E-2</v>
      </c>
      <c r="R81" s="28">
        <f t="shared" si="19"/>
        <v>2.0704429108082845E-2</v>
      </c>
    </row>
    <row r="82" spans="1:18" ht="16.5" customHeight="1" x14ac:dyDescent="0.25">
      <c r="B82" s="68" t="s">
        <v>195</v>
      </c>
      <c r="C82" s="22">
        <f t="shared" ref="C82:R82" si="20">ROUND(PI()*C7/C80,0)</f>
        <v>46</v>
      </c>
      <c r="D82" s="22">
        <f t="shared" si="20"/>
        <v>48</v>
      </c>
      <c r="E82" s="22">
        <f t="shared" si="20"/>
        <v>51</v>
      </c>
      <c r="F82" s="22">
        <f t="shared" si="20"/>
        <v>61</v>
      </c>
      <c r="G82" s="22">
        <f t="shared" si="20"/>
        <v>62</v>
      </c>
      <c r="H82" s="22">
        <f t="shared" si="20"/>
        <v>66</v>
      </c>
      <c r="I82" s="22">
        <f t="shared" si="20"/>
        <v>71</v>
      </c>
      <c r="J82" s="22">
        <f t="shared" si="20"/>
        <v>80</v>
      </c>
      <c r="K82" s="22">
        <f t="shared" si="20"/>
        <v>84</v>
      </c>
      <c r="L82" s="22">
        <f t="shared" si="20"/>
        <v>92</v>
      </c>
      <c r="M82" s="22">
        <f t="shared" si="20"/>
        <v>100</v>
      </c>
      <c r="N82" s="22">
        <f t="shared" si="20"/>
        <v>109</v>
      </c>
      <c r="O82" s="22">
        <f t="shared" si="20"/>
        <v>118</v>
      </c>
      <c r="P82" s="22">
        <f t="shared" si="20"/>
        <v>127</v>
      </c>
      <c r="Q82" s="22">
        <f t="shared" si="20"/>
        <v>136</v>
      </c>
      <c r="R82" s="22">
        <f t="shared" si="20"/>
        <v>146</v>
      </c>
    </row>
    <row r="83" spans="1:18" ht="30" x14ac:dyDescent="0.25">
      <c r="B83" s="68" t="s">
        <v>196</v>
      </c>
      <c r="C83" s="22">
        <f t="shared" ref="C83:R83" si="21">ROUND(PI()*C7/C81,0)</f>
        <v>47</v>
      </c>
      <c r="D83" s="22">
        <f t="shared" si="21"/>
        <v>49</v>
      </c>
      <c r="E83" s="22">
        <f t="shared" si="21"/>
        <v>53</v>
      </c>
      <c r="F83" s="22">
        <f t="shared" si="21"/>
        <v>61</v>
      </c>
      <c r="G83" s="22">
        <f t="shared" si="21"/>
        <v>66</v>
      </c>
      <c r="H83" s="22">
        <f t="shared" si="21"/>
        <v>71</v>
      </c>
      <c r="I83" s="22">
        <f t="shared" si="21"/>
        <v>77</v>
      </c>
      <c r="J83" s="22">
        <f t="shared" si="21"/>
        <v>82</v>
      </c>
      <c r="K83" s="22">
        <f t="shared" si="21"/>
        <v>90</v>
      </c>
      <c r="L83" s="22">
        <f t="shared" si="21"/>
        <v>99</v>
      </c>
      <c r="M83" s="22">
        <f t="shared" si="21"/>
        <v>107</v>
      </c>
      <c r="N83" s="22">
        <f t="shared" si="21"/>
        <v>116</v>
      </c>
      <c r="O83" s="22">
        <f t="shared" si="21"/>
        <v>125</v>
      </c>
      <c r="P83" s="22">
        <f t="shared" si="21"/>
        <v>135</v>
      </c>
      <c r="Q83" s="22">
        <f t="shared" si="21"/>
        <v>144</v>
      </c>
      <c r="R83" s="22">
        <f t="shared" si="21"/>
        <v>154</v>
      </c>
    </row>
    <row r="84" spans="1:18" x14ac:dyDescent="0.25">
      <c r="B84" s="86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 spans="1:18" x14ac:dyDescent="0.25">
      <c r="A85" s="63" t="s">
        <v>283</v>
      </c>
      <c r="B85" s="51" t="s">
        <v>278</v>
      </c>
      <c r="C85" s="29">
        <f t="shared" ref="C85:R85" si="22">C39-C37</f>
        <v>17</v>
      </c>
      <c r="D85" s="29">
        <f t="shared" si="22"/>
        <v>21</v>
      </c>
      <c r="E85" s="29">
        <f t="shared" si="22"/>
        <v>21</v>
      </c>
      <c r="F85" s="29">
        <f t="shared" si="22"/>
        <v>15</v>
      </c>
      <c r="G85" s="29">
        <f t="shared" si="22"/>
        <v>15</v>
      </c>
      <c r="H85" s="29">
        <f t="shared" si="22"/>
        <v>15</v>
      </c>
      <c r="I85" s="29">
        <f t="shared" si="22"/>
        <v>15.490000000000009</v>
      </c>
      <c r="J85" s="29">
        <f t="shared" si="22"/>
        <v>19</v>
      </c>
      <c r="K85" s="29">
        <f t="shared" si="22"/>
        <v>19</v>
      </c>
      <c r="L85" s="29">
        <f t="shared" si="22"/>
        <v>19</v>
      </c>
      <c r="M85" s="29">
        <f t="shared" si="22"/>
        <v>19</v>
      </c>
      <c r="N85" s="29">
        <f t="shared" si="22"/>
        <v>19</v>
      </c>
      <c r="O85" s="29">
        <f t="shared" si="22"/>
        <v>19</v>
      </c>
      <c r="P85" s="29">
        <f t="shared" si="22"/>
        <v>19</v>
      </c>
      <c r="Q85" s="29">
        <f t="shared" si="22"/>
        <v>19</v>
      </c>
      <c r="R85" s="29">
        <f t="shared" si="22"/>
        <v>17.379999999999995</v>
      </c>
    </row>
    <row r="86" spans="1:18" x14ac:dyDescent="0.25">
      <c r="B86" s="51" t="s">
        <v>197</v>
      </c>
      <c r="C86" s="22">
        <f t="shared" ref="C86:R86" si="23">C55*C85*1000</f>
        <v>17048.314000000002</v>
      </c>
      <c r="D86" s="22">
        <f t="shared" si="23"/>
        <v>21139.482</v>
      </c>
      <c r="E86" s="22">
        <f t="shared" si="23"/>
        <v>21227.682000000001</v>
      </c>
      <c r="F86" s="22">
        <f t="shared" si="23"/>
        <v>15216.060000000001</v>
      </c>
      <c r="G86" s="22">
        <f t="shared" si="23"/>
        <v>15261.060000000001</v>
      </c>
      <c r="H86" s="22">
        <f t="shared" si="23"/>
        <v>15306.060000000001</v>
      </c>
      <c r="I86" s="22">
        <f t="shared" si="23"/>
        <v>15853.286970000008</v>
      </c>
      <c r="J86" s="22">
        <f t="shared" si="23"/>
        <v>19511.137999999999</v>
      </c>
      <c r="K86" s="22">
        <f t="shared" si="23"/>
        <v>19583.338</v>
      </c>
      <c r="L86" s="22">
        <f t="shared" si="23"/>
        <v>19655.538</v>
      </c>
      <c r="M86" s="22">
        <f t="shared" si="23"/>
        <v>19727.738000000001</v>
      </c>
      <c r="N86" s="22">
        <f t="shared" si="23"/>
        <v>19799.938000000002</v>
      </c>
      <c r="O86" s="22">
        <f t="shared" si="23"/>
        <v>19872.138000000003</v>
      </c>
      <c r="P86" s="22">
        <f t="shared" si="23"/>
        <v>19944.338</v>
      </c>
      <c r="Q86" s="22">
        <f t="shared" si="23"/>
        <v>20016.537999999997</v>
      </c>
      <c r="R86" s="22">
        <f t="shared" si="23"/>
        <v>18373.093199999996</v>
      </c>
    </row>
    <row r="87" spans="1:18" x14ac:dyDescent="0.25">
      <c r="B87" s="51" t="s">
        <v>227</v>
      </c>
      <c r="C87" s="22">
        <f t="shared" ref="C87:R87" si="24">C5*C86</f>
        <v>2557247.1</v>
      </c>
      <c r="D87" s="22">
        <f t="shared" si="24"/>
        <v>3170922.3</v>
      </c>
      <c r="E87" s="22">
        <f t="shared" si="24"/>
        <v>3184152.3000000003</v>
      </c>
      <c r="F87" s="22">
        <f t="shared" si="24"/>
        <v>2282409</v>
      </c>
      <c r="G87" s="22">
        <f t="shared" si="24"/>
        <v>2289159</v>
      </c>
      <c r="H87" s="22">
        <f t="shared" si="24"/>
        <v>2295909</v>
      </c>
      <c r="I87" s="22">
        <f t="shared" si="24"/>
        <v>2377993.0455000014</v>
      </c>
      <c r="J87" s="22">
        <f t="shared" si="24"/>
        <v>2926670.6999999997</v>
      </c>
      <c r="K87" s="22">
        <f t="shared" si="24"/>
        <v>2937500.7</v>
      </c>
      <c r="L87" s="22">
        <f t="shared" si="24"/>
        <v>2948330.7</v>
      </c>
      <c r="M87" s="22">
        <f t="shared" si="24"/>
        <v>2959160.7</v>
      </c>
      <c r="N87" s="22">
        <f t="shared" si="24"/>
        <v>2969990.7</v>
      </c>
      <c r="O87" s="22">
        <f t="shared" si="24"/>
        <v>2980820.7</v>
      </c>
      <c r="P87" s="22">
        <f t="shared" si="24"/>
        <v>2991650.7</v>
      </c>
      <c r="Q87" s="22">
        <f t="shared" si="24"/>
        <v>3002480.6999999997</v>
      </c>
      <c r="R87" s="22">
        <f t="shared" si="24"/>
        <v>2755963.9799999995</v>
      </c>
    </row>
    <row r="88" spans="1:18" ht="30" x14ac:dyDescent="0.25">
      <c r="B88" s="51" t="s">
        <v>284</v>
      </c>
      <c r="C88" s="22">
        <f>SUM(C87:R87)/10^6</f>
        <v>44.630361325500004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 spans="1:18" x14ac:dyDescent="0.25">
      <c r="A89" s="58"/>
      <c r="B89" s="8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1:18" ht="30" x14ac:dyDescent="0.25">
      <c r="A90" s="63" t="s">
        <v>343</v>
      </c>
      <c r="B90" s="56" t="s">
        <v>268</v>
      </c>
      <c r="C90" s="46">
        <f t="shared" ref="C90:R90" si="25">C61</f>
        <v>0.47900067669859359</v>
      </c>
      <c r="D90" s="46">
        <f t="shared" si="25"/>
        <v>0.46811378844828483</v>
      </c>
      <c r="E90" s="46">
        <f t="shared" si="25"/>
        <v>0.45808172356241494</v>
      </c>
      <c r="F90" s="46">
        <f t="shared" si="25"/>
        <v>0.47529559385316666</v>
      </c>
      <c r="G90" s="46">
        <f t="shared" si="25"/>
        <v>0.47033126449208384</v>
      </c>
      <c r="H90" s="46">
        <f t="shared" si="25"/>
        <v>0.47015294272311448</v>
      </c>
      <c r="I90" s="46">
        <f t="shared" si="25"/>
        <v>0.46894656799481482</v>
      </c>
      <c r="J90" s="46">
        <f t="shared" si="25"/>
        <v>0.4764591091294445</v>
      </c>
      <c r="K90" s="46">
        <f t="shared" si="25"/>
        <v>0.47568863010665052</v>
      </c>
      <c r="L90" s="46">
        <f t="shared" si="25"/>
        <v>0.47752871352502457</v>
      </c>
      <c r="M90" s="46">
        <f t="shared" si="25"/>
        <v>0.47821692604781529</v>
      </c>
      <c r="N90" s="46">
        <f t="shared" si="25"/>
        <v>0.47825648024317424</v>
      </c>
      <c r="O90" s="46">
        <f t="shared" si="25"/>
        <v>0.47775531907530816</v>
      </c>
      <c r="P90" s="46">
        <f t="shared" si="25"/>
        <v>0.47679961177901864</v>
      </c>
      <c r="Q90" s="46">
        <f t="shared" si="25"/>
        <v>0.47545940968202305</v>
      </c>
      <c r="R90" s="46">
        <f t="shared" si="25"/>
        <v>0.47379176821825258</v>
      </c>
    </row>
    <row r="91" spans="1:18" x14ac:dyDescent="0.25">
      <c r="B91" s="56" t="s">
        <v>269</v>
      </c>
      <c r="C91" s="46">
        <f t="shared" ref="C91:R91" si="26">C62</f>
        <v>0.48042011091791681</v>
      </c>
      <c r="D91" s="46">
        <f t="shared" si="26"/>
        <v>0.46958771615339934</v>
      </c>
      <c r="E91" s="46">
        <f t="shared" si="26"/>
        <v>0.46278468406264073</v>
      </c>
      <c r="F91" s="46">
        <f t="shared" si="26"/>
        <v>0.47548339534791656</v>
      </c>
      <c r="G91" s="46">
        <f t="shared" si="26"/>
        <v>0.47586665793837524</v>
      </c>
      <c r="H91" s="46">
        <f t="shared" si="26"/>
        <v>0.47491481668803426</v>
      </c>
      <c r="I91" s="46">
        <f t="shared" si="26"/>
        <v>0.4742112219215453</v>
      </c>
      <c r="J91" s="46">
        <f t="shared" si="26"/>
        <v>0.47820595791245962</v>
      </c>
      <c r="K91" s="46">
        <f t="shared" si="26"/>
        <v>0.48016299797012568</v>
      </c>
      <c r="L91" s="46">
        <f t="shared" si="26"/>
        <v>0.48107867975708085</v>
      </c>
      <c r="M91" s="46">
        <f t="shared" si="26"/>
        <v>0.48131152463665655</v>
      </c>
      <c r="N91" s="46">
        <f t="shared" si="26"/>
        <v>0.48097084907968624</v>
      </c>
      <c r="O91" s="46">
        <f t="shared" si="26"/>
        <v>0.48014974960771639</v>
      </c>
      <c r="P91" s="46">
        <f t="shared" si="26"/>
        <v>0.4789229453133913</v>
      </c>
      <c r="Q91" s="46">
        <f t="shared" si="26"/>
        <v>0.47735152766476002</v>
      </c>
      <c r="R91" s="46">
        <f t="shared" si="26"/>
        <v>0.47544335633787582</v>
      </c>
    </row>
    <row r="92" spans="1:18" x14ac:dyDescent="0.25">
      <c r="B92" s="56" t="s">
        <v>270</v>
      </c>
      <c r="C92" s="46">
        <f t="shared" ref="C92:R92" si="27">C63</f>
        <v>0.49161227749278591</v>
      </c>
      <c r="D92" s="46">
        <f t="shared" si="27"/>
        <v>0.4813777803269107</v>
      </c>
      <c r="E92" s="46">
        <f t="shared" si="27"/>
        <v>0.47524566239354893</v>
      </c>
      <c r="F92" s="46">
        <f t="shared" si="27"/>
        <v>0.4788751022879062</v>
      </c>
      <c r="G92" s="46">
        <f t="shared" si="27"/>
        <v>0.4785884370479212</v>
      </c>
      <c r="H92" s="46">
        <f t="shared" si="27"/>
        <v>0.47731238965555833</v>
      </c>
      <c r="I92" s="46">
        <f t="shared" si="27"/>
        <v>0.47644517142813653</v>
      </c>
      <c r="J92" s="46">
        <f t="shared" si="27"/>
        <v>0.4804919931244731</v>
      </c>
      <c r="K92" s="46">
        <f t="shared" si="27"/>
        <v>0.48220327420907233</v>
      </c>
      <c r="L92" s="46">
        <f t="shared" si="27"/>
        <v>0.48285557863098061</v>
      </c>
      <c r="M92" s="46">
        <f t="shared" si="27"/>
        <v>0.48286386351036065</v>
      </c>
      <c r="N92" s="46">
        <f t="shared" si="27"/>
        <v>0.48233530954880099</v>
      </c>
      <c r="O92" s="46">
        <f t="shared" si="27"/>
        <v>0.48135547675791829</v>
      </c>
      <c r="P92" s="46">
        <f t="shared" si="27"/>
        <v>0.47999391998052432</v>
      </c>
      <c r="Q92" s="46">
        <f t="shared" si="27"/>
        <v>0.47830728964692648</v>
      </c>
      <c r="R92" s="46">
        <f t="shared" si="27"/>
        <v>0.47476109793361737</v>
      </c>
    </row>
    <row r="93" spans="1:18" ht="27" customHeight="1" x14ac:dyDescent="0.25">
      <c r="B93" s="56" t="s">
        <v>279</v>
      </c>
      <c r="C93" s="22">
        <f t="shared" ref="C93:R93" si="28">C7/2</f>
        <v>0.60214999999999996</v>
      </c>
      <c r="D93" s="22">
        <f t="shared" si="28"/>
        <v>0.58240000000000003</v>
      </c>
      <c r="E93" s="22">
        <f t="shared" si="28"/>
        <v>0.56264999999999998</v>
      </c>
      <c r="F93" s="22">
        <f t="shared" si="28"/>
        <v>0.56264999999999998</v>
      </c>
      <c r="G93" s="22">
        <f t="shared" si="28"/>
        <v>0.55525000000000002</v>
      </c>
      <c r="H93" s="22">
        <f t="shared" si="28"/>
        <v>0.54785000000000006</v>
      </c>
      <c r="I93" s="22">
        <f t="shared" si="28"/>
        <v>0.5404500000000001</v>
      </c>
      <c r="J93" s="22">
        <f t="shared" si="28"/>
        <v>0.54044999999999999</v>
      </c>
      <c r="K93" s="22">
        <f t="shared" si="28"/>
        <v>0.53620625</v>
      </c>
      <c r="L93" s="22">
        <f t="shared" si="28"/>
        <v>0.5319625</v>
      </c>
      <c r="M93" s="22">
        <f t="shared" si="28"/>
        <v>0.52771875000000001</v>
      </c>
      <c r="N93" s="22">
        <f t="shared" si="28"/>
        <v>0.52347500000000002</v>
      </c>
      <c r="O93" s="22">
        <f t="shared" si="28"/>
        <v>0.51923125000000003</v>
      </c>
      <c r="P93" s="22">
        <f t="shared" si="28"/>
        <v>0.51498750000000004</v>
      </c>
      <c r="Q93" s="22">
        <f t="shared" si="28"/>
        <v>0.51074375000000005</v>
      </c>
      <c r="R93" s="22">
        <f t="shared" si="28"/>
        <v>0.50650000000000006</v>
      </c>
    </row>
    <row r="94" spans="1:18" ht="31.5" customHeight="1" x14ac:dyDescent="0.25">
      <c r="B94" s="56" t="s">
        <v>280</v>
      </c>
      <c r="C94" s="22">
        <f t="shared" ref="C94:R94" si="29">C7/2</f>
        <v>0.60214999999999996</v>
      </c>
      <c r="D94" s="22">
        <f t="shared" si="29"/>
        <v>0.58240000000000003</v>
      </c>
      <c r="E94" s="22">
        <f t="shared" si="29"/>
        <v>0.56264999999999998</v>
      </c>
      <c r="F94" s="22">
        <f t="shared" si="29"/>
        <v>0.56264999999999998</v>
      </c>
      <c r="G94" s="22">
        <f t="shared" si="29"/>
        <v>0.55525000000000002</v>
      </c>
      <c r="H94" s="22">
        <f t="shared" si="29"/>
        <v>0.54785000000000006</v>
      </c>
      <c r="I94" s="22">
        <f t="shared" si="29"/>
        <v>0.5404500000000001</v>
      </c>
      <c r="J94" s="22">
        <f t="shared" si="29"/>
        <v>0.54044999999999999</v>
      </c>
      <c r="K94" s="22">
        <f t="shared" si="29"/>
        <v>0.53620625</v>
      </c>
      <c r="L94" s="22">
        <f t="shared" si="29"/>
        <v>0.5319625</v>
      </c>
      <c r="M94" s="22">
        <f t="shared" si="29"/>
        <v>0.52771875000000001</v>
      </c>
      <c r="N94" s="22">
        <f t="shared" si="29"/>
        <v>0.52347500000000002</v>
      </c>
      <c r="O94" s="22">
        <f t="shared" si="29"/>
        <v>0.51923125000000003</v>
      </c>
      <c r="P94" s="22">
        <f t="shared" si="29"/>
        <v>0.51498750000000004</v>
      </c>
      <c r="Q94" s="22">
        <f t="shared" si="29"/>
        <v>0.51074375000000005</v>
      </c>
      <c r="R94" s="22">
        <f t="shared" si="29"/>
        <v>0.50650000000000006</v>
      </c>
    </row>
    <row r="95" spans="1:18" ht="31.5" customHeight="1" x14ac:dyDescent="0.25">
      <c r="B95" s="56" t="s">
        <v>281</v>
      </c>
      <c r="C95" s="22">
        <f t="shared" ref="C95:R95" si="30">C7/2</f>
        <v>0.60214999999999996</v>
      </c>
      <c r="D95" s="22">
        <f t="shared" si="30"/>
        <v>0.58240000000000003</v>
      </c>
      <c r="E95" s="22">
        <f t="shared" si="30"/>
        <v>0.56264999999999998</v>
      </c>
      <c r="F95" s="22">
        <f t="shared" si="30"/>
        <v>0.56264999999999998</v>
      </c>
      <c r="G95" s="22">
        <f t="shared" si="30"/>
        <v>0.55525000000000002</v>
      </c>
      <c r="H95" s="22">
        <f t="shared" si="30"/>
        <v>0.54785000000000006</v>
      </c>
      <c r="I95" s="22">
        <f t="shared" si="30"/>
        <v>0.5404500000000001</v>
      </c>
      <c r="J95" s="22">
        <f t="shared" si="30"/>
        <v>0.54044999999999999</v>
      </c>
      <c r="K95" s="22">
        <f t="shared" si="30"/>
        <v>0.53620625</v>
      </c>
      <c r="L95" s="22">
        <f t="shared" si="30"/>
        <v>0.5319625</v>
      </c>
      <c r="M95" s="22">
        <f t="shared" si="30"/>
        <v>0.52771875000000001</v>
      </c>
      <c r="N95" s="22">
        <f t="shared" si="30"/>
        <v>0.52347500000000002</v>
      </c>
      <c r="O95" s="22">
        <f t="shared" si="30"/>
        <v>0.51923125000000003</v>
      </c>
      <c r="P95" s="22">
        <f t="shared" si="30"/>
        <v>0.51498750000000004</v>
      </c>
      <c r="Q95" s="22">
        <f t="shared" si="30"/>
        <v>0.51074375000000005</v>
      </c>
      <c r="R95" s="22">
        <f t="shared" si="30"/>
        <v>0.50650000000000006</v>
      </c>
    </row>
    <row r="96" spans="1:18" x14ac:dyDescent="0.25">
      <c r="B96" s="56" t="s">
        <v>271</v>
      </c>
      <c r="C96" s="46">
        <f t="shared" ref="C96:R96" si="31">C64</f>
        <v>0.72529932330140634</v>
      </c>
      <c r="D96" s="46">
        <f t="shared" si="31"/>
        <v>0.69668621155171517</v>
      </c>
      <c r="E96" s="46">
        <f t="shared" si="31"/>
        <v>0.66721827643758502</v>
      </c>
      <c r="F96" s="46">
        <f t="shared" si="31"/>
        <v>0.6500044061468333</v>
      </c>
      <c r="G96" s="46">
        <f t="shared" si="31"/>
        <v>0.6401687355079162</v>
      </c>
      <c r="H96" s="46">
        <f t="shared" si="31"/>
        <v>0.62554705727688564</v>
      </c>
      <c r="I96" s="46">
        <f t="shared" si="31"/>
        <v>0.61195343200518537</v>
      </c>
      <c r="J96" s="46">
        <f t="shared" si="31"/>
        <v>0.60444089087055541</v>
      </c>
      <c r="K96" s="46">
        <f t="shared" si="31"/>
        <v>0.59672386989334947</v>
      </c>
      <c r="L96" s="46">
        <f t="shared" si="31"/>
        <v>0.58639628647497544</v>
      </c>
      <c r="M96" s="46">
        <f t="shared" si="31"/>
        <v>0.57722057395218473</v>
      </c>
      <c r="N96" s="46">
        <f t="shared" si="31"/>
        <v>0.5686935197568258</v>
      </c>
      <c r="O96" s="46">
        <f t="shared" si="31"/>
        <v>0.56070718092469185</v>
      </c>
      <c r="P96" s="46">
        <f t="shared" si="31"/>
        <v>0.55317538822098145</v>
      </c>
      <c r="Q96" s="46">
        <f t="shared" si="31"/>
        <v>0.54602809031797706</v>
      </c>
      <c r="R96" s="46">
        <f t="shared" si="31"/>
        <v>0.53920823178174759</v>
      </c>
    </row>
    <row r="97" spans="1:18" x14ac:dyDescent="0.25">
      <c r="B97" s="56" t="s">
        <v>272</v>
      </c>
      <c r="C97" s="46">
        <f t="shared" ref="C97:R97" si="32">C65</f>
        <v>0.72387988908208312</v>
      </c>
      <c r="D97" s="46">
        <f t="shared" si="32"/>
        <v>0.69521228384660072</v>
      </c>
      <c r="E97" s="46">
        <f t="shared" si="32"/>
        <v>0.66251531593735924</v>
      </c>
      <c r="F97" s="46">
        <f t="shared" si="32"/>
        <v>0.64981660465208346</v>
      </c>
      <c r="G97" s="46">
        <f t="shared" si="32"/>
        <v>0.63463334206162481</v>
      </c>
      <c r="H97" s="46">
        <f t="shared" si="32"/>
        <v>0.62078518331196586</v>
      </c>
      <c r="I97" s="46">
        <f t="shared" si="32"/>
        <v>0.60668877807845489</v>
      </c>
      <c r="J97" s="46">
        <f t="shared" si="32"/>
        <v>0.6026940420875404</v>
      </c>
      <c r="K97" s="46">
        <f t="shared" si="32"/>
        <v>0.59224950202987436</v>
      </c>
      <c r="L97" s="46">
        <f t="shared" si="32"/>
        <v>0.58284632024291916</v>
      </c>
      <c r="M97" s="46">
        <f t="shared" si="32"/>
        <v>0.57412597536334342</v>
      </c>
      <c r="N97" s="46">
        <f t="shared" si="32"/>
        <v>0.56597915092031381</v>
      </c>
      <c r="O97" s="46">
        <f t="shared" si="32"/>
        <v>0.55831275039228367</v>
      </c>
      <c r="P97" s="46">
        <f t="shared" si="32"/>
        <v>0.55105205468660878</v>
      </c>
      <c r="Q97" s="46">
        <f t="shared" si="32"/>
        <v>0.54413597233524003</v>
      </c>
      <c r="R97" s="46">
        <f t="shared" si="32"/>
        <v>0.5375566436621243</v>
      </c>
    </row>
    <row r="98" spans="1:18" x14ac:dyDescent="0.25">
      <c r="B98" s="56" t="s">
        <v>273</v>
      </c>
      <c r="C98" s="46">
        <f t="shared" ref="C98:R98" si="33">C66</f>
        <v>0.71268772250721402</v>
      </c>
      <c r="D98" s="46">
        <f t="shared" si="33"/>
        <v>0.68342221967308936</v>
      </c>
      <c r="E98" s="46">
        <f t="shared" si="33"/>
        <v>0.65005433760645104</v>
      </c>
      <c r="F98" s="46">
        <f t="shared" si="33"/>
        <v>0.64642489771209377</v>
      </c>
      <c r="G98" s="46">
        <f t="shared" si="33"/>
        <v>0.63191156295207884</v>
      </c>
      <c r="H98" s="46">
        <f t="shared" si="33"/>
        <v>0.61838761034444178</v>
      </c>
      <c r="I98" s="46">
        <f t="shared" si="33"/>
        <v>0.60445482857186372</v>
      </c>
      <c r="J98" s="46">
        <f t="shared" si="33"/>
        <v>0.60040800687552687</v>
      </c>
      <c r="K98" s="46">
        <f t="shared" si="33"/>
        <v>0.59020922579092772</v>
      </c>
      <c r="L98" s="46">
        <f t="shared" si="33"/>
        <v>0.5810694213690194</v>
      </c>
      <c r="M98" s="46">
        <f t="shared" si="33"/>
        <v>0.57257363648963933</v>
      </c>
      <c r="N98" s="46">
        <f t="shared" si="33"/>
        <v>0.56461469045119905</v>
      </c>
      <c r="O98" s="46">
        <f t="shared" si="33"/>
        <v>0.55710702324208172</v>
      </c>
      <c r="P98" s="46">
        <f t="shared" si="33"/>
        <v>0.54998108001947577</v>
      </c>
      <c r="Q98" s="46">
        <f t="shared" si="33"/>
        <v>0.54318021035307362</v>
      </c>
      <c r="R98" s="46">
        <f t="shared" si="33"/>
        <v>0.5382389020663827</v>
      </c>
    </row>
    <row r="99" spans="1:18" ht="14.25" customHeight="1" x14ac:dyDescent="0.25">
      <c r="B99" s="53" t="s">
        <v>185</v>
      </c>
      <c r="C99" s="28">
        <f t="shared" ref="C99:R99" si="34">1-(1-C23)*C95^2/C90^2</f>
        <v>0.82753816072507258</v>
      </c>
      <c r="D99" s="28">
        <f t="shared" si="34"/>
        <v>0.61302770416476671</v>
      </c>
      <c r="E99" s="28">
        <f t="shared" si="34"/>
        <v>0.62283557218638741</v>
      </c>
      <c r="F99" s="28">
        <f t="shared" si="34"/>
        <v>0.29932104396745329</v>
      </c>
      <c r="G99" s="28">
        <f t="shared" si="34"/>
        <v>0.30314978021610728</v>
      </c>
      <c r="H99" s="28">
        <f t="shared" si="34"/>
        <v>0.32108560229312932</v>
      </c>
      <c r="I99" s="28">
        <f t="shared" si="34"/>
        <v>0.49528302048629769</v>
      </c>
      <c r="J99" s="28">
        <f t="shared" si="34"/>
        <v>0.3566759639314252</v>
      </c>
      <c r="K99" s="28">
        <f t="shared" si="34"/>
        <v>0.36468632165426995</v>
      </c>
      <c r="L99" s="28">
        <f t="shared" si="34"/>
        <v>0.37951246711638587</v>
      </c>
      <c r="M99" s="28">
        <f t="shared" si="34"/>
        <v>0.39112917108363587</v>
      </c>
      <c r="N99" s="28">
        <f t="shared" si="34"/>
        <v>0.40098159161348967</v>
      </c>
      <c r="O99" s="28">
        <f t="shared" si="34"/>
        <v>0.40941748122642141</v>
      </c>
      <c r="P99" s="28">
        <f t="shared" si="34"/>
        <v>0.4167005140890605</v>
      </c>
      <c r="Q99" s="28">
        <f t="shared" si="34"/>
        <v>0.42303531388538174</v>
      </c>
      <c r="R99" s="28">
        <f t="shared" si="34"/>
        <v>0.42858204588803173</v>
      </c>
    </row>
    <row r="100" spans="1:18" ht="14.25" customHeight="1" x14ac:dyDescent="0.25">
      <c r="A100" s="58"/>
      <c r="B100" s="8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1:18" ht="30" x14ac:dyDescent="0.25">
      <c r="A101" s="63" t="s">
        <v>298</v>
      </c>
      <c r="B101" s="51" t="s">
        <v>299</v>
      </c>
      <c r="C101" s="22">
        <f t="shared" ref="C101:R101" si="35">C93*C16*COS(C11/180*3.14)</f>
        <v>37.206736197394093</v>
      </c>
      <c r="D101" s="22">
        <f t="shared" si="35"/>
        <v>35.986387380822592</v>
      </c>
      <c r="E101" s="22">
        <f t="shared" si="35"/>
        <v>61.864036590344362</v>
      </c>
      <c r="F101" s="22">
        <f t="shared" si="35"/>
        <v>62.753576070545115</v>
      </c>
      <c r="G101" s="22">
        <f t="shared" si="35"/>
        <v>92.110447188642851</v>
      </c>
      <c r="H101" s="22">
        <f t="shared" si="35"/>
        <v>90.085118792347885</v>
      </c>
      <c r="I101" s="22">
        <f t="shared" si="35"/>
        <v>88.178163573589885</v>
      </c>
      <c r="J101" s="22">
        <f t="shared" si="35"/>
        <v>71.661133982226403</v>
      </c>
      <c r="K101" s="22">
        <f t="shared" si="35"/>
        <v>92.983497424680309</v>
      </c>
      <c r="L101" s="22">
        <f t="shared" si="35"/>
        <v>91.308642720259485</v>
      </c>
      <c r="M101" s="22">
        <f t="shared" si="35"/>
        <v>90.247090423848377</v>
      </c>
      <c r="N101" s="22">
        <f t="shared" si="35"/>
        <v>89.193965955902272</v>
      </c>
      <c r="O101" s="22">
        <f t="shared" si="35"/>
        <v>88.149268711144899</v>
      </c>
      <c r="P101" s="22">
        <f t="shared" si="35"/>
        <v>87.112998064511942</v>
      </c>
      <c r="Q101" s="22">
        <f t="shared" si="35"/>
        <v>86.085153370335661</v>
      </c>
      <c r="R101" s="22">
        <f t="shared" si="35"/>
        <v>85.065733961489144</v>
      </c>
    </row>
    <row r="102" spans="1:18" x14ac:dyDescent="0.25">
      <c r="B102" s="51" t="s">
        <v>310</v>
      </c>
      <c r="C102" s="22">
        <f t="shared" ref="C102:R102" si="36">C94*C17*COS(C12/180*3.14)</f>
        <v>6.2455933785061493E-2</v>
      </c>
      <c r="D102" s="22">
        <f t="shared" si="36"/>
        <v>15.684573979175415</v>
      </c>
      <c r="E102" s="22">
        <f t="shared" si="36"/>
        <v>11.655361643735297</v>
      </c>
      <c r="F102" s="22">
        <f t="shared" si="36"/>
        <v>55.363124046086121</v>
      </c>
      <c r="G102" s="22">
        <f t="shared" si="36"/>
        <v>53.515014872295346</v>
      </c>
      <c r="H102" s="22">
        <f t="shared" si="36"/>
        <v>51.598609995682978</v>
      </c>
      <c r="I102" s="22">
        <f t="shared" si="36"/>
        <v>32.639846559552467</v>
      </c>
      <c r="J102" s="22">
        <f t="shared" si="36"/>
        <v>43.483322416580982</v>
      </c>
      <c r="K102" s="22">
        <f t="shared" si="36"/>
        <v>43.020299649048717</v>
      </c>
      <c r="L102" s="22">
        <f t="shared" si="36"/>
        <v>41.956068390155309</v>
      </c>
      <c r="M102" s="22">
        <f t="shared" si="36"/>
        <v>40.900289847071939</v>
      </c>
      <c r="N102" s="22">
        <f t="shared" si="36"/>
        <v>39.852964019798755</v>
      </c>
      <c r="O102" s="22">
        <f t="shared" si="36"/>
        <v>38.814090908335714</v>
      </c>
      <c r="P102" s="22">
        <f t="shared" si="36"/>
        <v>37.783670512682868</v>
      </c>
      <c r="Q102" s="22">
        <f t="shared" si="36"/>
        <v>36.761702832840093</v>
      </c>
      <c r="R102" s="22">
        <f t="shared" si="36"/>
        <v>37.83784978753561</v>
      </c>
    </row>
    <row r="103" spans="1:18" x14ac:dyDescent="0.25">
      <c r="B103" s="51" t="s">
        <v>323</v>
      </c>
      <c r="C103" s="22">
        <f t="shared" ref="C103:R103" si="37">C95*C19*COS(C14/180*3.14)</f>
        <v>37.206736197394093</v>
      </c>
      <c r="D103" s="22">
        <f t="shared" si="37"/>
        <v>64.035572576586787</v>
      </c>
      <c r="E103" s="22">
        <f t="shared" si="37"/>
        <v>62.753576070545115</v>
      </c>
      <c r="F103" s="22">
        <f t="shared" si="37"/>
        <v>93.338033517676521</v>
      </c>
      <c r="G103" s="22">
        <f t="shared" si="37"/>
        <v>91.301929742541134</v>
      </c>
      <c r="H103" s="22">
        <f t="shared" si="37"/>
        <v>89.385524865928801</v>
      </c>
      <c r="I103" s="22">
        <f t="shared" si="37"/>
        <v>71.661133982226403</v>
      </c>
      <c r="J103" s="22">
        <f t="shared" si="37"/>
        <v>93.719405887507776</v>
      </c>
      <c r="K103" s="22">
        <f t="shared" si="37"/>
        <v>92.037060705632712</v>
      </c>
      <c r="L103" s="22">
        <f t="shared" si="37"/>
        <v>90.972829446739269</v>
      </c>
      <c r="M103" s="22">
        <f t="shared" si="37"/>
        <v>89.917050903655948</v>
      </c>
      <c r="N103" s="22">
        <f t="shared" si="37"/>
        <v>88.869725076382778</v>
      </c>
      <c r="O103" s="22">
        <f t="shared" si="37"/>
        <v>87.830851964919745</v>
      </c>
      <c r="P103" s="22">
        <f t="shared" si="37"/>
        <v>86.800431569266834</v>
      </c>
      <c r="Q103" s="22">
        <f t="shared" si="37"/>
        <v>85.778463889424117</v>
      </c>
      <c r="R103" s="22">
        <f t="shared" si="37"/>
        <v>82.675287006663453</v>
      </c>
    </row>
    <row r="104" spans="1:18" x14ac:dyDescent="0.25">
      <c r="B104" s="51" t="s">
        <v>311</v>
      </c>
      <c r="C104" s="22">
        <f t="shared" ref="C104:R104" si="38">C101/C90</f>
        <v>77.675748714664266</v>
      </c>
      <c r="D104" s="22">
        <f t="shared" si="38"/>
        <v>76.875298845845066</v>
      </c>
      <c r="E104" s="22">
        <f t="shared" si="38"/>
        <v>135.05021791578901</v>
      </c>
      <c r="F104" s="22">
        <f t="shared" si="38"/>
        <v>132.03062869110377</v>
      </c>
      <c r="G104" s="22">
        <f t="shared" si="38"/>
        <v>195.84164214155311</v>
      </c>
      <c r="H104" s="22">
        <f t="shared" si="38"/>
        <v>191.60811430973303</v>
      </c>
      <c r="I104" s="22">
        <f t="shared" si="38"/>
        <v>188.03456425885364</v>
      </c>
      <c r="J104" s="22">
        <f t="shared" si="38"/>
        <v>150.40353434140661</v>
      </c>
      <c r="K104" s="22">
        <f t="shared" si="38"/>
        <v>195.47134730513358</v>
      </c>
      <c r="L104" s="22">
        <f t="shared" si="38"/>
        <v>191.21079033391888</v>
      </c>
      <c r="M104" s="22">
        <f t="shared" si="38"/>
        <v>188.71580136171272</v>
      </c>
      <c r="N104" s="22">
        <f t="shared" si="38"/>
        <v>186.4981858908649</v>
      </c>
      <c r="O104" s="22">
        <f t="shared" si="38"/>
        <v>184.50714244638269</v>
      </c>
      <c r="P104" s="22">
        <f t="shared" si="38"/>
        <v>182.70358429923812</v>
      </c>
      <c r="Q104" s="22">
        <f t="shared" si="38"/>
        <v>181.05678764020581</v>
      </c>
      <c r="R104" s="22">
        <f t="shared" si="38"/>
        <v>179.54244811257155</v>
      </c>
    </row>
    <row r="105" spans="1:18" x14ac:dyDescent="0.25">
      <c r="B105" s="51" t="s">
        <v>312</v>
      </c>
      <c r="C105" s="46">
        <f t="shared" ref="C105:R105" si="39">C102/C91</f>
        <v>0.13000274627498376</v>
      </c>
      <c r="D105" s="46">
        <f t="shared" si="39"/>
        <v>33.400733110428646</v>
      </c>
      <c r="E105" s="46">
        <f t="shared" si="39"/>
        <v>25.185279558987464</v>
      </c>
      <c r="F105" s="46">
        <f t="shared" si="39"/>
        <v>116.43545197950877</v>
      </c>
      <c r="G105" s="46">
        <f t="shared" si="39"/>
        <v>112.45800473633004</v>
      </c>
      <c r="H105" s="46">
        <f t="shared" si="39"/>
        <v>108.64813685014479</v>
      </c>
      <c r="I105" s="46">
        <f t="shared" si="39"/>
        <v>68.829764144536597</v>
      </c>
      <c r="J105" s="46">
        <f t="shared" si="39"/>
        <v>90.930114309744837</v>
      </c>
      <c r="K105" s="46">
        <f t="shared" si="39"/>
        <v>89.595199611206425</v>
      </c>
      <c r="L105" s="46">
        <f t="shared" si="39"/>
        <v>87.212487594214096</v>
      </c>
      <c r="M105" s="46">
        <f t="shared" si="39"/>
        <v>84.976751549732128</v>
      </c>
      <c r="N105" s="46">
        <f t="shared" si="39"/>
        <v>82.859416731919239</v>
      </c>
      <c r="O105" s="46">
        <f t="shared" si="39"/>
        <v>80.837469851951255</v>
      </c>
      <c r="P105" s="46">
        <f t="shared" si="39"/>
        <v>78.89300540394548</v>
      </c>
      <c r="Q105" s="46">
        <f t="shared" si="39"/>
        <v>77.01180514217927</v>
      </c>
      <c r="R105" s="46">
        <f t="shared" si="39"/>
        <v>79.584348552019691</v>
      </c>
    </row>
    <row r="106" spans="1:18" x14ac:dyDescent="0.25">
      <c r="B106" s="51" t="s">
        <v>324</v>
      </c>
      <c r="C106" s="46">
        <f t="shared" ref="C106:R106" si="40">C103/C92</f>
        <v>75.683089908062925</v>
      </c>
      <c r="D106" s="46">
        <f t="shared" si="40"/>
        <v>133.02560939372668</v>
      </c>
      <c r="E106" s="46">
        <f t="shared" si="40"/>
        <v>132.04450042634824</v>
      </c>
      <c r="F106" s="46">
        <f t="shared" si="40"/>
        <v>194.91101765729394</v>
      </c>
      <c r="G106" s="46">
        <f t="shared" si="40"/>
        <v>190.77337159610283</v>
      </c>
      <c r="H106" s="46">
        <f t="shared" si="40"/>
        <v>187.26839445846323</v>
      </c>
      <c r="I106" s="46">
        <f t="shared" si="40"/>
        <v>150.4079341751399</v>
      </c>
      <c r="J106" s="46">
        <f t="shared" si="40"/>
        <v>195.0488399985251</v>
      </c>
      <c r="K106" s="46">
        <f t="shared" si="40"/>
        <v>190.86776392506937</v>
      </c>
      <c r="L106" s="46">
        <f t="shared" si="40"/>
        <v>188.40587842988285</v>
      </c>
      <c r="M106" s="46">
        <f t="shared" si="40"/>
        <v>186.21615262316399</v>
      </c>
      <c r="N106" s="46">
        <f t="shared" si="40"/>
        <v>184.24884788035874</v>
      </c>
      <c r="O106" s="46">
        <f t="shared" si="40"/>
        <v>182.4656749653881</v>
      </c>
      <c r="P106" s="46">
        <f t="shared" si="40"/>
        <v>180.8365230392684</v>
      </c>
      <c r="Q106" s="46">
        <f t="shared" si="40"/>
        <v>179.33756341606974</v>
      </c>
      <c r="R106" s="46">
        <f t="shared" si="40"/>
        <v>174.14082022833173</v>
      </c>
    </row>
    <row r="107" spans="1:18" x14ac:dyDescent="0.25">
      <c r="B107" s="85" t="s">
        <v>300</v>
      </c>
      <c r="C107" s="29">
        <f t="shared" ref="C107:R107" si="41">ATAN(C9/C104)*180/3.14</f>
        <v>59.219908042632731</v>
      </c>
      <c r="D107" s="29">
        <f t="shared" si="41"/>
        <v>59.480479182831743</v>
      </c>
      <c r="E107" s="29">
        <f t="shared" si="41"/>
        <v>43.985728990493804</v>
      </c>
      <c r="F107" s="29">
        <f t="shared" si="41"/>
        <v>44.633651085707491</v>
      </c>
      <c r="G107" s="29">
        <f t="shared" si="41"/>
        <v>33.644067434882984</v>
      </c>
      <c r="H107" s="29">
        <f t="shared" si="41"/>
        <v>34.224153043817687</v>
      </c>
      <c r="I107" s="29">
        <f t="shared" si="41"/>
        <v>34.727633365561928</v>
      </c>
      <c r="J107" s="29">
        <f t="shared" si="41"/>
        <v>40.913421659726701</v>
      </c>
      <c r="K107" s="29">
        <f t="shared" si="41"/>
        <v>33.694112749845189</v>
      </c>
      <c r="L107" s="29">
        <f t="shared" si="41"/>
        <v>34.279498167078714</v>
      </c>
      <c r="M107" s="29">
        <f t="shared" si="41"/>
        <v>34.630655709296875</v>
      </c>
      <c r="N107" s="29">
        <f t="shared" si="41"/>
        <v>34.948096697283816</v>
      </c>
      <c r="O107" s="29">
        <f t="shared" si="41"/>
        <v>35.237459820040236</v>
      </c>
      <c r="P107" s="29">
        <f t="shared" si="41"/>
        <v>35.503197009507026</v>
      </c>
      <c r="Q107" s="29">
        <f t="shared" si="41"/>
        <v>35.748893563600284</v>
      </c>
      <c r="R107" s="29">
        <f t="shared" si="41"/>
        <v>35.977441973297054</v>
      </c>
    </row>
    <row r="108" spans="1:18" x14ac:dyDescent="0.25">
      <c r="B108" s="85" t="s">
        <v>301</v>
      </c>
      <c r="C108" s="29">
        <f t="shared" ref="C108:R108" si="42">ATAN(C9/C105)*180/3.14</f>
        <v>89.988433304760377</v>
      </c>
      <c r="D108" s="29">
        <f t="shared" si="42"/>
        <v>75.655598644235667</v>
      </c>
      <c r="E108" s="29">
        <f t="shared" si="42"/>
        <v>79.096381078398494</v>
      </c>
      <c r="F108" s="29">
        <f t="shared" si="42"/>
        <v>48.229704008738416</v>
      </c>
      <c r="G108" s="29">
        <f t="shared" si="42"/>
        <v>49.217586221285188</v>
      </c>
      <c r="H108" s="29">
        <f t="shared" si="42"/>
        <v>50.192244867145888</v>
      </c>
      <c r="I108" s="29">
        <f t="shared" si="42"/>
        <v>62.177600717310902</v>
      </c>
      <c r="J108" s="29">
        <f t="shared" si="42"/>
        <v>55.10827852030549</v>
      </c>
      <c r="K108" s="29">
        <f t="shared" si="42"/>
        <v>55.505183437930732</v>
      </c>
      <c r="L108" s="29">
        <f t="shared" si="42"/>
        <v>56.223122719786943</v>
      </c>
      <c r="M108" s="29">
        <f t="shared" si="42"/>
        <v>56.907910970402725</v>
      </c>
      <c r="N108" s="29">
        <f t="shared" si="42"/>
        <v>57.566429268502105</v>
      </c>
      <c r="O108" s="29">
        <f t="shared" si="42"/>
        <v>58.204397095156018</v>
      </c>
      <c r="P108" s="29">
        <f t="shared" si="42"/>
        <v>58.826346162554778</v>
      </c>
      <c r="Q108" s="29">
        <f t="shared" si="42"/>
        <v>59.435942764851063</v>
      </c>
      <c r="R108" s="29">
        <f t="shared" si="42"/>
        <v>58.604267612474978</v>
      </c>
    </row>
    <row r="109" spans="1:18" x14ac:dyDescent="0.25">
      <c r="B109" s="85" t="s">
        <v>325</v>
      </c>
      <c r="C109" s="29">
        <f t="shared" ref="C109:R109" si="43">ATAN(C9/C106)*180/3.14</f>
        <v>59.871186084611757</v>
      </c>
      <c r="D109" s="29">
        <f t="shared" si="43"/>
        <v>44.418494186159222</v>
      </c>
      <c r="E109" s="29">
        <f t="shared" si="43"/>
        <v>44.630640120040759</v>
      </c>
      <c r="F109" s="29">
        <f t="shared" si="43"/>
        <v>33.770091403271593</v>
      </c>
      <c r="G109" s="29">
        <f t="shared" si="43"/>
        <v>34.340610246653071</v>
      </c>
      <c r="H109" s="29">
        <f t="shared" si="43"/>
        <v>34.837270509914177</v>
      </c>
      <c r="I109" s="29">
        <f t="shared" si="43"/>
        <v>40.912591799710633</v>
      </c>
      <c r="J109" s="29">
        <f t="shared" si="43"/>
        <v>33.751375196119291</v>
      </c>
      <c r="K109" s="29">
        <f t="shared" si="43"/>
        <v>34.32740645532234</v>
      </c>
      <c r="L109" s="29">
        <f t="shared" si="43"/>
        <v>34.674716025097304</v>
      </c>
      <c r="M109" s="29">
        <f t="shared" si="43"/>
        <v>34.988832887001578</v>
      </c>
      <c r="N109" s="29">
        <f t="shared" si="43"/>
        <v>35.275304418088162</v>
      </c>
      <c r="O109" s="29">
        <f t="shared" si="43"/>
        <v>35.538510860139162</v>
      </c>
      <c r="P109" s="29">
        <f t="shared" si="43"/>
        <v>35.781979996292151</v>
      </c>
      <c r="Q109" s="29">
        <f t="shared" si="43"/>
        <v>36.008558055445306</v>
      </c>
      <c r="R109" s="29">
        <f t="shared" si="43"/>
        <v>36.813604304871653</v>
      </c>
    </row>
    <row r="110" spans="1:18" x14ac:dyDescent="0.25">
      <c r="B110" s="51" t="s">
        <v>313</v>
      </c>
      <c r="C110" s="22">
        <f t="shared" ref="C110:R110" si="44">C101/C96</f>
        <v>51.298457067403625</v>
      </c>
      <c r="D110" s="22">
        <f t="shared" si="44"/>
        <v>51.653652367643154</v>
      </c>
      <c r="E110" s="22">
        <f t="shared" si="44"/>
        <v>92.719337546700785</v>
      </c>
      <c r="F110" s="22">
        <f t="shared" si="44"/>
        <v>96.543308748539999</v>
      </c>
      <c r="G110" s="22">
        <f t="shared" si="44"/>
        <v>143.88463865790246</v>
      </c>
      <c r="H110" s="22">
        <f t="shared" si="44"/>
        <v>144.01013919640829</v>
      </c>
      <c r="I110" s="22">
        <f t="shared" si="44"/>
        <v>144.0929308700122</v>
      </c>
      <c r="J110" s="22">
        <f t="shared" si="44"/>
        <v>118.55772014202304</v>
      </c>
      <c r="K110" s="22">
        <f t="shared" si="44"/>
        <v>155.82332485090458</v>
      </c>
      <c r="L110" s="22">
        <f t="shared" si="44"/>
        <v>155.71149549589805</v>
      </c>
      <c r="M110" s="22">
        <f t="shared" si="44"/>
        <v>156.34766759253489</v>
      </c>
      <c r="N110" s="22">
        <f t="shared" si="44"/>
        <v>156.84013068065511</v>
      </c>
      <c r="O110" s="22">
        <f t="shared" si="44"/>
        <v>157.21087888650413</v>
      </c>
      <c r="P110" s="22">
        <f t="shared" si="44"/>
        <v>157.47808004377848</v>
      </c>
      <c r="Q110" s="22">
        <f t="shared" si="44"/>
        <v>157.65700500903597</v>
      </c>
      <c r="R110" s="22">
        <f t="shared" si="44"/>
        <v>157.76045124607953</v>
      </c>
    </row>
    <row r="111" spans="1:18" x14ac:dyDescent="0.25">
      <c r="B111" s="51" t="s">
        <v>314</v>
      </c>
      <c r="C111" s="22">
        <f t="shared" ref="C111:R111" si="45">C102/C97</f>
        <v>8.6279415586830055E-2</v>
      </c>
      <c r="D111" s="22">
        <f t="shared" si="45"/>
        <v>22.560841261884594</v>
      </c>
      <c r="E111" s="22">
        <f t="shared" si="45"/>
        <v>17.592591995016324</v>
      </c>
      <c r="F111" s="22">
        <f t="shared" si="45"/>
        <v>85.198075348856221</v>
      </c>
      <c r="G111" s="22">
        <f t="shared" si="45"/>
        <v>84.324304012219514</v>
      </c>
      <c r="H111" s="22">
        <f t="shared" si="45"/>
        <v>83.118301439473797</v>
      </c>
      <c r="I111" s="22">
        <f t="shared" si="45"/>
        <v>53.7999840098107</v>
      </c>
      <c r="J111" s="22">
        <f t="shared" si="45"/>
        <v>72.148253309371682</v>
      </c>
      <c r="K111" s="22">
        <f t="shared" si="45"/>
        <v>72.638811010564055</v>
      </c>
      <c r="L111" s="22">
        <f t="shared" si="45"/>
        <v>71.984787298080263</v>
      </c>
      <c r="M111" s="22">
        <f t="shared" si="45"/>
        <v>71.239225539634631</v>
      </c>
      <c r="N111" s="22">
        <f t="shared" si="45"/>
        <v>70.41419097328162</v>
      </c>
      <c r="O111" s="22">
        <f t="shared" si="45"/>
        <v>69.520337626292829</v>
      </c>
      <c r="P111" s="22">
        <f t="shared" si="45"/>
        <v>68.566427057732298</v>
      </c>
      <c r="Q111" s="22">
        <f t="shared" si="45"/>
        <v>67.559773111620999</v>
      </c>
      <c r="R111" s="22">
        <f t="shared" si="45"/>
        <v>70.388581805563547</v>
      </c>
    </row>
    <row r="112" spans="1:18" x14ac:dyDescent="0.25">
      <c r="B112" s="51" t="s">
        <v>327</v>
      </c>
      <c r="C112" s="22">
        <f t="shared" ref="C112:R112" si="46">C103/C98</f>
        <v>52.206225843910865</v>
      </c>
      <c r="D112" s="22">
        <f t="shared" si="46"/>
        <v>93.698405953522837</v>
      </c>
      <c r="E112" s="22">
        <f t="shared" si="46"/>
        <v>96.535893140269636</v>
      </c>
      <c r="F112" s="22">
        <f t="shared" si="46"/>
        <v>144.39114868259242</v>
      </c>
      <c r="G112" s="22">
        <f t="shared" si="46"/>
        <v>144.48529682857699</v>
      </c>
      <c r="H112" s="22">
        <f t="shared" si="46"/>
        <v>144.54611213206726</v>
      </c>
      <c r="I112" s="22">
        <f t="shared" si="46"/>
        <v>118.55498640243984</v>
      </c>
      <c r="J112" s="22">
        <f t="shared" si="46"/>
        <v>156.09286487569634</v>
      </c>
      <c r="K112" s="22">
        <f t="shared" si="46"/>
        <v>155.93971880445559</v>
      </c>
      <c r="L112" s="22">
        <f t="shared" si="46"/>
        <v>156.56103401966013</v>
      </c>
      <c r="M112" s="22">
        <f t="shared" si="46"/>
        <v>157.04015199673447</v>
      </c>
      <c r="N112" s="22">
        <f t="shared" si="46"/>
        <v>157.39888915282128</v>
      </c>
      <c r="O112" s="22">
        <f t="shared" si="46"/>
        <v>157.65525886532271</v>
      </c>
      <c r="P112" s="22">
        <f t="shared" si="46"/>
        <v>157.82439564319756</v>
      </c>
      <c r="Q112" s="22">
        <f t="shared" si="46"/>
        <v>157.91897836938332</v>
      </c>
      <c r="R112" s="22">
        <f t="shared" si="46"/>
        <v>153.60332872495874</v>
      </c>
    </row>
    <row r="113" spans="2:18" x14ac:dyDescent="0.25">
      <c r="B113" s="85" t="s">
        <v>302</v>
      </c>
      <c r="C113" s="29">
        <f t="shared" ref="C113:R113" si="47">ATAN(C9/C110)*180/3.14</f>
        <v>68.537937922211711</v>
      </c>
      <c r="D113" s="29">
        <f t="shared" si="47"/>
        <v>68.402729802165354</v>
      </c>
      <c r="E113" s="29">
        <f t="shared" si="47"/>
        <v>54.582252915498266</v>
      </c>
      <c r="F113" s="29">
        <f t="shared" si="47"/>
        <v>53.480699679531583</v>
      </c>
      <c r="G113" s="29">
        <f t="shared" si="47"/>
        <v>42.174005744172113</v>
      </c>
      <c r="H113" s="29">
        <f t="shared" si="47"/>
        <v>42.149140819261298</v>
      </c>
      <c r="I113" s="29">
        <f t="shared" si="47"/>
        <v>42.132750677884886</v>
      </c>
      <c r="J113" s="29">
        <f t="shared" si="47"/>
        <v>47.714724012638328</v>
      </c>
      <c r="K113" s="29">
        <f t="shared" si="47"/>
        <v>39.911896094320383</v>
      </c>
      <c r="L113" s="29">
        <f t="shared" si="47"/>
        <v>39.932148582059995</v>
      </c>
      <c r="M113" s="29">
        <f t="shared" si="47"/>
        <v>39.817164581857575</v>
      </c>
      <c r="N113" s="29">
        <f t="shared" si="47"/>
        <v>39.728533602560681</v>
      </c>
      <c r="O113" s="29">
        <f t="shared" si="47"/>
        <v>39.662025261042125</v>
      </c>
      <c r="P113" s="29">
        <f t="shared" si="47"/>
        <v>39.614207386236508</v>
      </c>
      <c r="Q113" s="29">
        <f t="shared" si="47"/>
        <v>39.582241095021153</v>
      </c>
      <c r="R113" s="29">
        <f t="shared" si="47"/>
        <v>39.563779310842648</v>
      </c>
    </row>
    <row r="114" spans="2:18" x14ac:dyDescent="0.25">
      <c r="B114" s="85" t="s">
        <v>303</v>
      </c>
      <c r="C114" s="29">
        <f t="shared" ref="C114:R114" si="48">ATAN(C9/C111)*180/3.14</f>
        <v>90.007676538680485</v>
      </c>
      <c r="D114" s="29">
        <f t="shared" si="48"/>
        <v>80.213859580268334</v>
      </c>
      <c r="E114" s="29">
        <f t="shared" si="48"/>
        <v>82.349480046502123</v>
      </c>
      <c r="F114" s="29">
        <f t="shared" si="48"/>
        <v>56.839638615807154</v>
      </c>
      <c r="G114" s="29">
        <f t="shared" si="48"/>
        <v>57.109791784162233</v>
      </c>
      <c r="H114" s="29">
        <f t="shared" si="48"/>
        <v>57.485389476292177</v>
      </c>
      <c r="I114" s="29">
        <f t="shared" si="48"/>
        <v>67.591109999547854</v>
      </c>
      <c r="J114" s="29">
        <f t="shared" si="48"/>
        <v>61.047944901669155</v>
      </c>
      <c r="K114" s="29">
        <f t="shared" si="48"/>
        <v>60.882998608848006</v>
      </c>
      <c r="L114" s="29">
        <f t="shared" si="48"/>
        <v>61.103026284585546</v>
      </c>
      <c r="M114" s="29">
        <f t="shared" si="48"/>
        <v>61.35499274386703</v>
      </c>
      <c r="N114" s="29">
        <f t="shared" si="48"/>
        <v>61.635236280549044</v>
      </c>
      <c r="O114" s="29">
        <f t="shared" si="48"/>
        <v>61.940536429848741</v>
      </c>
      <c r="P114" s="29">
        <f t="shared" si="48"/>
        <v>62.26827484195546</v>
      </c>
      <c r="Q114" s="29">
        <f t="shared" si="48"/>
        <v>62.616286736329698</v>
      </c>
      <c r="R114" s="29">
        <f t="shared" si="48"/>
        <v>61.643958909846518</v>
      </c>
    </row>
    <row r="115" spans="2:18" x14ac:dyDescent="0.25">
      <c r="B115" s="85" t="s">
        <v>326</v>
      </c>
      <c r="C115" s="29">
        <f t="shared" ref="C115:R115" si="49">ATAN(C9/C112)*180/3.14</f>
        <v>68.192890171126038</v>
      </c>
      <c r="D115" s="29">
        <f t="shared" si="49"/>
        <v>54.29728452829108</v>
      </c>
      <c r="E115" s="29">
        <f t="shared" si="49"/>
        <v>53.482806172905853</v>
      </c>
      <c r="F115" s="29">
        <f t="shared" si="49"/>
        <v>42.073798784199994</v>
      </c>
      <c r="G115" s="29">
        <f t="shared" si="49"/>
        <v>42.055215384855444</v>
      </c>
      <c r="H115" s="29">
        <f t="shared" si="49"/>
        <v>42.043218477819167</v>
      </c>
      <c r="I115" s="29">
        <f t="shared" si="49"/>
        <v>47.715382013612953</v>
      </c>
      <c r="J115" s="29">
        <f t="shared" si="49"/>
        <v>39.863152202639185</v>
      </c>
      <c r="K115" s="29">
        <f t="shared" si="49"/>
        <v>39.89083511660904</v>
      </c>
      <c r="L115" s="29">
        <f t="shared" si="49"/>
        <v>39.778723529732055</v>
      </c>
      <c r="M115" s="29">
        <f t="shared" si="49"/>
        <v>39.692628765138153</v>
      </c>
      <c r="N115" s="29">
        <f t="shared" si="49"/>
        <v>39.628369209721292</v>
      </c>
      <c r="O115" s="29">
        <f t="shared" si="49"/>
        <v>39.5825528483944</v>
      </c>
      <c r="P115" s="29">
        <f t="shared" si="49"/>
        <v>39.55237451703151</v>
      </c>
      <c r="Q115" s="29">
        <f t="shared" si="49"/>
        <v>39.535515304476931</v>
      </c>
      <c r="R115" s="29">
        <f t="shared" si="49"/>
        <v>40.31716361178777</v>
      </c>
    </row>
    <row r="116" spans="2:18" x14ac:dyDescent="0.25">
      <c r="B116" s="51" t="s">
        <v>306</v>
      </c>
      <c r="C116" s="22">
        <f t="shared" ref="C116:R116" si="50">C18*SIN((C13-90)/180*3.14)*C94</f>
        <v>170.17909257037513</v>
      </c>
      <c r="D116" s="22">
        <f t="shared" si="50"/>
        <v>143.57454235598937</v>
      </c>
      <c r="E116" s="22">
        <f t="shared" si="50"/>
        <v>136.9874804219973</v>
      </c>
      <c r="F116" s="22">
        <f t="shared" si="50"/>
        <v>93.27970416130205</v>
      </c>
      <c r="G116" s="22">
        <f t="shared" si="50"/>
        <v>91.244367280326173</v>
      </c>
      <c r="H116" s="22">
        <f t="shared" si="50"/>
        <v>89.328729335826196</v>
      </c>
      <c r="I116" s="22">
        <f t="shared" si="50"/>
        <v>104.50685856643548</v>
      </c>
      <c r="J116" s="22">
        <f t="shared" si="50"/>
        <v>93.663379271284796</v>
      </c>
      <c r="K116" s="22">
        <f t="shared" si="50"/>
        <v>91.981473724476231</v>
      </c>
      <c r="L116" s="22">
        <f t="shared" si="50"/>
        <v>90.917682296633416</v>
      </c>
      <c r="M116" s="22">
        <f t="shared" si="50"/>
        <v>89.862343587280932</v>
      </c>
      <c r="N116" s="22">
        <f t="shared" si="50"/>
        <v>88.815457596418611</v>
      </c>
      <c r="O116" s="22">
        <f t="shared" si="50"/>
        <v>87.777024324046579</v>
      </c>
      <c r="P116" s="22">
        <f t="shared" si="50"/>
        <v>86.747043770164694</v>
      </c>
      <c r="Q116" s="22">
        <f t="shared" si="50"/>
        <v>85.7255159347731</v>
      </c>
      <c r="R116" s="22">
        <f t="shared" si="50"/>
        <v>82.622778236578171</v>
      </c>
    </row>
    <row r="117" spans="2:18" x14ac:dyDescent="0.25">
      <c r="B117" s="51" t="s">
        <v>307</v>
      </c>
      <c r="C117" s="22">
        <f t="shared" ref="C117:R117" si="51">C20*SIN((C15-90)/180*3.14)*C95</f>
        <v>133.03480052949342</v>
      </c>
      <c r="D117" s="22">
        <f t="shared" si="51"/>
        <v>95.223528428010667</v>
      </c>
      <c r="E117" s="22">
        <f t="shared" si="51"/>
        <v>85.889249793565284</v>
      </c>
      <c r="F117" s="22">
        <f t="shared" si="51"/>
        <v>55.304782649072976</v>
      </c>
      <c r="G117" s="22">
        <f t="shared" si="51"/>
        <v>53.457440429048809</v>
      </c>
      <c r="H117" s="22">
        <f t="shared" si="51"/>
        <v>51.541802484548818</v>
      </c>
      <c r="I117" s="22">
        <f t="shared" si="51"/>
        <v>65.485558771349602</v>
      </c>
      <c r="J117" s="22">
        <f t="shared" si="51"/>
        <v>43.427279872090139</v>
      </c>
      <c r="K117" s="22">
        <f t="shared" si="51"/>
        <v>42.964697126232821</v>
      </c>
      <c r="L117" s="22">
        <f t="shared" si="51"/>
        <v>41.900905698389991</v>
      </c>
      <c r="M117" s="22">
        <f t="shared" si="51"/>
        <v>40.845566989037501</v>
      </c>
      <c r="N117" s="22">
        <f t="shared" si="51"/>
        <v>39.798680998175186</v>
      </c>
      <c r="O117" s="22">
        <f t="shared" si="51"/>
        <v>38.760247725803112</v>
      </c>
      <c r="P117" s="22">
        <f t="shared" si="51"/>
        <v>37.730267171921284</v>
      </c>
      <c r="Q117" s="22">
        <f t="shared" si="51"/>
        <v>36.708739336529668</v>
      </c>
      <c r="R117" s="22">
        <f t="shared" si="51"/>
        <v>37.785326800921851</v>
      </c>
    </row>
    <row r="118" spans="2:18" x14ac:dyDescent="0.25">
      <c r="B118" s="51" t="s">
        <v>308</v>
      </c>
      <c r="C118" s="22">
        <f t="shared" ref="C118:R118" si="52">C116/C91</f>
        <v>354.22974330783467</v>
      </c>
      <c r="D118" s="22">
        <f t="shared" si="52"/>
        <v>305.74594994109287</v>
      </c>
      <c r="E118" s="22">
        <f t="shared" si="52"/>
        <v>296.0069447835383</v>
      </c>
      <c r="F118" s="22">
        <f t="shared" si="52"/>
        <v>196.17867852787631</v>
      </c>
      <c r="G118" s="22">
        <f t="shared" si="52"/>
        <v>191.74356042432021</v>
      </c>
      <c r="H118" s="22">
        <f t="shared" si="52"/>
        <v>188.09421436624737</v>
      </c>
      <c r="I118" s="22">
        <f t="shared" si="52"/>
        <v>220.38039956744288</v>
      </c>
      <c r="J118" s="22">
        <f t="shared" si="52"/>
        <v>195.86409939382398</v>
      </c>
      <c r="K118" s="22">
        <f t="shared" si="52"/>
        <v>191.56301946073538</v>
      </c>
      <c r="L118" s="22">
        <f t="shared" si="52"/>
        <v>188.98713687029741</v>
      </c>
      <c r="M118" s="22">
        <f t="shared" si="52"/>
        <v>186.70307895726842</v>
      </c>
      <c r="N118" s="22">
        <f t="shared" si="52"/>
        <v>184.65871219921658</v>
      </c>
      <c r="O118" s="22">
        <f t="shared" si="52"/>
        <v>182.81176736166299</v>
      </c>
      <c r="P118" s="22">
        <f t="shared" si="52"/>
        <v>181.12943766642942</v>
      </c>
      <c r="Q118" s="22">
        <f t="shared" si="52"/>
        <v>179.58571611606408</v>
      </c>
      <c r="R118" s="22">
        <f t="shared" si="52"/>
        <v>173.78048748642507</v>
      </c>
    </row>
    <row r="119" spans="2:18" x14ac:dyDescent="0.25">
      <c r="B119" s="51" t="s">
        <v>309</v>
      </c>
      <c r="C119" s="22">
        <f t="shared" ref="C119:R119" si="53">C117/C92</f>
        <v>270.60919065725659</v>
      </c>
      <c r="D119" s="22">
        <f t="shared" si="53"/>
        <v>197.81454882139133</v>
      </c>
      <c r="E119" s="22">
        <f t="shared" si="53"/>
        <v>180.72600465407459</v>
      </c>
      <c r="F119" s="22">
        <f t="shared" si="53"/>
        <v>115.48894980099215</v>
      </c>
      <c r="G119" s="22">
        <f t="shared" si="53"/>
        <v>111.69814456611307</v>
      </c>
      <c r="H119" s="22">
        <f t="shared" si="53"/>
        <v>107.98337441385669</v>
      </c>
      <c r="I119" s="22">
        <f t="shared" si="53"/>
        <v>137.4461589673744</v>
      </c>
      <c r="J119" s="22">
        <f t="shared" si="53"/>
        <v>90.380860645975744</v>
      </c>
      <c r="K119" s="22">
        <f t="shared" si="53"/>
        <v>89.10079923597597</v>
      </c>
      <c r="L119" s="22">
        <f t="shared" si="53"/>
        <v>86.777304752675334</v>
      </c>
      <c r="M119" s="22">
        <f t="shared" si="53"/>
        <v>84.590233553812197</v>
      </c>
      <c r="N119" s="22">
        <f t="shared" si="53"/>
        <v>82.51247671543004</v>
      </c>
      <c r="O119" s="22">
        <f t="shared" si="53"/>
        <v>80.523126041622433</v>
      </c>
      <c r="P119" s="22">
        <f t="shared" si="53"/>
        <v>78.605718950465416</v>
      </c>
      <c r="Q119" s="22">
        <f t="shared" si="53"/>
        <v>76.747187699411953</v>
      </c>
      <c r="R119" s="22">
        <f t="shared" si="53"/>
        <v>79.588085387326984</v>
      </c>
    </row>
    <row r="120" spans="2:18" x14ac:dyDescent="0.25">
      <c r="B120" s="85" t="s">
        <v>305</v>
      </c>
      <c r="C120" s="29">
        <f t="shared" ref="C120:R120" si="54">90+ATAN(C118/C9)/3.14*180</f>
        <v>159.84697375897559</v>
      </c>
      <c r="D120" s="29">
        <f t="shared" si="54"/>
        <v>156.9595881201102</v>
      </c>
      <c r="E120" s="29">
        <f t="shared" si="54"/>
        <v>156.28298202989993</v>
      </c>
      <c r="F120" s="29">
        <f t="shared" si="54"/>
        <v>146.44701838479369</v>
      </c>
      <c r="G120" s="29">
        <f t="shared" si="54"/>
        <v>145.84032733103402</v>
      </c>
      <c r="H120" s="29">
        <f t="shared" si="54"/>
        <v>145.3265264179623</v>
      </c>
      <c r="I120" s="29">
        <f t="shared" si="54"/>
        <v>149.44605039082802</v>
      </c>
      <c r="J120" s="29">
        <f t="shared" si="54"/>
        <v>146.40461274853811</v>
      </c>
      <c r="K120" s="29">
        <f t="shared" si="54"/>
        <v>145.81522268652625</v>
      </c>
      <c r="L120" s="29">
        <f t="shared" si="54"/>
        <v>145.45348772075386</v>
      </c>
      <c r="M120" s="29">
        <f t="shared" si="54"/>
        <v>145.12709496402169</v>
      </c>
      <c r="N120" s="29">
        <f t="shared" si="54"/>
        <v>144.83036415917169</v>
      </c>
      <c r="O120" s="29">
        <f t="shared" si="54"/>
        <v>144.55849019062561</v>
      </c>
      <c r="P120" s="29">
        <f t="shared" si="54"/>
        <v>144.30765703421665</v>
      </c>
      <c r="Q120" s="29">
        <f t="shared" si="54"/>
        <v>144.07477254747351</v>
      </c>
      <c r="R120" s="29">
        <f t="shared" si="54"/>
        <v>143.17507703826712</v>
      </c>
    </row>
    <row r="121" spans="2:18" x14ac:dyDescent="0.25">
      <c r="B121" s="85" t="s">
        <v>304</v>
      </c>
      <c r="C121" s="29">
        <f t="shared" ref="C121:R121" si="55">90+ATAN(C119/C9)/3.14*180</f>
        <v>154.33010422178313</v>
      </c>
      <c r="D121" s="29">
        <f t="shared" si="55"/>
        <v>146.66602168618462</v>
      </c>
      <c r="E121" s="29">
        <f t="shared" si="55"/>
        <v>144.24704809590347</v>
      </c>
      <c r="F121" s="29">
        <f t="shared" si="55"/>
        <v>131.58356792457917</v>
      </c>
      <c r="G121" s="29">
        <f t="shared" si="55"/>
        <v>130.63591239320928</v>
      </c>
      <c r="H121" s="29">
        <f t="shared" si="55"/>
        <v>129.68044455529841</v>
      </c>
      <c r="I121" s="29">
        <f t="shared" si="55"/>
        <v>136.56344946160408</v>
      </c>
      <c r="J121" s="29">
        <f t="shared" si="55"/>
        <v>124.77452446888378</v>
      </c>
      <c r="K121" s="29">
        <f t="shared" si="55"/>
        <v>124.39250000797054</v>
      </c>
      <c r="L121" s="29">
        <f t="shared" si="55"/>
        <v>123.69008064058886</v>
      </c>
      <c r="M121" s="29">
        <f t="shared" si="55"/>
        <v>123.01825321765909</v>
      </c>
      <c r="N121" s="29">
        <f t="shared" si="55"/>
        <v>122.37038692710678</v>
      </c>
      <c r="O121" s="29">
        <f t="shared" si="55"/>
        <v>121.74126797884449</v>
      </c>
      <c r="P121" s="29">
        <f t="shared" si="55"/>
        <v>121.12671084661623</v>
      </c>
      <c r="Q121" s="29">
        <f t="shared" si="55"/>
        <v>120.52333551244035</v>
      </c>
      <c r="R121" s="29">
        <f t="shared" si="55"/>
        <v>121.44257922515814</v>
      </c>
    </row>
    <row r="122" spans="2:18" x14ac:dyDescent="0.25">
      <c r="B122" s="51" t="s">
        <v>315</v>
      </c>
      <c r="C122" s="22">
        <f t="shared" ref="C122:R122" si="56">C116/C97</f>
        <v>235.09299696966434</v>
      </c>
      <c r="D122" s="22">
        <f t="shared" si="56"/>
        <v>206.51899526514873</v>
      </c>
      <c r="E122" s="22">
        <f t="shared" si="56"/>
        <v>206.76877519153001</v>
      </c>
      <c r="F122" s="22">
        <f t="shared" si="56"/>
        <v>143.54773869043356</v>
      </c>
      <c r="G122" s="22">
        <f t="shared" si="56"/>
        <v>143.77493464795941</v>
      </c>
      <c r="H122" s="22">
        <f t="shared" si="56"/>
        <v>143.89636179659823</v>
      </c>
      <c r="I122" s="22">
        <f t="shared" si="56"/>
        <v>172.25777423712461</v>
      </c>
      <c r="J122" s="22">
        <f t="shared" si="56"/>
        <v>155.40784001591362</v>
      </c>
      <c r="K122" s="22">
        <f t="shared" si="56"/>
        <v>155.30865523604353</v>
      </c>
      <c r="L122" s="22">
        <f t="shared" si="56"/>
        <v>155.9891160653475</v>
      </c>
      <c r="M122" s="22">
        <f t="shared" si="56"/>
        <v>156.5202541661877</v>
      </c>
      <c r="N122" s="22">
        <f t="shared" si="56"/>
        <v>156.92355001416519</v>
      </c>
      <c r="O122" s="22">
        <f t="shared" si="56"/>
        <v>157.2183767294807</v>
      </c>
      <c r="P122" s="22">
        <f t="shared" si="56"/>
        <v>157.42077909408937</v>
      </c>
      <c r="Q122" s="22">
        <f t="shared" si="56"/>
        <v>157.54429093682111</v>
      </c>
      <c r="R122" s="22">
        <f t="shared" si="56"/>
        <v>153.70059920329041</v>
      </c>
    </row>
    <row r="123" spans="2:18" x14ac:dyDescent="0.25">
      <c r="B123" s="51" t="s">
        <v>318</v>
      </c>
      <c r="C123" s="22">
        <f t="shared" ref="C123:R123" si="57">C117/C98</f>
        <v>186.66632850286936</v>
      </c>
      <c r="D123" s="22">
        <f t="shared" si="57"/>
        <v>139.33338086894545</v>
      </c>
      <c r="E123" s="22">
        <f t="shared" si="57"/>
        <v>132.12626210574328</v>
      </c>
      <c r="F123" s="22">
        <f t="shared" si="57"/>
        <v>85.554846115634533</v>
      </c>
      <c r="G123" s="22">
        <f t="shared" si="57"/>
        <v>84.596395386901264</v>
      </c>
      <c r="H123" s="22">
        <f t="shared" si="57"/>
        <v>83.348698489997304</v>
      </c>
      <c r="I123" s="22">
        <f t="shared" si="57"/>
        <v>108.33821763997045</v>
      </c>
      <c r="J123" s="22">
        <f t="shared" si="57"/>
        <v>72.329614819899021</v>
      </c>
      <c r="K123" s="22">
        <f t="shared" si="57"/>
        <v>72.795705740886518</v>
      </c>
      <c r="L123" s="22">
        <f t="shared" si="57"/>
        <v>72.109982314453973</v>
      </c>
      <c r="M123" s="22">
        <f t="shared" si="57"/>
        <v>71.336793009638683</v>
      </c>
      <c r="N123" s="22">
        <f t="shared" si="57"/>
        <v>70.488213769944551</v>
      </c>
      <c r="O123" s="22">
        <f t="shared" si="57"/>
        <v>69.574150223843944</v>
      </c>
      <c r="P123" s="22">
        <f t="shared" si="57"/>
        <v>68.602845702592518</v>
      </c>
      <c r="Q123" s="22">
        <f t="shared" si="57"/>
        <v>67.581142753099471</v>
      </c>
      <c r="R123" s="22">
        <f t="shared" si="57"/>
        <v>70.201775932319492</v>
      </c>
    </row>
    <row r="124" spans="2:18" x14ac:dyDescent="0.25">
      <c r="B124" s="85" t="s">
        <v>316</v>
      </c>
      <c r="C124" s="29">
        <f t="shared" ref="C124:R124" si="58">90+ATAN(C122/C9)/3.14*180</f>
        <v>151.04291205598781</v>
      </c>
      <c r="D124" s="29">
        <f t="shared" si="58"/>
        <v>147.78997066927136</v>
      </c>
      <c r="E124" s="29">
        <f t="shared" si="58"/>
        <v>147.82122755846385</v>
      </c>
      <c r="F124" s="29">
        <f t="shared" si="58"/>
        <v>137.80477688234308</v>
      </c>
      <c r="G124" s="29">
        <f t="shared" si="58"/>
        <v>137.84988880499745</v>
      </c>
      <c r="H124" s="29">
        <f t="shared" si="58"/>
        <v>137.87396723115623</v>
      </c>
      <c r="I124" s="29">
        <f t="shared" si="58"/>
        <v>142.9326604498097</v>
      </c>
      <c r="J124" s="29">
        <f t="shared" si="58"/>
        <v>140.05842178195883</v>
      </c>
      <c r="K124" s="29">
        <f t="shared" si="58"/>
        <v>140.04040361405401</v>
      </c>
      <c r="L124" s="29">
        <f t="shared" si="58"/>
        <v>140.16374681251474</v>
      </c>
      <c r="M124" s="29">
        <f t="shared" si="58"/>
        <v>140.25958348177073</v>
      </c>
      <c r="N124" s="29">
        <f t="shared" si="58"/>
        <v>140.33209648433802</v>
      </c>
      <c r="O124" s="29">
        <f t="shared" si="58"/>
        <v>140.38496716182647</v>
      </c>
      <c r="P124" s="29">
        <f t="shared" si="58"/>
        <v>140.42119555325652</v>
      </c>
      <c r="Q124" s="29">
        <f t="shared" si="58"/>
        <v>140.44327602186303</v>
      </c>
      <c r="R124" s="29">
        <f t="shared" si="58"/>
        <v>139.74638573279032</v>
      </c>
    </row>
    <row r="125" spans="2:18" x14ac:dyDescent="0.25">
      <c r="B125" s="85" t="s">
        <v>317</v>
      </c>
      <c r="C125" s="29">
        <f t="shared" ref="C125:R125" si="59">90+ATAN(C123/C9)/3.14*180</f>
        <v>145.12179933688492</v>
      </c>
      <c r="D125" s="29">
        <f t="shared" si="59"/>
        <v>136.95360556303564</v>
      </c>
      <c r="E125" s="29">
        <f t="shared" si="59"/>
        <v>135.43274966812234</v>
      </c>
      <c r="F125" s="29">
        <f t="shared" si="59"/>
        <v>123.31584117279863</v>
      </c>
      <c r="G125" s="29">
        <f t="shared" si="59"/>
        <v>123.02016058158955</v>
      </c>
      <c r="H125" s="29">
        <f t="shared" si="59"/>
        <v>122.63225925923372</v>
      </c>
      <c r="I125" s="29">
        <f t="shared" si="59"/>
        <v>129.77287672258123</v>
      </c>
      <c r="J125" s="29">
        <f t="shared" si="59"/>
        <v>119.05874730132687</v>
      </c>
      <c r="K125" s="29">
        <f t="shared" si="59"/>
        <v>119.21529399307497</v>
      </c>
      <c r="L125" s="29">
        <f t="shared" si="59"/>
        <v>118.98481389053956</v>
      </c>
      <c r="M125" s="29">
        <f t="shared" si="59"/>
        <v>118.72369924454456</v>
      </c>
      <c r="N125" s="29">
        <f t="shared" si="59"/>
        <v>118.43561754732694</v>
      </c>
      <c r="O125" s="29">
        <f t="shared" si="59"/>
        <v>118.12354225016276</v>
      </c>
      <c r="P125" s="29">
        <f t="shared" si="59"/>
        <v>117.78992340951434</v>
      </c>
      <c r="Q125" s="29">
        <f t="shared" si="59"/>
        <v>117.43677323343896</v>
      </c>
      <c r="R125" s="29">
        <f t="shared" si="59"/>
        <v>118.3380198447181</v>
      </c>
    </row>
  </sheetData>
  <mergeCells count="1">
    <mergeCell ref="A11:A1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8"/>
  <sheetViews>
    <sheetView zoomScale="85" zoomScaleNormal="85" workbookViewId="0">
      <selection activeCell="E45" sqref="E45"/>
    </sheetView>
  </sheetViews>
  <sheetFormatPr defaultRowHeight="15" x14ac:dyDescent="0.25"/>
  <cols>
    <col min="1" max="1" width="17" customWidth="1"/>
    <col min="2" max="2" width="9.5703125" bestFit="1" customWidth="1"/>
    <col min="10" max="10" width="13" bestFit="1" customWidth="1"/>
  </cols>
  <sheetData>
    <row r="1" spans="1:49" x14ac:dyDescent="0.25">
      <c r="A1" s="51" t="s">
        <v>176</v>
      </c>
      <c r="B1" s="67" t="s">
        <v>178</v>
      </c>
      <c r="C1" s="67" t="s">
        <v>178</v>
      </c>
      <c r="D1" s="67" t="s">
        <v>178</v>
      </c>
      <c r="E1" s="67" t="s">
        <v>179</v>
      </c>
      <c r="F1" s="67" t="s">
        <v>179</v>
      </c>
      <c r="G1" s="67" t="s">
        <v>179</v>
      </c>
      <c r="H1" s="67" t="s">
        <v>179</v>
      </c>
      <c r="I1" s="67" t="s">
        <v>180</v>
      </c>
      <c r="J1" s="67" t="s">
        <v>180</v>
      </c>
      <c r="K1" s="67" t="s">
        <v>180</v>
      </c>
      <c r="L1" s="67" t="s">
        <v>180</v>
      </c>
      <c r="M1" s="67" t="s">
        <v>180</v>
      </c>
      <c r="N1" s="67" t="s">
        <v>180</v>
      </c>
      <c r="O1" s="67" t="s">
        <v>180</v>
      </c>
      <c r="P1" s="67" t="s">
        <v>180</v>
      </c>
      <c r="Q1" s="67" t="s">
        <v>180</v>
      </c>
    </row>
    <row r="2" spans="1:49" x14ac:dyDescent="0.25">
      <c r="A2" s="51" t="s">
        <v>177</v>
      </c>
      <c r="B2" s="48">
        <v>1</v>
      </c>
      <c r="C2" s="48">
        <v>2</v>
      </c>
      <c r="D2" s="48">
        <v>3</v>
      </c>
      <c r="E2" s="48">
        <v>1</v>
      </c>
      <c r="F2" s="48">
        <v>2</v>
      </c>
      <c r="G2" s="48">
        <v>3</v>
      </c>
      <c r="H2" s="48">
        <v>4</v>
      </c>
      <c r="I2" s="48">
        <v>1</v>
      </c>
      <c r="J2" s="48">
        <v>2</v>
      </c>
      <c r="K2" s="48">
        <v>3</v>
      </c>
      <c r="L2" s="48">
        <v>4</v>
      </c>
      <c r="M2" s="48">
        <v>5</v>
      </c>
      <c r="N2" s="48">
        <v>6</v>
      </c>
      <c r="O2" s="48">
        <v>7</v>
      </c>
      <c r="P2" s="48">
        <v>8</v>
      </c>
      <c r="Q2" s="48">
        <v>9</v>
      </c>
    </row>
    <row r="3" spans="1:49" x14ac:dyDescent="0.25">
      <c r="A3" t="s">
        <v>268</v>
      </c>
      <c r="B3">
        <v>0.47900067669859359</v>
      </c>
      <c r="C3">
        <v>0.46811378844828483</v>
      </c>
      <c r="D3">
        <v>0.45808172356241494</v>
      </c>
      <c r="E3">
        <v>0.47529559385316666</v>
      </c>
      <c r="F3">
        <v>0.47033126449208384</v>
      </c>
      <c r="G3">
        <v>0.47015294272311448</v>
      </c>
      <c r="H3">
        <v>0.46894656799481482</v>
      </c>
      <c r="I3">
        <v>0.4764591091294445</v>
      </c>
      <c r="J3">
        <v>0.47568863010665052</v>
      </c>
      <c r="K3">
        <v>0.47752871352502457</v>
      </c>
      <c r="L3">
        <v>0.47821692604781529</v>
      </c>
      <c r="M3">
        <v>0.47825648024317424</v>
      </c>
      <c r="N3">
        <v>0.47775531907530816</v>
      </c>
      <c r="O3">
        <v>0.47679961177901864</v>
      </c>
      <c r="P3">
        <v>0.47545940968202305</v>
      </c>
      <c r="Q3">
        <v>0.47379176821825258</v>
      </c>
    </row>
    <row r="4" spans="1:49" x14ac:dyDescent="0.25">
      <c r="A4" t="s">
        <v>269</v>
      </c>
      <c r="B4">
        <v>0.48042011091791681</v>
      </c>
      <c r="C4">
        <v>0.46958771615339934</v>
      </c>
      <c r="D4">
        <v>0.46278468406264073</v>
      </c>
      <c r="E4">
        <v>0.47548339534791656</v>
      </c>
      <c r="F4">
        <v>0.47586665793837524</v>
      </c>
      <c r="G4">
        <v>0.47491481668803426</v>
      </c>
      <c r="H4">
        <v>0.4742112219215453</v>
      </c>
      <c r="I4">
        <v>0.47820595791245962</v>
      </c>
      <c r="J4">
        <v>0.48016299797012568</v>
      </c>
      <c r="K4">
        <v>0.48107867975708085</v>
      </c>
      <c r="L4">
        <v>0.48131152463665655</v>
      </c>
      <c r="M4">
        <v>0.48097084907968624</v>
      </c>
      <c r="N4">
        <v>0.48014974960771639</v>
      </c>
      <c r="O4">
        <v>0.4789229453133913</v>
      </c>
      <c r="P4">
        <v>0.47735152766476002</v>
      </c>
      <c r="Q4">
        <v>0.47544335633787582</v>
      </c>
    </row>
    <row r="5" spans="1:49" x14ac:dyDescent="0.25">
      <c r="A5" t="s">
        <v>270</v>
      </c>
      <c r="B5">
        <v>0.49161227749278591</v>
      </c>
      <c r="C5">
        <v>0.4813777803269107</v>
      </c>
      <c r="D5">
        <v>0.47524566239354893</v>
      </c>
      <c r="E5">
        <v>0.4788751022879062</v>
      </c>
      <c r="F5">
        <v>0.4785884370479212</v>
      </c>
      <c r="G5">
        <v>0.47731238965555833</v>
      </c>
      <c r="H5">
        <v>0.47644517142813653</v>
      </c>
      <c r="I5">
        <v>0.4804919931244731</v>
      </c>
      <c r="J5">
        <v>0.48220327420907233</v>
      </c>
      <c r="K5">
        <v>0.48285557863098061</v>
      </c>
      <c r="L5">
        <v>0.48286386351036065</v>
      </c>
      <c r="M5">
        <v>0.48233530954880099</v>
      </c>
      <c r="N5">
        <v>0.48135547675791829</v>
      </c>
      <c r="O5">
        <v>0.47999391998052432</v>
      </c>
      <c r="P5">
        <v>0.47830728964692648</v>
      </c>
      <c r="Q5">
        <v>0.47476109793361737</v>
      </c>
    </row>
    <row r="6" spans="1:49" x14ac:dyDescent="0.25">
      <c r="A6" t="s">
        <v>279</v>
      </c>
      <c r="B6">
        <v>0.60214999999999996</v>
      </c>
      <c r="C6">
        <v>0.58240000000000003</v>
      </c>
      <c r="D6">
        <v>0.56264999999999998</v>
      </c>
      <c r="E6">
        <v>0.56264999999999998</v>
      </c>
      <c r="F6">
        <v>0.55525000000000002</v>
      </c>
      <c r="G6">
        <v>0.54785000000000006</v>
      </c>
      <c r="H6">
        <v>0.5404500000000001</v>
      </c>
      <c r="I6">
        <v>0.54044999999999999</v>
      </c>
      <c r="J6">
        <v>0.53620625</v>
      </c>
      <c r="K6">
        <v>0.5319625</v>
      </c>
      <c r="L6">
        <v>0.52771875000000001</v>
      </c>
      <c r="M6">
        <v>0.52347500000000002</v>
      </c>
      <c r="N6">
        <v>0.51923125000000003</v>
      </c>
      <c r="O6">
        <v>0.51498750000000004</v>
      </c>
      <c r="P6">
        <v>0.51074375000000005</v>
      </c>
      <c r="Q6">
        <v>0.50650000000000006</v>
      </c>
    </row>
    <row r="7" spans="1:49" x14ac:dyDescent="0.25">
      <c r="A7" t="s">
        <v>280</v>
      </c>
      <c r="B7">
        <v>0.60214999999999996</v>
      </c>
      <c r="C7">
        <v>0.58240000000000003</v>
      </c>
      <c r="D7">
        <v>0.56264999999999998</v>
      </c>
      <c r="E7">
        <v>0.56264999999999998</v>
      </c>
      <c r="F7">
        <v>0.55525000000000002</v>
      </c>
      <c r="G7">
        <v>0.54785000000000006</v>
      </c>
      <c r="H7">
        <v>0.5404500000000001</v>
      </c>
      <c r="I7">
        <v>0.54044999999999999</v>
      </c>
      <c r="J7">
        <v>0.53620625</v>
      </c>
      <c r="K7">
        <v>0.5319625</v>
      </c>
      <c r="L7">
        <v>0.52771875000000001</v>
      </c>
      <c r="M7">
        <v>0.52347500000000002</v>
      </c>
      <c r="N7">
        <v>0.51923125000000003</v>
      </c>
      <c r="O7">
        <v>0.51498750000000004</v>
      </c>
      <c r="P7">
        <v>0.51074375000000005</v>
      </c>
      <c r="Q7">
        <v>0.50650000000000006</v>
      </c>
    </row>
    <row r="8" spans="1:49" x14ac:dyDescent="0.25">
      <c r="A8" t="s">
        <v>281</v>
      </c>
      <c r="B8">
        <v>0.60214999999999996</v>
      </c>
      <c r="C8">
        <v>0.58240000000000003</v>
      </c>
      <c r="D8">
        <v>0.56264999999999998</v>
      </c>
      <c r="E8">
        <v>0.56264999999999998</v>
      </c>
      <c r="F8">
        <v>0.55525000000000002</v>
      </c>
      <c r="G8">
        <v>0.54785000000000006</v>
      </c>
      <c r="H8">
        <v>0.5404500000000001</v>
      </c>
      <c r="I8">
        <v>0.54044999999999999</v>
      </c>
      <c r="J8">
        <v>0.53620625</v>
      </c>
      <c r="K8">
        <v>0.5319625</v>
      </c>
      <c r="L8">
        <v>0.52771875000000001</v>
      </c>
      <c r="M8">
        <v>0.52347500000000002</v>
      </c>
      <c r="N8">
        <v>0.51923125000000003</v>
      </c>
      <c r="O8">
        <v>0.51498750000000004</v>
      </c>
      <c r="P8">
        <v>0.51074375000000005</v>
      </c>
      <c r="Q8">
        <v>0.50650000000000006</v>
      </c>
    </row>
    <row r="9" spans="1:49" x14ac:dyDescent="0.25">
      <c r="A9" t="s">
        <v>271</v>
      </c>
      <c r="B9">
        <v>0.72529932330140634</v>
      </c>
      <c r="C9">
        <v>0.69668621155171517</v>
      </c>
      <c r="D9">
        <v>0.66721827643758502</v>
      </c>
      <c r="E9">
        <v>0.6500044061468333</v>
      </c>
      <c r="F9">
        <v>0.6401687355079162</v>
      </c>
      <c r="G9">
        <v>0.62554705727688564</v>
      </c>
      <c r="H9">
        <v>0.61195343200518537</v>
      </c>
      <c r="I9">
        <v>0.60444089087055541</v>
      </c>
      <c r="J9">
        <v>0.59672386989334947</v>
      </c>
      <c r="K9">
        <v>0.58639628647497544</v>
      </c>
      <c r="L9">
        <v>0.57722057395218473</v>
      </c>
      <c r="M9">
        <v>0.5686935197568258</v>
      </c>
      <c r="N9">
        <v>0.56070718092469185</v>
      </c>
      <c r="O9">
        <v>0.55317538822098145</v>
      </c>
      <c r="P9">
        <v>0.54602809031797706</v>
      </c>
      <c r="Q9">
        <v>0.53920823178174759</v>
      </c>
    </row>
    <row r="10" spans="1:49" x14ac:dyDescent="0.25">
      <c r="A10" t="s">
        <v>272</v>
      </c>
      <c r="B10">
        <v>0.72387988908208312</v>
      </c>
      <c r="C10">
        <v>0.69521228384660072</v>
      </c>
      <c r="D10">
        <v>0.66251531593735924</v>
      </c>
      <c r="E10">
        <v>0.64981660465208346</v>
      </c>
      <c r="F10">
        <v>0.63463334206162481</v>
      </c>
      <c r="G10">
        <v>0.62078518331196586</v>
      </c>
      <c r="H10">
        <v>0.60668877807845489</v>
      </c>
      <c r="I10">
        <v>0.6026940420875404</v>
      </c>
      <c r="J10">
        <v>0.59224950202987436</v>
      </c>
      <c r="K10">
        <v>0.58284632024291916</v>
      </c>
      <c r="L10">
        <v>0.57412597536334342</v>
      </c>
      <c r="M10">
        <v>0.56597915092031381</v>
      </c>
      <c r="N10">
        <v>0.55831275039228367</v>
      </c>
      <c r="O10">
        <v>0.55105205468660878</v>
      </c>
      <c r="P10">
        <v>0.54413597233524003</v>
      </c>
      <c r="Q10">
        <v>0.5375566436621243</v>
      </c>
    </row>
    <row r="11" spans="1:49" x14ac:dyDescent="0.25">
      <c r="A11" t="s">
        <v>273</v>
      </c>
      <c r="B11">
        <v>0.71268772250721402</v>
      </c>
      <c r="C11">
        <v>0.68342221967308936</v>
      </c>
      <c r="D11">
        <v>0.65005433760645104</v>
      </c>
      <c r="E11">
        <v>0.64642489771209377</v>
      </c>
      <c r="F11">
        <v>0.63191156295207884</v>
      </c>
      <c r="G11">
        <v>0.61838761034444178</v>
      </c>
      <c r="H11">
        <v>0.60445482857186372</v>
      </c>
      <c r="I11">
        <v>0.60040800687552687</v>
      </c>
      <c r="J11">
        <v>0.59020922579092772</v>
      </c>
      <c r="K11">
        <v>0.5810694213690194</v>
      </c>
      <c r="L11">
        <v>0.57257363648963933</v>
      </c>
      <c r="M11">
        <v>0.56461469045119905</v>
      </c>
      <c r="N11">
        <v>0.55710702324208172</v>
      </c>
      <c r="O11">
        <v>0.54998108001947577</v>
      </c>
      <c r="P11">
        <v>0.54318021035307362</v>
      </c>
      <c r="Q11">
        <v>0.5382389020663827</v>
      </c>
    </row>
    <row r="15" spans="1:49" x14ac:dyDescent="0.25">
      <c r="B15" t="s">
        <v>201</v>
      </c>
      <c r="E15" t="s">
        <v>202</v>
      </c>
      <c r="H15" t="s">
        <v>203</v>
      </c>
      <c r="K15" t="s">
        <v>204</v>
      </c>
      <c r="N15" t="s">
        <v>205</v>
      </c>
      <c r="Q15" t="s">
        <v>206</v>
      </c>
      <c r="T15" t="s">
        <v>207</v>
      </c>
      <c r="W15" t="s">
        <v>208</v>
      </c>
      <c r="Z15" t="s">
        <v>209</v>
      </c>
      <c r="AC15" t="s">
        <v>210</v>
      </c>
      <c r="AF15" t="s">
        <v>211</v>
      </c>
      <c r="AI15" t="s">
        <v>212</v>
      </c>
      <c r="AL15" t="s">
        <v>213</v>
      </c>
      <c r="AO15" t="s">
        <v>214</v>
      </c>
      <c r="AR15" t="s">
        <v>215</v>
      </c>
      <c r="AU15" t="s">
        <v>216</v>
      </c>
    </row>
    <row r="16" spans="1:49" x14ac:dyDescent="0.25">
      <c r="B16">
        <v>1</v>
      </c>
      <c r="C16">
        <v>2</v>
      </c>
      <c r="D16">
        <v>3</v>
      </c>
      <c r="E16">
        <v>1</v>
      </c>
      <c r="F16">
        <v>2</v>
      </c>
      <c r="G16">
        <v>3</v>
      </c>
      <c r="H16">
        <v>1</v>
      </c>
      <c r="I16">
        <v>2</v>
      </c>
      <c r="J16">
        <v>3</v>
      </c>
      <c r="K16">
        <v>1</v>
      </c>
      <c r="L16">
        <v>2</v>
      </c>
      <c r="M16">
        <v>3</v>
      </c>
      <c r="N16">
        <v>1</v>
      </c>
      <c r="O16">
        <v>2</v>
      </c>
      <c r="P16">
        <v>3</v>
      </c>
      <c r="Q16">
        <v>1</v>
      </c>
      <c r="R16">
        <v>2</v>
      </c>
      <c r="S16">
        <v>3</v>
      </c>
      <c r="T16">
        <v>1</v>
      </c>
      <c r="U16">
        <v>2</v>
      </c>
      <c r="V16">
        <v>3</v>
      </c>
      <c r="W16">
        <v>1</v>
      </c>
      <c r="X16">
        <v>2</v>
      </c>
      <c r="Y16">
        <v>3</v>
      </c>
      <c r="Z16">
        <v>1</v>
      </c>
      <c r="AA16">
        <v>2</v>
      </c>
      <c r="AB16">
        <v>3</v>
      </c>
      <c r="AC16">
        <v>1</v>
      </c>
      <c r="AD16">
        <v>2</v>
      </c>
      <c r="AE16">
        <v>3</v>
      </c>
      <c r="AF16">
        <v>1</v>
      </c>
      <c r="AG16">
        <v>2</v>
      </c>
      <c r="AH16">
        <v>3</v>
      </c>
      <c r="AI16">
        <v>1</v>
      </c>
      <c r="AJ16">
        <v>2</v>
      </c>
      <c r="AK16">
        <v>3</v>
      </c>
      <c r="AL16">
        <v>1</v>
      </c>
      <c r="AM16">
        <v>2</v>
      </c>
      <c r="AN16">
        <v>3</v>
      </c>
      <c r="AO16">
        <v>1</v>
      </c>
      <c r="AP16">
        <v>2</v>
      </c>
      <c r="AQ16">
        <v>3</v>
      </c>
      <c r="AR16">
        <v>1</v>
      </c>
      <c r="AS16">
        <v>2</v>
      </c>
      <c r="AT16">
        <v>3</v>
      </c>
      <c r="AU16">
        <v>1</v>
      </c>
      <c r="AV16">
        <v>2</v>
      </c>
      <c r="AW16">
        <v>3</v>
      </c>
    </row>
    <row r="17" spans="1:49" x14ac:dyDescent="0.25">
      <c r="A17" t="s">
        <v>285</v>
      </c>
      <c r="B17" s="1">
        <v>0.47900067669859359</v>
      </c>
      <c r="C17" s="1">
        <v>0.48042011091791681</v>
      </c>
      <c r="D17">
        <v>0.49161227749278591</v>
      </c>
      <c r="E17">
        <v>0.46811378844828483</v>
      </c>
      <c r="F17" s="1">
        <v>0.46958771615339934</v>
      </c>
      <c r="G17">
        <v>0.4813777803269107</v>
      </c>
      <c r="H17">
        <v>0.45808172356241494</v>
      </c>
      <c r="I17" s="1">
        <v>0.46278468406264073</v>
      </c>
      <c r="J17">
        <v>0.47524566239354893</v>
      </c>
      <c r="K17">
        <v>0.47529559385316666</v>
      </c>
      <c r="L17" s="1">
        <v>0.47548339534791656</v>
      </c>
      <c r="M17">
        <v>0.4788751022879062</v>
      </c>
      <c r="N17">
        <v>0.47033126449208384</v>
      </c>
      <c r="O17" s="1">
        <v>0.47586665793837524</v>
      </c>
      <c r="P17">
        <v>0.4785884370479212</v>
      </c>
      <c r="Q17">
        <v>0.47015294272311448</v>
      </c>
      <c r="R17" s="1">
        <v>0.47491481668803426</v>
      </c>
      <c r="S17">
        <v>0.47731238965555833</v>
      </c>
      <c r="T17">
        <v>0.46894656799481482</v>
      </c>
      <c r="U17" s="1">
        <v>0.4742112219215453</v>
      </c>
      <c r="V17">
        <v>0.47644517142813653</v>
      </c>
      <c r="W17">
        <v>0.4764591091294445</v>
      </c>
      <c r="X17" s="1">
        <v>0.47820595791245962</v>
      </c>
      <c r="Y17">
        <v>0.4804919931244731</v>
      </c>
      <c r="Z17">
        <v>0.47568863010665052</v>
      </c>
      <c r="AA17" s="1">
        <v>0.48016299797012568</v>
      </c>
      <c r="AB17">
        <v>0.48220327420907233</v>
      </c>
      <c r="AC17">
        <v>0.47752871352502457</v>
      </c>
      <c r="AD17" s="1">
        <v>0.48107867975708085</v>
      </c>
      <c r="AE17">
        <v>0.48285557863098061</v>
      </c>
      <c r="AF17">
        <v>0.47821692604781529</v>
      </c>
      <c r="AG17" s="1">
        <v>0.48131152463665655</v>
      </c>
      <c r="AH17">
        <v>0.48286386351036065</v>
      </c>
      <c r="AI17">
        <v>0.47825648024317424</v>
      </c>
      <c r="AJ17" s="1">
        <v>0.48097084907968624</v>
      </c>
      <c r="AK17">
        <v>0.48233530954880099</v>
      </c>
      <c r="AL17">
        <v>0.47775531907530816</v>
      </c>
      <c r="AM17" s="1">
        <v>0.48014974960771639</v>
      </c>
      <c r="AN17">
        <v>0.48135547675791829</v>
      </c>
      <c r="AO17">
        <v>0.47679961177901864</v>
      </c>
      <c r="AP17" s="1">
        <v>0.4789229453133913</v>
      </c>
      <c r="AQ17">
        <v>0.47999391998052432</v>
      </c>
      <c r="AR17">
        <v>0.47545940968202305</v>
      </c>
      <c r="AS17" s="1">
        <v>0.47735152766476002</v>
      </c>
      <c r="AT17">
        <v>0.47830728964692648</v>
      </c>
      <c r="AU17">
        <v>0.47379176821825258</v>
      </c>
      <c r="AV17" s="1">
        <v>0.47544335633787582</v>
      </c>
      <c r="AW17" s="1">
        <v>0.47476109793361737</v>
      </c>
    </row>
    <row r="18" spans="1:49" x14ac:dyDescent="0.25">
      <c r="A18" t="s">
        <v>286</v>
      </c>
      <c r="B18" s="1">
        <v>0.60214999999999996</v>
      </c>
      <c r="C18" s="1">
        <v>0.60214999999999996</v>
      </c>
      <c r="D18">
        <v>0.60214999999999996</v>
      </c>
      <c r="E18">
        <v>0.58240000000000003</v>
      </c>
      <c r="F18" s="1">
        <v>0.58240000000000003</v>
      </c>
      <c r="G18">
        <v>0.58240000000000003</v>
      </c>
      <c r="H18">
        <v>0.56264999999999998</v>
      </c>
      <c r="I18" s="1">
        <v>0.56264999999999998</v>
      </c>
      <c r="J18">
        <v>0.56264999999999998</v>
      </c>
      <c r="K18">
        <v>0.56264999999999998</v>
      </c>
      <c r="L18" s="1">
        <v>0.56264999999999998</v>
      </c>
      <c r="M18">
        <v>0.56264999999999998</v>
      </c>
      <c r="N18">
        <v>0.55525000000000002</v>
      </c>
      <c r="O18" s="1">
        <v>0.55525000000000002</v>
      </c>
      <c r="P18">
        <v>0.55525000000000002</v>
      </c>
      <c r="Q18">
        <v>0.54785000000000006</v>
      </c>
      <c r="R18" s="1">
        <v>0.54785000000000006</v>
      </c>
      <c r="S18">
        <v>0.54785000000000006</v>
      </c>
      <c r="T18">
        <v>0.5404500000000001</v>
      </c>
      <c r="U18" s="1">
        <v>0.5404500000000001</v>
      </c>
      <c r="V18">
        <v>0.5404500000000001</v>
      </c>
      <c r="W18">
        <v>0.54044999999999999</v>
      </c>
      <c r="X18" s="1">
        <v>0.54044999999999999</v>
      </c>
      <c r="Y18">
        <v>0.54044999999999999</v>
      </c>
      <c r="Z18">
        <v>0.53620625</v>
      </c>
      <c r="AA18" s="1">
        <v>0.53620625</v>
      </c>
      <c r="AB18">
        <v>0.53620625</v>
      </c>
      <c r="AC18">
        <v>0.5319625</v>
      </c>
      <c r="AD18" s="1">
        <v>0.5319625</v>
      </c>
      <c r="AE18">
        <v>0.5319625</v>
      </c>
      <c r="AF18">
        <v>0.52771875000000001</v>
      </c>
      <c r="AG18" s="1">
        <v>0.52771875000000001</v>
      </c>
      <c r="AH18">
        <v>0.52771875000000001</v>
      </c>
      <c r="AI18">
        <v>0.52347500000000002</v>
      </c>
      <c r="AJ18" s="1">
        <v>0.52347500000000002</v>
      </c>
      <c r="AK18">
        <v>0.52347500000000002</v>
      </c>
      <c r="AL18">
        <v>0.51923125000000003</v>
      </c>
      <c r="AM18" s="1">
        <v>0.51923125000000003</v>
      </c>
      <c r="AN18">
        <v>0.51923125000000003</v>
      </c>
      <c r="AO18">
        <v>0.51498750000000004</v>
      </c>
      <c r="AP18" s="1">
        <v>0.51498750000000004</v>
      </c>
      <c r="AQ18">
        <v>0.51498750000000004</v>
      </c>
      <c r="AR18">
        <v>0.51074375000000005</v>
      </c>
      <c r="AS18" s="1">
        <v>0.51074375000000005</v>
      </c>
      <c r="AT18">
        <v>0.51074375000000005</v>
      </c>
      <c r="AU18">
        <v>0.50650000000000006</v>
      </c>
      <c r="AV18" s="1">
        <v>0.50650000000000006</v>
      </c>
      <c r="AW18" s="1">
        <v>0.50650000000000006</v>
      </c>
    </row>
    <row r="19" spans="1:49" x14ac:dyDescent="0.25">
      <c r="A19" t="s">
        <v>287</v>
      </c>
      <c r="B19" s="1">
        <v>0.72529932330140634</v>
      </c>
      <c r="C19" s="1">
        <v>0.72387988908208312</v>
      </c>
      <c r="D19">
        <v>0.71268772250721402</v>
      </c>
      <c r="E19">
        <v>0.69668621155171517</v>
      </c>
      <c r="F19" s="1">
        <v>0.69521228384660072</v>
      </c>
      <c r="G19">
        <v>0.68342221967308936</v>
      </c>
      <c r="H19">
        <v>0.66721827643758502</v>
      </c>
      <c r="I19" s="1">
        <v>0.66251531593735924</v>
      </c>
      <c r="J19">
        <v>0.65005433760645104</v>
      </c>
      <c r="K19">
        <v>0.6500044061468333</v>
      </c>
      <c r="L19" s="1">
        <v>0.64981660465208346</v>
      </c>
      <c r="M19">
        <v>0.64642489771209377</v>
      </c>
      <c r="N19">
        <v>0.6401687355079162</v>
      </c>
      <c r="O19" s="1">
        <v>0.63463334206162481</v>
      </c>
      <c r="P19">
        <v>0.63191156295207884</v>
      </c>
      <c r="Q19">
        <v>0.62554705727688564</v>
      </c>
      <c r="R19" s="1">
        <v>0.62078518331196586</v>
      </c>
      <c r="S19">
        <v>0.61838761034444178</v>
      </c>
      <c r="T19">
        <v>0.61195343200518537</v>
      </c>
      <c r="U19" s="1">
        <v>0.60668877807845489</v>
      </c>
      <c r="V19">
        <v>0.60445482857186372</v>
      </c>
      <c r="W19">
        <v>0.60444089087055541</v>
      </c>
      <c r="X19" s="1">
        <v>0.6026940420875404</v>
      </c>
      <c r="Y19">
        <v>0.60040800687552687</v>
      </c>
      <c r="Z19">
        <v>0.59672386989334947</v>
      </c>
      <c r="AA19" s="1">
        <v>0.59224950202987436</v>
      </c>
      <c r="AB19">
        <v>0.59020922579092772</v>
      </c>
      <c r="AC19">
        <v>0.58639628647497544</v>
      </c>
      <c r="AD19" s="1">
        <v>0.58284632024291916</v>
      </c>
      <c r="AE19">
        <v>0.5810694213690194</v>
      </c>
      <c r="AF19">
        <v>0.57722057395218473</v>
      </c>
      <c r="AG19" s="1">
        <v>0.57412597536334342</v>
      </c>
      <c r="AH19">
        <v>0.57257363648963933</v>
      </c>
      <c r="AI19">
        <v>0.5686935197568258</v>
      </c>
      <c r="AJ19" s="1">
        <v>0.56597915092031381</v>
      </c>
      <c r="AK19">
        <v>0.56461469045119905</v>
      </c>
      <c r="AL19">
        <v>0.56070718092469185</v>
      </c>
      <c r="AM19" s="1">
        <v>0.55831275039228367</v>
      </c>
      <c r="AN19">
        <v>0.55710702324208172</v>
      </c>
      <c r="AO19">
        <v>0.55317538822098145</v>
      </c>
      <c r="AP19" s="1">
        <v>0.55105205468660878</v>
      </c>
      <c r="AQ19">
        <v>0.54998108001947577</v>
      </c>
      <c r="AR19">
        <v>0.54602809031797706</v>
      </c>
      <c r="AS19" s="1">
        <v>0.54413597233524003</v>
      </c>
      <c r="AT19">
        <v>0.54318021035307362</v>
      </c>
      <c r="AU19">
        <v>0.53920823178174759</v>
      </c>
      <c r="AV19" s="1">
        <v>0.5375566436621243</v>
      </c>
      <c r="AW19" s="1">
        <v>0.5382389020663827</v>
      </c>
    </row>
    <row r="20" spans="1:49" s="83" customFormat="1" x14ac:dyDescent="0.25">
      <c r="B20" s="83">
        <v>0.33333333333333331</v>
      </c>
      <c r="C20" s="83">
        <v>0.66666666666666663</v>
      </c>
      <c r="D20" s="83">
        <v>1</v>
      </c>
      <c r="E20" s="83">
        <v>1.3333333333333333</v>
      </c>
      <c r="F20" s="83">
        <v>1.6666666666666665</v>
      </c>
      <c r="G20" s="83">
        <v>2</v>
      </c>
      <c r="H20" s="83">
        <v>2.333333333333333</v>
      </c>
      <c r="I20" s="83">
        <v>2.6666666666666665</v>
      </c>
      <c r="J20" s="83">
        <v>3</v>
      </c>
      <c r="K20" s="83">
        <v>3.333333333333333</v>
      </c>
      <c r="L20" s="83">
        <v>3.6666666666666665</v>
      </c>
      <c r="M20" s="83">
        <v>4</v>
      </c>
      <c r="N20" s="83">
        <v>4.333333333333333</v>
      </c>
      <c r="O20" s="83">
        <v>4.6666666666666661</v>
      </c>
      <c r="P20" s="83">
        <v>5</v>
      </c>
      <c r="Q20" s="83">
        <v>5.333333333333333</v>
      </c>
      <c r="R20" s="83">
        <v>5.6666666666666661</v>
      </c>
      <c r="S20" s="83">
        <v>6</v>
      </c>
      <c r="T20" s="83">
        <v>6.333333333333333</v>
      </c>
      <c r="U20" s="83">
        <v>6.6666666666666661</v>
      </c>
      <c r="V20" s="83">
        <v>7</v>
      </c>
      <c r="W20" s="83">
        <v>7.333333333333333</v>
      </c>
      <c r="X20" s="83">
        <v>7.6666666666666661</v>
      </c>
      <c r="Y20" s="83">
        <v>8</v>
      </c>
      <c r="Z20" s="83">
        <v>8.3333333333333321</v>
      </c>
      <c r="AA20" s="83">
        <v>8.6666666666666661</v>
      </c>
      <c r="AB20" s="83">
        <v>9</v>
      </c>
      <c r="AC20" s="83">
        <v>9.3333333333333321</v>
      </c>
      <c r="AD20" s="83">
        <v>9.6666666666666661</v>
      </c>
      <c r="AE20" s="83">
        <v>10</v>
      </c>
      <c r="AF20" s="83">
        <v>10.333333333333332</v>
      </c>
      <c r="AG20" s="83">
        <v>10.666666666666666</v>
      </c>
      <c r="AH20" s="83">
        <v>11</v>
      </c>
      <c r="AI20" s="83">
        <v>11.333333333333332</v>
      </c>
      <c r="AJ20" s="83">
        <v>11.666666666666666</v>
      </c>
      <c r="AK20" s="83">
        <v>12</v>
      </c>
      <c r="AL20" s="83">
        <v>12.333333333333332</v>
      </c>
      <c r="AM20" s="83">
        <v>12.666666666666666</v>
      </c>
      <c r="AN20" s="83">
        <v>13</v>
      </c>
      <c r="AO20" s="83">
        <v>13.333333333333332</v>
      </c>
      <c r="AP20" s="83">
        <v>13.666666666666666</v>
      </c>
      <c r="AQ20" s="83">
        <v>14</v>
      </c>
      <c r="AR20" s="83">
        <v>14.333333333333332</v>
      </c>
      <c r="AS20" s="83">
        <v>14.666666666666666</v>
      </c>
      <c r="AT20" s="83">
        <v>15</v>
      </c>
      <c r="AU20" s="83">
        <v>15.333333333333332</v>
      </c>
      <c r="AV20" s="83">
        <v>15.666666666666666</v>
      </c>
      <c r="AW20" s="83">
        <v>16</v>
      </c>
    </row>
    <row r="21" spans="1:49" hidden="1" x14ac:dyDescent="0.25">
      <c r="B21" s="17"/>
    </row>
    <row r="22" spans="1:49" hidden="1" x14ac:dyDescent="0.25">
      <c r="B22" s="17"/>
      <c r="D22">
        <f>(D17-E17)</f>
        <v>2.3498489044501081E-2</v>
      </c>
      <c r="G22">
        <f t="shared" ref="G22:AW22" si="0">(G17-H17)</f>
        <v>2.3296056764495754E-2</v>
      </c>
      <c r="J22">
        <f>(J17-K17)</f>
        <v>-4.9931459617735818E-5</v>
      </c>
      <c r="M22">
        <f t="shared" si="0"/>
        <v>8.543837795822351E-3</v>
      </c>
      <c r="P22">
        <f t="shared" si="0"/>
        <v>8.4354943248067249E-3</v>
      </c>
      <c r="S22">
        <f t="shared" si="0"/>
        <v>8.365821660743511E-3</v>
      </c>
      <c r="V22">
        <f t="shared" si="0"/>
        <v>-1.3937701307975559E-5</v>
      </c>
      <c r="Y22">
        <f t="shared" si="0"/>
        <v>4.8033630178225817E-3</v>
      </c>
      <c r="AB22">
        <f t="shared" si="0"/>
        <v>4.6745606840477572E-3</v>
      </c>
      <c r="AE22">
        <f t="shared" si="0"/>
        <v>4.6386525831653147E-3</v>
      </c>
      <c r="AH22">
        <f t="shared" si="0"/>
        <v>4.6073832671864046E-3</v>
      </c>
      <c r="AK22">
        <f t="shared" si="0"/>
        <v>4.5799904734928343E-3</v>
      </c>
      <c r="AN22">
        <f t="shared" si="0"/>
        <v>4.5558649788996486E-3</v>
      </c>
      <c r="AQ22">
        <f t="shared" si="0"/>
        <v>4.5345102985012709E-3</v>
      </c>
      <c r="AT22">
        <f t="shared" si="0"/>
        <v>4.5155214286738965E-3</v>
      </c>
      <c r="AW22">
        <f t="shared" si="0"/>
        <v>0.47476109793361737</v>
      </c>
    </row>
    <row r="23" spans="1:49" hidden="1" x14ac:dyDescent="0.25">
      <c r="B23" s="17"/>
    </row>
    <row r="24" spans="1:49" x14ac:dyDescent="0.25">
      <c r="A24" t="s">
        <v>292</v>
      </c>
      <c r="B24" s="69">
        <f>B17</f>
        <v>0.47900067669859359</v>
      </c>
      <c r="C24" s="72">
        <f>C17</f>
        <v>0.48042011091791681</v>
      </c>
      <c r="D24" s="18">
        <f>D17-D22/2</f>
        <v>0.47986303297053534</v>
      </c>
      <c r="E24" s="18">
        <f>E17+D22/2</f>
        <v>0.47986303297053534</v>
      </c>
      <c r="F24" s="72">
        <f>F17</f>
        <v>0.46958771615339934</v>
      </c>
      <c r="G24" s="18">
        <f>G17-G22/2</f>
        <v>0.46972975194466282</v>
      </c>
      <c r="H24" s="18">
        <f>H17+G22/2</f>
        <v>0.46972975194466282</v>
      </c>
      <c r="I24" s="72">
        <f>I17</f>
        <v>0.46278468406264073</v>
      </c>
      <c r="J24" s="18">
        <f>J17-J22/2</f>
        <v>0.4752706281233578</v>
      </c>
      <c r="K24" s="18">
        <f>K17+J22/2</f>
        <v>0.4752706281233578</v>
      </c>
      <c r="L24" s="72">
        <f>L17</f>
        <v>0.47548339534791656</v>
      </c>
      <c r="M24" s="18">
        <f>M17-M22/2</f>
        <v>0.47460318338999502</v>
      </c>
      <c r="N24" s="18">
        <f>N17+M22/2</f>
        <v>0.47460318338999502</v>
      </c>
      <c r="O24" s="72">
        <f>O17</f>
        <v>0.47586665793837524</v>
      </c>
      <c r="P24" s="18">
        <f>P17-P22/2</f>
        <v>0.47437068988551784</v>
      </c>
      <c r="Q24" s="18">
        <f>Q17+P22/2</f>
        <v>0.47437068988551784</v>
      </c>
      <c r="R24" s="72">
        <f>R17</f>
        <v>0.47491481668803426</v>
      </c>
      <c r="S24" s="18">
        <f>S17-S22/2</f>
        <v>0.47312947882518658</v>
      </c>
      <c r="T24" s="18">
        <f>T17+S22/2</f>
        <v>0.47312947882518658</v>
      </c>
      <c r="U24" s="72">
        <f>U17</f>
        <v>0.4742112219215453</v>
      </c>
      <c r="V24" s="18">
        <f>V17-V22/2</f>
        <v>0.47645214027879051</v>
      </c>
      <c r="W24" s="19">
        <f>W17+V22/2</f>
        <v>0.47645214027879051</v>
      </c>
      <c r="X24" s="70">
        <f>X17</f>
        <v>0.47820595791245962</v>
      </c>
      <c r="Y24" s="71">
        <f>Y17-Y22/2</f>
        <v>0.47809031161556181</v>
      </c>
      <c r="Z24" s="19">
        <f>Z17+Y22/2</f>
        <v>0.47809031161556181</v>
      </c>
      <c r="AA24" s="72">
        <f>AA17</f>
        <v>0.48016299797012568</v>
      </c>
      <c r="AB24" s="18">
        <f>AB17-AB22/2</f>
        <v>0.47986599386704842</v>
      </c>
      <c r="AC24" s="18">
        <f>AC17+AB22/2</f>
        <v>0.47986599386704842</v>
      </c>
      <c r="AD24" s="72">
        <f>AD17</f>
        <v>0.48107867975708085</v>
      </c>
      <c r="AE24" s="18">
        <f>AE17-AE22/2</f>
        <v>0.48053625233939795</v>
      </c>
      <c r="AF24" s="19">
        <f>AF17+AE22/2</f>
        <v>0.48053625233939795</v>
      </c>
      <c r="AG24" s="70">
        <f>AG17</f>
        <v>0.48131152463665655</v>
      </c>
      <c r="AH24" s="71">
        <f>AH17-AH22/2</f>
        <v>0.48056017187676747</v>
      </c>
      <c r="AI24" s="19">
        <f>AI17+AH22/2</f>
        <v>0.48056017187676747</v>
      </c>
      <c r="AJ24" s="70">
        <f>AJ17</f>
        <v>0.48097084907968624</v>
      </c>
      <c r="AK24" s="71">
        <f>AK17-AK22/2</f>
        <v>0.48004531431205455</v>
      </c>
      <c r="AL24" s="19">
        <f>AL17+AK22/2</f>
        <v>0.48004531431205455</v>
      </c>
      <c r="AM24" s="70">
        <f>AM17</f>
        <v>0.48014974960771639</v>
      </c>
      <c r="AN24" s="71">
        <f>AN17-AN22/2</f>
        <v>0.47907754426846849</v>
      </c>
      <c r="AO24" s="19">
        <f>AO17+AN22/2</f>
        <v>0.47907754426846849</v>
      </c>
      <c r="AP24" s="73">
        <f>AP17</f>
        <v>0.4789229453133913</v>
      </c>
      <c r="AQ24" s="74">
        <f>AQ17-AQ22/2</f>
        <v>0.47772666483127368</v>
      </c>
      <c r="AR24" s="19">
        <f>AR17+AQ22/2</f>
        <v>0.47772666483127368</v>
      </c>
      <c r="AS24" s="73">
        <f>AS17</f>
        <v>0.47735152766476002</v>
      </c>
      <c r="AT24" s="74">
        <f>AT17-AT22/2</f>
        <v>0.47604952893258956</v>
      </c>
      <c r="AU24" s="19">
        <f>AU17+AT22/2</f>
        <v>0.47604952893258956</v>
      </c>
      <c r="AV24" s="73">
        <f>AV17</f>
        <v>0.47544335633787582</v>
      </c>
      <c r="AW24" s="73">
        <f>AW17</f>
        <v>0.47476109793361737</v>
      </c>
    </row>
    <row r="25" spans="1:49" x14ac:dyDescent="0.25">
      <c r="B25" s="1"/>
      <c r="C25" s="1"/>
      <c r="F25" s="1"/>
      <c r="I25" s="1"/>
      <c r="L25" s="1"/>
      <c r="O25" s="1"/>
      <c r="R25" s="1"/>
      <c r="U25" s="1"/>
      <c r="X25" s="1"/>
      <c r="AA25" s="1"/>
      <c r="AD25" s="1"/>
      <c r="AG25" s="1"/>
      <c r="AJ25" s="1"/>
      <c r="AM25" s="1"/>
      <c r="AP25" s="1"/>
      <c r="AS25" s="1"/>
      <c r="AV25" s="1"/>
      <c r="AW25" s="1"/>
    </row>
    <row r="26" spans="1:49" x14ac:dyDescent="0.25">
      <c r="A26" t="s">
        <v>233</v>
      </c>
      <c r="B26" s="17">
        <v>64.645014652284644</v>
      </c>
      <c r="C26">
        <v>64.645014652284644</v>
      </c>
      <c r="D26">
        <v>49.836730023842485</v>
      </c>
      <c r="E26">
        <v>49.432545015128468</v>
      </c>
      <c r="F26">
        <v>38.128638493914551</v>
      </c>
      <c r="G26">
        <v>38.374567855172891</v>
      </c>
      <c r="H26">
        <v>38.592453799009085</v>
      </c>
      <c r="I26">
        <v>44.488109896811942</v>
      </c>
      <c r="J26">
        <v>36.900125161688365</v>
      </c>
      <c r="K26">
        <v>37.182361988085248</v>
      </c>
      <c r="L26">
        <v>37.28420097692878</v>
      </c>
      <c r="M26">
        <v>37.385564272049358</v>
      </c>
      <c r="N26">
        <v>37.48641801746124</v>
      </c>
      <c r="O26">
        <v>37.586727157650621</v>
      </c>
      <c r="P26">
        <v>37.686455395710141</v>
      </c>
      <c r="Q26">
        <v>37.785565149873378</v>
      </c>
    </row>
    <row r="27" spans="1:49" x14ac:dyDescent="0.25">
      <c r="A27" t="s">
        <v>234</v>
      </c>
      <c r="B27" s="17">
        <v>90</v>
      </c>
      <c r="C27">
        <v>78.355803598312335</v>
      </c>
      <c r="D27">
        <v>81.003236187389476</v>
      </c>
      <c r="E27">
        <v>52.941115942538183</v>
      </c>
      <c r="F27">
        <v>53.510957045817882</v>
      </c>
      <c r="G27">
        <v>54.141077340310936</v>
      </c>
      <c r="H27">
        <v>65.14892351017788</v>
      </c>
      <c r="I27">
        <v>58.312639081595208</v>
      </c>
      <c r="J27">
        <v>58.384977792993638</v>
      </c>
      <c r="K27">
        <v>58.821397870674502</v>
      </c>
      <c r="L27">
        <v>59.263781112794469</v>
      </c>
      <c r="M27">
        <v>59.712231143290197</v>
      </c>
      <c r="N27">
        <v>60.16685323680332</v>
      </c>
      <c r="O27">
        <v>60.627754312607024</v>
      </c>
      <c r="P27">
        <v>61.095042925315781</v>
      </c>
      <c r="Q27">
        <v>60.182908396806937</v>
      </c>
    </row>
    <row r="28" spans="1:49" x14ac:dyDescent="0.25">
      <c r="A28" t="s">
        <v>288</v>
      </c>
      <c r="B28" s="17">
        <f>B26/180*3.14</f>
        <v>1.1276963667120767</v>
      </c>
      <c r="C28" s="17">
        <f t="shared" ref="C28:P29" si="1">C26/180*3.14</f>
        <v>1.1276963667120767</v>
      </c>
      <c r="D28" s="17">
        <f t="shared" si="1"/>
        <v>0.86937406819369667</v>
      </c>
      <c r="E28" s="17">
        <f t="shared" si="1"/>
        <v>0.86232328526390767</v>
      </c>
      <c r="F28" s="17">
        <f t="shared" si="1"/>
        <v>0.66513291594939827</v>
      </c>
      <c r="G28" s="17">
        <f t="shared" si="1"/>
        <v>0.6694230170291271</v>
      </c>
      <c r="H28" s="17">
        <f t="shared" si="1"/>
        <v>0.67322391627160294</v>
      </c>
      <c r="I28" s="17">
        <f t="shared" si="1"/>
        <v>0.77607036153327502</v>
      </c>
      <c r="J28" s="17">
        <f t="shared" si="1"/>
        <v>0.64370218337611929</v>
      </c>
      <c r="K28" s="17">
        <f t="shared" si="1"/>
        <v>0.64862564801437605</v>
      </c>
      <c r="L28" s="17">
        <f t="shared" si="1"/>
        <v>0.65040217259753541</v>
      </c>
      <c r="M28" s="17">
        <f t="shared" si="1"/>
        <v>0.65217039896797213</v>
      </c>
      <c r="N28" s="17">
        <f t="shared" si="1"/>
        <v>0.65392973652682385</v>
      </c>
      <c r="O28" s="17">
        <f t="shared" si="1"/>
        <v>0.65567957375012753</v>
      </c>
      <c r="P28" s="17">
        <f t="shared" si="1"/>
        <v>0.65741927745849915</v>
      </c>
      <c r="Q28" s="17">
        <f>Q26/180*3.14</f>
        <v>0.65914819205890229</v>
      </c>
    </row>
    <row r="29" spans="1:49" x14ac:dyDescent="0.25">
      <c r="A29" t="s">
        <v>289</v>
      </c>
      <c r="B29" s="17">
        <f>B27/180*3.14</f>
        <v>1.57</v>
      </c>
      <c r="C29" s="17">
        <f t="shared" si="1"/>
        <v>1.3668734627705597</v>
      </c>
      <c r="D29" s="17">
        <f t="shared" si="1"/>
        <v>1.4130564534911276</v>
      </c>
      <c r="E29" s="17">
        <f t="shared" si="1"/>
        <v>0.92352835588649951</v>
      </c>
      <c r="F29" s="17">
        <f t="shared" si="1"/>
        <v>0.93346891735482307</v>
      </c>
      <c r="G29" s="17">
        <f t="shared" si="1"/>
        <v>0.94446101582542419</v>
      </c>
      <c r="H29" s="17">
        <f t="shared" si="1"/>
        <v>1.1364867767886586</v>
      </c>
      <c r="I29" s="17">
        <f t="shared" si="1"/>
        <v>1.0172315928678275</v>
      </c>
      <c r="J29" s="17">
        <f t="shared" si="1"/>
        <v>1.0184935015000001</v>
      </c>
      <c r="K29" s="17">
        <f t="shared" si="1"/>
        <v>1.0261066072995442</v>
      </c>
      <c r="L29" s="17">
        <f t="shared" si="1"/>
        <v>1.0338237371898591</v>
      </c>
      <c r="M29" s="17">
        <f t="shared" si="1"/>
        <v>1.0416466988329514</v>
      </c>
      <c r="N29" s="17">
        <f t="shared" si="1"/>
        <v>1.0495773286864578</v>
      </c>
      <c r="O29" s="17">
        <f t="shared" si="1"/>
        <v>1.0576174918977004</v>
      </c>
      <c r="P29" s="17">
        <f t="shared" si="1"/>
        <v>1.0657690821416197</v>
      </c>
      <c r="Q29" s="17">
        <f>Q27/180*3.14</f>
        <v>1.0498574020331877</v>
      </c>
    </row>
    <row r="30" spans="1:49" x14ac:dyDescent="0.25">
      <c r="A30" t="s">
        <v>274</v>
      </c>
      <c r="B30" s="17">
        <v>8.2099548867604302E-2</v>
      </c>
      <c r="C30">
        <v>7.6190807701143462E-2</v>
      </c>
      <c r="D30">
        <v>6.971218429172335E-2</v>
      </c>
      <c r="E30">
        <v>5.8236270764555537E-2</v>
      </c>
      <c r="F30">
        <v>5.6612490338610801E-2</v>
      </c>
      <c r="G30">
        <v>5.1798038184590375E-2</v>
      </c>
      <c r="H30">
        <v>4.7668954670123526E-2</v>
      </c>
      <c r="I30">
        <v>4.2660593913703651E-2</v>
      </c>
      <c r="J30">
        <v>4.0345079928899644E-2</v>
      </c>
      <c r="K30">
        <v>3.6289190983316948E-2</v>
      </c>
      <c r="L30">
        <v>3.3001215968123165E-2</v>
      </c>
      <c r="M30">
        <v>3.014567983788384E-2</v>
      </c>
      <c r="N30">
        <v>2.7650620616461234E-2</v>
      </c>
      <c r="O30">
        <v>2.5458592147320915E-2</v>
      </c>
      <c r="P30">
        <v>2.3522893545317995E-2</v>
      </c>
      <c r="Q30">
        <v>2.1805487854498332E-2</v>
      </c>
    </row>
    <row r="31" spans="1:49" x14ac:dyDescent="0.25">
      <c r="A31" t="s">
        <v>275</v>
      </c>
      <c r="B31" s="17">
        <v>8.1153259388055413E-2</v>
      </c>
      <c r="C31">
        <v>7.5208189231067105E-2</v>
      </c>
      <c r="D31">
        <v>6.6576877291572828E-2</v>
      </c>
      <c r="E31">
        <v>5.8111069768055613E-2</v>
      </c>
      <c r="F31">
        <v>5.2922228041083194E-2</v>
      </c>
      <c r="G31">
        <v>4.862345554131052E-2</v>
      </c>
      <c r="H31">
        <v>4.4159185385636547E-2</v>
      </c>
      <c r="I31">
        <v>4.1496028058360251E-2</v>
      </c>
      <c r="J31">
        <v>3.7362168019916209E-2</v>
      </c>
      <c r="K31">
        <v>3.3922546828612773E-2</v>
      </c>
      <c r="L31">
        <v>3.093815024222896E-2</v>
      </c>
      <c r="M31">
        <v>2.8336100613542525E-2</v>
      </c>
      <c r="N31">
        <v>2.6054333594855768E-2</v>
      </c>
      <c r="O31">
        <v>2.4043036457739145E-2</v>
      </c>
      <c r="P31">
        <v>2.2261481556826671E-2</v>
      </c>
      <c r="Q31">
        <v>2.0704429108082845E-2</v>
      </c>
    </row>
    <row r="32" spans="1:49" x14ac:dyDescent="0.25">
      <c r="A32" t="s">
        <v>290</v>
      </c>
      <c r="B32" s="17">
        <f>SIN(B28)*B30*1000</f>
        <v>74.170942795006724</v>
      </c>
      <c r="C32" s="17">
        <f>SIN(C28)*C30*1000</f>
        <v>68.83282694549321</v>
      </c>
      <c r="D32" s="17">
        <f t="shared" ref="D32:P32" si="2">SIN(D28)*D30*1000</f>
        <v>53.254892227617219</v>
      </c>
      <c r="E32" s="17">
        <f t="shared" si="2"/>
        <v>44.222079943928321</v>
      </c>
      <c r="F32" s="17">
        <f t="shared" si="2"/>
        <v>34.939175196342177</v>
      </c>
      <c r="G32" s="17">
        <f t="shared" si="2"/>
        <v>32.142424762165717</v>
      </c>
      <c r="H32" s="17">
        <f t="shared" si="2"/>
        <v>29.722057100246133</v>
      </c>
      <c r="I32" s="17">
        <f t="shared" si="2"/>
        <v>29.882908317755376</v>
      </c>
      <c r="J32" s="17">
        <f t="shared" si="2"/>
        <v>24.213537364031538</v>
      </c>
      <c r="K32" s="17">
        <f t="shared" si="2"/>
        <v>21.922000349395162</v>
      </c>
      <c r="L32" s="17">
        <f t="shared" si="2"/>
        <v>19.982451432476999</v>
      </c>
      <c r="M32" s="17">
        <f t="shared" si="2"/>
        <v>18.295798910977126</v>
      </c>
      <c r="N32" s="17">
        <f t="shared" si="2"/>
        <v>16.82015246628972</v>
      </c>
      <c r="O32" s="17">
        <f t="shared" si="2"/>
        <v>15.522053661622389</v>
      </c>
      <c r="P32" s="17">
        <f t="shared" si="2"/>
        <v>14.374277148862639</v>
      </c>
      <c r="Q32" s="17">
        <f>SIN(Q28)*Q30*1000</f>
        <v>13.354633835637387</v>
      </c>
    </row>
    <row r="33" spans="1:33" x14ac:dyDescent="0.25">
      <c r="A33" t="s">
        <v>291</v>
      </c>
      <c r="B33" s="17">
        <f>COS(B29-3.14/2)*B31*1000</f>
        <v>81.153259388055417</v>
      </c>
      <c r="C33" s="17">
        <f>COS(C29-3.14/2)*C31*1000</f>
        <v>73.661957114611695</v>
      </c>
      <c r="D33" s="17">
        <f t="shared" ref="D33:Q33" si="3">COS(D29-3.14/2)*D31*1000</f>
        <v>65.758622171554634</v>
      </c>
      <c r="E33" s="17">
        <f t="shared" si="3"/>
        <v>46.385078265078981</v>
      </c>
      <c r="F33" s="17">
        <f t="shared" si="3"/>
        <v>42.558073821474594</v>
      </c>
      <c r="G33" s="17">
        <f t="shared" si="3"/>
        <v>39.416489656103394</v>
      </c>
      <c r="H33" s="17">
        <f t="shared" si="3"/>
        <v>40.074265684199922</v>
      </c>
      <c r="I33" s="17">
        <f t="shared" si="3"/>
        <v>35.316200789698144</v>
      </c>
      <c r="J33" s="17">
        <f t="shared" si="3"/>
        <v>31.822708301033543</v>
      </c>
      <c r="K33" s="17">
        <f t="shared" si="3"/>
        <v>29.02753866512079</v>
      </c>
      <c r="L33" s="17">
        <f t="shared" si="3"/>
        <v>26.596547866265826</v>
      </c>
      <c r="M33" s="17">
        <f t="shared" si="3"/>
        <v>24.472143505196186</v>
      </c>
      <c r="N33" s="17">
        <f t="shared" si="3"/>
        <v>22.604976535336835</v>
      </c>
      <c r="O33" s="17">
        <f t="shared" si="3"/>
        <v>20.955404362497934</v>
      </c>
      <c r="P33" s="17">
        <f t="shared" si="3"/>
        <v>19.49095788138127</v>
      </c>
      <c r="Q33" s="17">
        <f t="shared" si="3"/>
        <v>17.96623350795949</v>
      </c>
    </row>
    <row r="34" spans="1:33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33" x14ac:dyDescent="0.25">
      <c r="B35" s="17"/>
    </row>
    <row r="36" spans="1:33" x14ac:dyDescent="0.25">
      <c r="B36" s="17" t="s">
        <v>293</v>
      </c>
      <c r="C36" t="s">
        <v>1</v>
      </c>
      <c r="D36" s="17" t="s">
        <v>293</v>
      </c>
      <c r="E36" t="s">
        <v>1</v>
      </c>
      <c r="F36" s="17" t="s">
        <v>293</v>
      </c>
      <c r="G36" t="s">
        <v>1</v>
      </c>
      <c r="H36" s="17" t="s">
        <v>293</v>
      </c>
      <c r="I36" t="s">
        <v>1</v>
      </c>
      <c r="J36" s="17" t="s">
        <v>293</v>
      </c>
      <c r="K36" t="s">
        <v>1</v>
      </c>
      <c r="L36" s="17" t="s">
        <v>293</v>
      </c>
      <c r="M36" t="s">
        <v>1</v>
      </c>
      <c r="N36" s="17" t="s">
        <v>293</v>
      </c>
      <c r="O36" t="s">
        <v>1</v>
      </c>
      <c r="P36" s="17" t="s">
        <v>293</v>
      </c>
      <c r="Q36" t="s">
        <v>1</v>
      </c>
      <c r="R36" s="17" t="s">
        <v>293</v>
      </c>
      <c r="S36" t="s">
        <v>1</v>
      </c>
      <c r="T36" s="17" t="s">
        <v>293</v>
      </c>
      <c r="U36" t="s">
        <v>1</v>
      </c>
      <c r="V36" s="17" t="s">
        <v>293</v>
      </c>
      <c r="W36" t="s">
        <v>1</v>
      </c>
      <c r="X36" s="17" t="s">
        <v>293</v>
      </c>
      <c r="Y36" t="s">
        <v>1</v>
      </c>
      <c r="Z36" s="17" t="s">
        <v>293</v>
      </c>
      <c r="AA36" t="s">
        <v>1</v>
      </c>
      <c r="AB36" s="17" t="s">
        <v>293</v>
      </c>
      <c r="AC36" t="s">
        <v>1</v>
      </c>
      <c r="AD36" s="17" t="s">
        <v>293</v>
      </c>
      <c r="AE36" t="s">
        <v>1</v>
      </c>
      <c r="AF36" s="17" t="s">
        <v>293</v>
      </c>
      <c r="AG36" t="s">
        <v>1</v>
      </c>
    </row>
    <row r="37" spans="1:33" x14ac:dyDescent="0.25">
      <c r="B37">
        <v>1</v>
      </c>
      <c r="C37">
        <v>1</v>
      </c>
      <c r="D37">
        <v>2</v>
      </c>
      <c r="E37">
        <v>2</v>
      </c>
      <c r="F37">
        <v>3</v>
      </c>
      <c r="G37">
        <v>3</v>
      </c>
      <c r="H37">
        <v>4</v>
      </c>
      <c r="I37">
        <v>4</v>
      </c>
      <c r="J37">
        <v>5</v>
      </c>
      <c r="K37">
        <v>5</v>
      </c>
      <c r="L37">
        <v>6</v>
      </c>
      <c r="M37">
        <v>6</v>
      </c>
      <c r="N37">
        <v>7</v>
      </c>
      <c r="O37">
        <v>7</v>
      </c>
      <c r="P37">
        <v>8</v>
      </c>
      <c r="Q37">
        <v>8</v>
      </c>
      <c r="R37">
        <v>9</v>
      </c>
      <c r="S37">
        <v>9</v>
      </c>
      <c r="T37">
        <v>10</v>
      </c>
      <c r="U37">
        <v>10</v>
      </c>
      <c r="V37">
        <v>11</v>
      </c>
      <c r="W37">
        <v>11</v>
      </c>
      <c r="X37">
        <v>12</v>
      </c>
      <c r="Y37">
        <v>12</v>
      </c>
      <c r="Z37">
        <v>13</v>
      </c>
      <c r="AA37">
        <v>13</v>
      </c>
      <c r="AB37">
        <v>14</v>
      </c>
      <c r="AC37">
        <v>14</v>
      </c>
      <c r="AD37">
        <v>15</v>
      </c>
      <c r="AE37">
        <v>15</v>
      </c>
      <c r="AF37">
        <v>16</v>
      </c>
      <c r="AG37">
        <v>16</v>
      </c>
    </row>
    <row r="38" spans="1:33" x14ac:dyDescent="0.25">
      <c r="A38">
        <v>75</v>
      </c>
      <c r="B38" s="17">
        <v>74.170942795006695</v>
      </c>
      <c r="C38">
        <v>81.153259388055403</v>
      </c>
      <c r="D38">
        <v>68.83282694549321</v>
      </c>
      <c r="E38">
        <v>73.661957114611695</v>
      </c>
      <c r="F38">
        <v>53.254892227617219</v>
      </c>
      <c r="G38">
        <v>65.758622171554634</v>
      </c>
      <c r="H38">
        <v>44.222079943928321</v>
      </c>
      <c r="I38">
        <v>46.385078265078981</v>
      </c>
      <c r="J38">
        <v>34.939175196342177</v>
      </c>
      <c r="K38">
        <v>42.558073821474594</v>
      </c>
      <c r="L38">
        <v>32.142424762165717</v>
      </c>
      <c r="M38">
        <v>39.416489656103394</v>
      </c>
      <c r="N38">
        <v>29.722057100246133</v>
      </c>
      <c r="O38">
        <v>40.074265684199922</v>
      </c>
      <c r="P38">
        <v>29.882908317755376</v>
      </c>
      <c r="Q38">
        <v>35.316200789698144</v>
      </c>
      <c r="R38">
        <v>24.213537364031538</v>
      </c>
      <c r="S38">
        <v>31.822708301033543</v>
      </c>
      <c r="T38">
        <v>21.922000349395162</v>
      </c>
      <c r="U38">
        <v>29.02753866512079</v>
      </c>
      <c r="V38">
        <v>19.982451432476999</v>
      </c>
      <c r="W38">
        <v>26.596547866265826</v>
      </c>
      <c r="X38">
        <v>18.295798910977126</v>
      </c>
      <c r="Y38">
        <v>24.472143505196186</v>
      </c>
      <c r="Z38">
        <v>16.82015246628972</v>
      </c>
      <c r="AA38">
        <v>22.604976535336835</v>
      </c>
      <c r="AB38">
        <v>15.522053661622389</v>
      </c>
      <c r="AC38">
        <v>20.955404362497934</v>
      </c>
      <c r="AD38">
        <v>14.374277148862639</v>
      </c>
      <c r="AE38">
        <v>19.49095788138127</v>
      </c>
      <c r="AF38">
        <v>13.354633835637387</v>
      </c>
      <c r="AG38">
        <v>17.96623350795949</v>
      </c>
    </row>
    <row r="39" spans="1:33" x14ac:dyDescent="0.25">
      <c r="A39">
        <v>5</v>
      </c>
    </row>
    <row r="40" spans="1:33" x14ac:dyDescent="0.25">
      <c r="B40">
        <f t="shared" ref="B40:AG40" si="4">B38+B38/$A$38*$A$39</f>
        <v>79.115672314673816</v>
      </c>
      <c r="C40">
        <f t="shared" si="4"/>
        <v>86.56347668059243</v>
      </c>
      <c r="D40">
        <f t="shared" si="4"/>
        <v>73.421682075192763</v>
      </c>
      <c r="E40">
        <f t="shared" si="4"/>
        <v>78.572754255585807</v>
      </c>
      <c r="F40">
        <f t="shared" si="4"/>
        <v>56.805218376125033</v>
      </c>
      <c r="G40">
        <f t="shared" si="4"/>
        <v>70.142530316324937</v>
      </c>
      <c r="H40">
        <f t="shared" si="4"/>
        <v>47.170218606856878</v>
      </c>
      <c r="I40">
        <f t="shared" si="4"/>
        <v>49.477416816084244</v>
      </c>
      <c r="J40">
        <f t="shared" si="4"/>
        <v>37.268453542764988</v>
      </c>
      <c r="K40">
        <f t="shared" si="4"/>
        <v>45.395278742906235</v>
      </c>
      <c r="L40">
        <f t="shared" si="4"/>
        <v>34.285253079643432</v>
      </c>
      <c r="M40">
        <f t="shared" si="4"/>
        <v>42.044255633176952</v>
      </c>
      <c r="N40">
        <f t="shared" si="4"/>
        <v>31.703527573595874</v>
      </c>
      <c r="O40">
        <f t="shared" si="4"/>
        <v>42.745883396479918</v>
      </c>
      <c r="P40">
        <f t="shared" si="4"/>
        <v>31.875102205605735</v>
      </c>
      <c r="Q40">
        <f t="shared" si="4"/>
        <v>37.670614175678018</v>
      </c>
      <c r="R40">
        <f t="shared" si="4"/>
        <v>25.827773188300306</v>
      </c>
      <c r="S40">
        <f t="shared" si="4"/>
        <v>33.944222187769114</v>
      </c>
      <c r="T40">
        <f t="shared" si="4"/>
        <v>23.383467039354841</v>
      </c>
      <c r="U40">
        <f t="shared" si="4"/>
        <v>30.962707909462175</v>
      </c>
      <c r="V40">
        <f t="shared" si="4"/>
        <v>21.314614861308797</v>
      </c>
      <c r="W40">
        <f t="shared" si="4"/>
        <v>28.369651057350215</v>
      </c>
      <c r="X40">
        <f t="shared" si="4"/>
        <v>19.515518838375602</v>
      </c>
      <c r="Y40">
        <f t="shared" si="4"/>
        <v>26.103619738875931</v>
      </c>
      <c r="Z40">
        <f t="shared" si="4"/>
        <v>17.941495964042367</v>
      </c>
      <c r="AA40">
        <f t="shared" si="4"/>
        <v>24.111974971025958</v>
      </c>
      <c r="AB40">
        <f t="shared" si="4"/>
        <v>16.556857239063881</v>
      </c>
      <c r="AC40">
        <f t="shared" si="4"/>
        <v>22.352431319997795</v>
      </c>
      <c r="AD40">
        <f t="shared" si="4"/>
        <v>15.332562292120148</v>
      </c>
      <c r="AE40">
        <f t="shared" si="4"/>
        <v>20.790355073473354</v>
      </c>
      <c r="AF40">
        <f t="shared" si="4"/>
        <v>14.244942758013213</v>
      </c>
      <c r="AG40">
        <f t="shared" si="4"/>
        <v>19.163982408490124</v>
      </c>
    </row>
    <row r="41" spans="1:33" x14ac:dyDescent="0.25">
      <c r="A41" t="s">
        <v>294</v>
      </c>
      <c r="B41">
        <f>ROUNDUP(B40,0)</f>
        <v>80</v>
      </c>
      <c r="C41">
        <f t="shared" ref="C41:AG41" si="5">ROUNDUP(C40,0)</f>
        <v>87</v>
      </c>
      <c r="D41">
        <f t="shared" si="5"/>
        <v>74</v>
      </c>
      <c r="E41">
        <f t="shared" si="5"/>
        <v>79</v>
      </c>
      <c r="F41">
        <f t="shared" si="5"/>
        <v>57</v>
      </c>
      <c r="G41">
        <f t="shared" si="5"/>
        <v>71</v>
      </c>
      <c r="H41">
        <f t="shared" si="5"/>
        <v>48</v>
      </c>
      <c r="I41">
        <f t="shared" si="5"/>
        <v>50</v>
      </c>
      <c r="J41">
        <f t="shared" si="5"/>
        <v>38</v>
      </c>
      <c r="K41">
        <f t="shared" si="5"/>
        <v>46</v>
      </c>
      <c r="L41">
        <f t="shared" si="5"/>
        <v>35</v>
      </c>
      <c r="M41">
        <f t="shared" si="5"/>
        <v>43</v>
      </c>
      <c r="N41">
        <f t="shared" si="5"/>
        <v>32</v>
      </c>
      <c r="O41">
        <f t="shared" si="5"/>
        <v>43</v>
      </c>
      <c r="P41">
        <f t="shared" si="5"/>
        <v>32</v>
      </c>
      <c r="Q41" s="9">
        <f t="shared" si="5"/>
        <v>38</v>
      </c>
      <c r="R41" s="9">
        <f t="shared" si="5"/>
        <v>26</v>
      </c>
      <c r="S41" s="9">
        <f t="shared" si="5"/>
        <v>34</v>
      </c>
      <c r="T41" s="9">
        <f t="shared" si="5"/>
        <v>24</v>
      </c>
      <c r="U41" s="9">
        <f t="shared" si="5"/>
        <v>31</v>
      </c>
      <c r="V41" s="9">
        <f t="shared" si="5"/>
        <v>22</v>
      </c>
      <c r="W41" s="9">
        <f t="shared" si="5"/>
        <v>29</v>
      </c>
      <c r="X41">
        <f t="shared" si="5"/>
        <v>20</v>
      </c>
      <c r="Y41" s="4">
        <f t="shared" si="5"/>
        <v>27</v>
      </c>
      <c r="Z41">
        <f t="shared" si="5"/>
        <v>18</v>
      </c>
      <c r="AA41" s="4">
        <f t="shared" si="5"/>
        <v>25</v>
      </c>
      <c r="AB41">
        <f t="shared" si="5"/>
        <v>17</v>
      </c>
      <c r="AC41" s="4">
        <f t="shared" si="5"/>
        <v>23</v>
      </c>
      <c r="AD41">
        <f t="shared" si="5"/>
        <v>16</v>
      </c>
      <c r="AE41" s="4">
        <f t="shared" si="5"/>
        <v>21</v>
      </c>
      <c r="AF41">
        <f t="shared" si="5"/>
        <v>15</v>
      </c>
      <c r="AG41" s="4">
        <f t="shared" si="5"/>
        <v>20</v>
      </c>
    </row>
    <row r="42" spans="1:33" x14ac:dyDescent="0.25">
      <c r="A42" t="s">
        <v>295</v>
      </c>
      <c r="B42" s="17"/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</row>
    <row r="43" spans="1:33" x14ac:dyDescent="0.25">
      <c r="B43" s="17">
        <v>84</v>
      </c>
      <c r="C43" s="17">
        <v>87</v>
      </c>
      <c r="D43" s="17">
        <v>78</v>
      </c>
      <c r="E43" s="17">
        <v>79</v>
      </c>
      <c r="F43" s="17">
        <v>61</v>
      </c>
      <c r="G43" s="17">
        <v>71</v>
      </c>
      <c r="H43" s="17">
        <v>52</v>
      </c>
      <c r="I43" s="17">
        <v>50</v>
      </c>
      <c r="J43" s="17">
        <v>42</v>
      </c>
      <c r="K43" s="17">
        <v>46</v>
      </c>
      <c r="L43" s="17">
        <v>41</v>
      </c>
      <c r="M43" s="17">
        <v>43</v>
      </c>
      <c r="N43" s="17">
        <v>36</v>
      </c>
      <c r="O43" s="17">
        <v>43</v>
      </c>
      <c r="P43" s="17">
        <v>36</v>
      </c>
      <c r="Q43" s="17">
        <v>38</v>
      </c>
      <c r="R43" s="17">
        <v>30</v>
      </c>
      <c r="S43" s="17">
        <v>34</v>
      </c>
      <c r="T43" s="17">
        <v>28</v>
      </c>
      <c r="U43" s="17">
        <v>31</v>
      </c>
      <c r="V43" s="17">
        <v>26</v>
      </c>
      <c r="W43" s="17">
        <v>29</v>
      </c>
      <c r="X43" s="17">
        <v>24</v>
      </c>
      <c r="Y43" s="17">
        <v>27</v>
      </c>
      <c r="Z43" s="17">
        <v>22</v>
      </c>
      <c r="AA43" s="17">
        <v>25</v>
      </c>
      <c r="AB43" s="17">
        <v>21</v>
      </c>
      <c r="AC43" s="17">
        <v>23</v>
      </c>
      <c r="AD43" s="17">
        <v>20</v>
      </c>
      <c r="AE43" s="17">
        <v>21</v>
      </c>
      <c r="AF43" s="17">
        <v>19</v>
      </c>
      <c r="AG43" s="17">
        <v>20</v>
      </c>
    </row>
    <row r="44" spans="1:33" x14ac:dyDescent="0.25">
      <c r="A44" t="s">
        <v>296</v>
      </c>
      <c r="B44" s="17">
        <v>84</v>
      </c>
      <c r="C44">
        <v>87</v>
      </c>
      <c r="D44">
        <v>79</v>
      </c>
      <c r="E44">
        <v>79</v>
      </c>
      <c r="F44">
        <v>71</v>
      </c>
      <c r="G44">
        <v>71</v>
      </c>
      <c r="H44">
        <v>52</v>
      </c>
      <c r="I44">
        <v>50</v>
      </c>
      <c r="J44">
        <v>46</v>
      </c>
      <c r="K44">
        <v>46</v>
      </c>
      <c r="L44">
        <v>43</v>
      </c>
      <c r="M44">
        <v>43</v>
      </c>
      <c r="N44">
        <v>43</v>
      </c>
      <c r="O44">
        <v>43</v>
      </c>
      <c r="P44">
        <v>38</v>
      </c>
      <c r="Q44">
        <v>38</v>
      </c>
      <c r="R44">
        <v>34</v>
      </c>
      <c r="S44">
        <v>34</v>
      </c>
      <c r="T44">
        <v>31</v>
      </c>
      <c r="U44">
        <v>31</v>
      </c>
      <c r="V44">
        <v>29</v>
      </c>
      <c r="W44">
        <v>29</v>
      </c>
      <c r="X44">
        <v>27</v>
      </c>
      <c r="Y44">
        <v>27</v>
      </c>
      <c r="Z44">
        <v>25</v>
      </c>
      <c r="AA44">
        <v>25</v>
      </c>
      <c r="AB44">
        <v>23</v>
      </c>
      <c r="AC44">
        <v>23</v>
      </c>
      <c r="AD44">
        <v>21</v>
      </c>
      <c r="AE44">
        <v>21</v>
      </c>
      <c r="AF44">
        <v>20</v>
      </c>
      <c r="AG44">
        <v>20</v>
      </c>
    </row>
    <row r="45" spans="1:33" x14ac:dyDescent="0.25">
      <c r="B45" s="17"/>
    </row>
    <row r="46" spans="1:33" x14ac:dyDescent="0.25">
      <c r="B46" s="17"/>
    </row>
    <row r="47" spans="1:33" x14ac:dyDescent="0.25">
      <c r="B47" s="17"/>
    </row>
    <row r="48" spans="1:33" x14ac:dyDescent="0.25">
      <c r="B48" s="17"/>
    </row>
    <row r="49" spans="2:2" x14ac:dyDescent="0.25">
      <c r="B49" s="17"/>
    </row>
    <row r="50" spans="2:2" x14ac:dyDescent="0.25">
      <c r="B50" s="17"/>
    </row>
    <row r="51" spans="2:2" x14ac:dyDescent="0.25">
      <c r="B51" s="17"/>
    </row>
    <row r="52" spans="2:2" x14ac:dyDescent="0.25">
      <c r="B52" s="17"/>
    </row>
    <row r="53" spans="2:2" x14ac:dyDescent="0.25">
      <c r="B53" s="17"/>
    </row>
    <row r="54" spans="2:2" x14ac:dyDescent="0.25">
      <c r="B54" s="17"/>
    </row>
    <row r="55" spans="2:2" x14ac:dyDescent="0.25">
      <c r="B55" s="17"/>
    </row>
    <row r="56" spans="2:2" x14ac:dyDescent="0.25">
      <c r="B56" s="17"/>
    </row>
    <row r="57" spans="2:2" x14ac:dyDescent="0.25">
      <c r="B57" s="17"/>
    </row>
    <row r="58" spans="2:2" x14ac:dyDescent="0.25">
      <c r="B58" s="17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O51" sqref="O51"/>
    </sheetView>
  </sheetViews>
  <sheetFormatPr defaultRowHeight="15" x14ac:dyDescent="0.25"/>
  <cols>
    <col min="1" max="1" width="16.140625" customWidth="1"/>
  </cols>
  <sheetData>
    <row r="1" spans="1:17" x14ac:dyDescent="0.25">
      <c r="A1" s="51" t="s">
        <v>176</v>
      </c>
      <c r="B1" s="67" t="s">
        <v>178</v>
      </c>
      <c r="C1" s="67" t="s">
        <v>178</v>
      </c>
      <c r="D1" s="67" t="s">
        <v>178</v>
      </c>
      <c r="E1" s="67" t="s">
        <v>179</v>
      </c>
      <c r="F1" s="67" t="s">
        <v>179</v>
      </c>
      <c r="G1" s="67" t="s">
        <v>179</v>
      </c>
      <c r="H1" s="67" t="s">
        <v>179</v>
      </c>
      <c r="I1" s="67" t="s">
        <v>180</v>
      </c>
      <c r="J1" s="67" t="s">
        <v>180</v>
      </c>
      <c r="K1" s="67" t="s">
        <v>180</v>
      </c>
      <c r="L1" s="67" t="s">
        <v>180</v>
      </c>
      <c r="M1" s="67" t="s">
        <v>180</v>
      </c>
      <c r="N1" s="67" t="s">
        <v>180</v>
      </c>
      <c r="O1" s="67" t="s">
        <v>180</v>
      </c>
      <c r="P1" s="67" t="s">
        <v>180</v>
      </c>
      <c r="Q1" s="67" t="s">
        <v>180</v>
      </c>
    </row>
    <row r="2" spans="1:17" x14ac:dyDescent="0.25">
      <c r="A2" s="51" t="s">
        <v>177</v>
      </c>
      <c r="B2" s="48">
        <v>1</v>
      </c>
      <c r="C2" s="48">
        <v>2</v>
      </c>
      <c r="D2" s="48">
        <v>3</v>
      </c>
      <c r="E2" s="48">
        <v>1</v>
      </c>
      <c r="F2" s="48">
        <v>2</v>
      </c>
      <c r="G2" s="48">
        <v>3</v>
      </c>
      <c r="H2" s="48">
        <v>4</v>
      </c>
      <c r="I2" s="48">
        <v>1</v>
      </c>
      <c r="J2" s="48">
        <v>2</v>
      </c>
      <c r="K2" s="48">
        <v>3</v>
      </c>
      <c r="L2" s="48">
        <v>4</v>
      </c>
      <c r="M2" s="48">
        <v>5</v>
      </c>
      <c r="N2" s="48">
        <v>6</v>
      </c>
      <c r="O2" s="48">
        <v>7</v>
      </c>
      <c r="P2" s="48">
        <v>8</v>
      </c>
      <c r="Q2" s="48">
        <v>9</v>
      </c>
    </row>
    <row r="3" spans="1:17" x14ac:dyDescent="0.25">
      <c r="A3" s="80" t="s">
        <v>319</v>
      </c>
      <c r="B3" s="82">
        <v>64.645014652284644</v>
      </c>
      <c r="C3" s="82">
        <v>64.645014652284644</v>
      </c>
      <c r="D3" s="82">
        <v>49.836730023842485</v>
      </c>
      <c r="E3" s="82">
        <v>49.432545015128468</v>
      </c>
      <c r="F3" s="82">
        <v>38.128638493914551</v>
      </c>
      <c r="G3" s="82">
        <v>38.374567855172891</v>
      </c>
      <c r="H3" s="82">
        <v>38.592453799009085</v>
      </c>
      <c r="I3" s="82">
        <v>44.488109896811942</v>
      </c>
      <c r="J3" s="82">
        <v>36.900125161688365</v>
      </c>
      <c r="K3" s="82">
        <v>37.182361988085248</v>
      </c>
      <c r="L3" s="82">
        <v>37.28420097692878</v>
      </c>
      <c r="M3" s="82">
        <v>37.385564272049358</v>
      </c>
      <c r="N3" s="82">
        <v>37.48641801746124</v>
      </c>
      <c r="O3" s="82">
        <v>37.586727157650621</v>
      </c>
      <c r="P3" s="82">
        <v>37.686455395710141</v>
      </c>
      <c r="Q3" s="82">
        <v>37.785565149873378</v>
      </c>
    </row>
    <row r="4" spans="1:17" x14ac:dyDescent="0.25">
      <c r="A4" s="80" t="s">
        <v>320</v>
      </c>
      <c r="B4" s="82">
        <v>90</v>
      </c>
      <c r="C4" s="82">
        <v>78.355803598312335</v>
      </c>
      <c r="D4" s="82">
        <v>81.003236187389476</v>
      </c>
      <c r="E4" s="82">
        <v>52.941115942538183</v>
      </c>
      <c r="F4" s="82">
        <v>53.510957045817882</v>
      </c>
      <c r="G4" s="82">
        <v>54.141077340310936</v>
      </c>
      <c r="H4" s="82">
        <v>65.14892351017788</v>
      </c>
      <c r="I4" s="82">
        <v>58.312639081595208</v>
      </c>
      <c r="J4" s="82">
        <v>58.384977792993638</v>
      </c>
      <c r="K4" s="82">
        <v>58.821397870674502</v>
      </c>
      <c r="L4" s="82">
        <v>59.263781112794469</v>
      </c>
      <c r="M4" s="82">
        <v>59.712231143290197</v>
      </c>
      <c r="N4" s="82">
        <v>60.16685323680332</v>
      </c>
      <c r="O4" s="82">
        <v>60.627754312607024</v>
      </c>
      <c r="P4" s="82">
        <v>61.095042925315781</v>
      </c>
      <c r="Q4" s="82">
        <v>60.182908396806937</v>
      </c>
    </row>
    <row r="5" spans="1:17" x14ac:dyDescent="0.25">
      <c r="A5" s="80" t="s">
        <v>321</v>
      </c>
      <c r="B5" s="82">
        <v>155.28965202521459</v>
      </c>
      <c r="C5" s="82">
        <v>152.18179308182386</v>
      </c>
      <c r="D5" s="82">
        <v>151.8856130773508</v>
      </c>
      <c r="E5" s="82">
        <v>141.87136150608546</v>
      </c>
      <c r="F5" s="82">
        <v>141.6254321448271</v>
      </c>
      <c r="G5" s="82">
        <v>141.40754620099091</v>
      </c>
      <c r="H5" s="82">
        <v>146.06504716800222</v>
      </c>
      <c r="I5" s="82">
        <v>143.09987483831162</v>
      </c>
      <c r="J5" s="82">
        <v>142.81763801191477</v>
      </c>
      <c r="K5" s="82">
        <v>142.71579902307121</v>
      </c>
      <c r="L5" s="82">
        <v>142.61443572795065</v>
      </c>
      <c r="M5" s="82">
        <v>142.51358198253877</v>
      </c>
      <c r="N5" s="82">
        <v>142.41327284234939</v>
      </c>
      <c r="O5" s="82">
        <v>142.31354460428986</v>
      </c>
      <c r="P5" s="82">
        <v>142.21443485012662</v>
      </c>
      <c r="Q5" s="82">
        <v>141.41983031883041</v>
      </c>
    </row>
    <row r="6" spans="1:17" x14ac:dyDescent="0.25">
      <c r="A6" s="80" t="s">
        <v>322</v>
      </c>
      <c r="B6" s="82">
        <v>149.5088939779337</v>
      </c>
      <c r="C6" s="82">
        <v>141.48433923901561</v>
      </c>
      <c r="D6" s="82">
        <v>139.55259065055554</v>
      </c>
      <c r="E6" s="82">
        <v>127.05888405746185</v>
      </c>
      <c r="F6" s="82">
        <v>126.48904295418208</v>
      </c>
      <c r="G6" s="82">
        <v>125.85892265968906</v>
      </c>
      <c r="H6" s="82">
        <v>132.95310984483589</v>
      </c>
      <c r="I6" s="82">
        <v>121.68736091840478</v>
      </c>
      <c r="J6" s="82">
        <v>121.6150222070064</v>
      </c>
      <c r="K6" s="82">
        <v>121.17860212932547</v>
      </c>
      <c r="L6" s="82">
        <v>120.73621888720555</v>
      </c>
      <c r="M6" s="82">
        <v>120.28776885670982</v>
      </c>
      <c r="N6" s="82">
        <v>119.83314676319671</v>
      </c>
      <c r="O6" s="82">
        <v>119.37224568739298</v>
      </c>
      <c r="P6" s="82">
        <v>118.90495707468423</v>
      </c>
      <c r="Q6" s="82">
        <v>119.81709160319305</v>
      </c>
    </row>
    <row r="7" spans="1:17" x14ac:dyDescent="0.25">
      <c r="A7" s="81" t="s">
        <v>300</v>
      </c>
      <c r="B7" s="82">
        <v>59.219908042632731</v>
      </c>
      <c r="C7" s="82">
        <v>59.480479182831743</v>
      </c>
      <c r="D7" s="82">
        <v>43.985728990493804</v>
      </c>
      <c r="E7" s="82">
        <v>44.633651085707491</v>
      </c>
      <c r="F7" s="82">
        <v>33.644067434882984</v>
      </c>
      <c r="G7" s="82">
        <v>34.224153043817687</v>
      </c>
      <c r="H7" s="82">
        <v>34.727633365561928</v>
      </c>
      <c r="I7" s="82">
        <v>40.913421659726701</v>
      </c>
      <c r="J7" s="82">
        <v>33.694112749845189</v>
      </c>
      <c r="K7" s="82">
        <v>34.279498167078714</v>
      </c>
      <c r="L7" s="82">
        <v>34.630655709296875</v>
      </c>
      <c r="M7" s="82">
        <v>34.948096697283816</v>
      </c>
      <c r="N7" s="82">
        <v>35.237459820040236</v>
      </c>
      <c r="O7" s="82">
        <v>35.503197009507026</v>
      </c>
      <c r="P7" s="82">
        <v>35.748893563600284</v>
      </c>
      <c r="Q7" s="82">
        <v>35.977441973297054</v>
      </c>
    </row>
    <row r="8" spans="1:17" x14ac:dyDescent="0.25">
      <c r="A8" s="81" t="s">
        <v>301</v>
      </c>
      <c r="B8" s="82">
        <v>89.988433304760377</v>
      </c>
      <c r="C8" s="82">
        <v>75.655598644235667</v>
      </c>
      <c r="D8" s="82">
        <v>79.096381078398494</v>
      </c>
      <c r="E8" s="82">
        <v>48.229704008738416</v>
      </c>
      <c r="F8" s="82">
        <v>49.217586221285188</v>
      </c>
      <c r="G8" s="82">
        <v>50.192244867145888</v>
      </c>
      <c r="H8" s="82">
        <v>62.177600717310902</v>
      </c>
      <c r="I8" s="82">
        <v>55.10827852030549</v>
      </c>
      <c r="J8" s="82">
        <v>55.505183437930732</v>
      </c>
      <c r="K8" s="82">
        <v>56.223122719786943</v>
      </c>
      <c r="L8" s="82">
        <v>56.907910970402725</v>
      </c>
      <c r="M8" s="82">
        <v>57.566429268502105</v>
      </c>
      <c r="N8" s="82">
        <v>58.204397095156018</v>
      </c>
      <c r="O8" s="82">
        <v>58.826346162554778</v>
      </c>
      <c r="P8" s="82">
        <v>59.435942764851063</v>
      </c>
      <c r="Q8" s="82">
        <v>58.604267612474978</v>
      </c>
    </row>
    <row r="9" spans="1:17" x14ac:dyDescent="0.25">
      <c r="A9" s="81" t="s">
        <v>305</v>
      </c>
      <c r="B9" s="82">
        <v>159.84697375897559</v>
      </c>
      <c r="C9" s="82">
        <v>156.9595881201102</v>
      </c>
      <c r="D9" s="82">
        <v>156.28298202989993</v>
      </c>
      <c r="E9" s="82">
        <v>146.44701838479369</v>
      </c>
      <c r="F9" s="82">
        <v>145.84032733103402</v>
      </c>
      <c r="G9" s="82">
        <v>145.3265264179623</v>
      </c>
      <c r="H9" s="82">
        <v>149.44605039082802</v>
      </c>
      <c r="I9" s="82">
        <v>146.40461274853811</v>
      </c>
      <c r="J9" s="82">
        <v>145.81522268652625</v>
      </c>
      <c r="K9" s="82">
        <v>145.45348772075386</v>
      </c>
      <c r="L9" s="82">
        <v>145.12709496402169</v>
      </c>
      <c r="M9" s="82">
        <v>144.83036415917169</v>
      </c>
      <c r="N9" s="82">
        <v>144.55849019062561</v>
      </c>
      <c r="O9" s="82">
        <v>144.30765703421665</v>
      </c>
      <c r="P9" s="82">
        <v>144.07477254747351</v>
      </c>
      <c r="Q9" s="82">
        <v>143.17507703826712</v>
      </c>
    </row>
    <row r="10" spans="1:17" x14ac:dyDescent="0.25">
      <c r="A10" s="81" t="s">
        <v>304</v>
      </c>
      <c r="B10" s="82">
        <v>154.33010422178313</v>
      </c>
      <c r="C10" s="82">
        <v>146.66602168618462</v>
      </c>
      <c r="D10" s="82">
        <v>144.24704809590347</v>
      </c>
      <c r="E10" s="82">
        <v>131.58356792457917</v>
      </c>
      <c r="F10" s="82">
        <v>130.63591239320928</v>
      </c>
      <c r="G10" s="82">
        <v>129.68044455529841</v>
      </c>
      <c r="H10" s="82">
        <v>136.56344946160408</v>
      </c>
      <c r="I10" s="82">
        <v>124.77452446888378</v>
      </c>
      <c r="J10" s="82">
        <v>124.39250000797054</v>
      </c>
      <c r="K10" s="82">
        <v>123.69008064058886</v>
      </c>
      <c r="L10" s="82">
        <v>123.01825321765909</v>
      </c>
      <c r="M10" s="82">
        <v>122.37038692710678</v>
      </c>
      <c r="N10" s="82">
        <v>121.74126797884449</v>
      </c>
      <c r="O10" s="82">
        <v>121.12671084661623</v>
      </c>
      <c r="P10" s="82">
        <v>120.52333551244035</v>
      </c>
      <c r="Q10" s="82">
        <v>121.44257922515814</v>
      </c>
    </row>
    <row r="11" spans="1:17" x14ac:dyDescent="0.25">
      <c r="A11" s="81" t="s">
        <v>302</v>
      </c>
      <c r="B11" s="82">
        <v>68.537937922211711</v>
      </c>
      <c r="C11" s="82">
        <v>68.402729802165354</v>
      </c>
      <c r="D11" s="82">
        <v>54.582252915498266</v>
      </c>
      <c r="E11" s="82">
        <v>53.480699679531583</v>
      </c>
      <c r="F11" s="82">
        <v>42.174005744172113</v>
      </c>
      <c r="G11" s="82">
        <v>42.149140819261298</v>
      </c>
      <c r="H11" s="82">
        <v>42.132750677884886</v>
      </c>
      <c r="I11" s="82">
        <v>47.714724012638328</v>
      </c>
      <c r="J11" s="82">
        <v>39.911896094320383</v>
      </c>
      <c r="K11" s="82">
        <v>39.932148582059995</v>
      </c>
      <c r="L11" s="82">
        <v>39.817164581857575</v>
      </c>
      <c r="M11" s="82">
        <v>39.728533602560681</v>
      </c>
      <c r="N11" s="82">
        <v>39.662025261042125</v>
      </c>
      <c r="O11" s="82">
        <v>39.614207386236508</v>
      </c>
      <c r="P11" s="82">
        <v>39.582241095021153</v>
      </c>
      <c r="Q11" s="82">
        <v>39.563779310842648</v>
      </c>
    </row>
    <row r="12" spans="1:17" x14ac:dyDescent="0.25">
      <c r="A12" s="81" t="s">
        <v>303</v>
      </c>
      <c r="B12" s="82">
        <v>90.007676538680485</v>
      </c>
      <c r="C12" s="82">
        <v>80.213859580268334</v>
      </c>
      <c r="D12" s="82">
        <v>82.349480046502123</v>
      </c>
      <c r="E12" s="82">
        <v>56.839638615807154</v>
      </c>
      <c r="F12" s="82">
        <v>57.109791784162233</v>
      </c>
      <c r="G12" s="82">
        <v>57.485389476292177</v>
      </c>
      <c r="H12" s="82">
        <v>67.591109999547854</v>
      </c>
      <c r="I12" s="82">
        <v>61.047944901669155</v>
      </c>
      <c r="J12" s="82">
        <v>60.882998608848006</v>
      </c>
      <c r="K12" s="82">
        <v>61.103026284585546</v>
      </c>
      <c r="L12" s="82">
        <v>61.35499274386703</v>
      </c>
      <c r="M12" s="82">
        <v>61.635236280549044</v>
      </c>
      <c r="N12" s="82">
        <v>61.940536429848741</v>
      </c>
      <c r="O12" s="82">
        <v>62.26827484195546</v>
      </c>
      <c r="P12" s="82">
        <v>62.616286736329698</v>
      </c>
      <c r="Q12" s="82">
        <v>61.643958909846518</v>
      </c>
    </row>
    <row r="13" spans="1:17" x14ac:dyDescent="0.25">
      <c r="A13" s="81" t="s">
        <v>316</v>
      </c>
      <c r="B13" s="82">
        <v>151.04291205598781</v>
      </c>
      <c r="C13" s="82">
        <v>147.78997066927136</v>
      </c>
      <c r="D13" s="82">
        <v>147.82122755846385</v>
      </c>
      <c r="E13" s="82">
        <v>137.80477688234308</v>
      </c>
      <c r="F13" s="82">
        <v>137.84988880499745</v>
      </c>
      <c r="G13" s="82">
        <v>137.87396723115623</v>
      </c>
      <c r="H13" s="82">
        <v>142.9326604498097</v>
      </c>
      <c r="I13" s="82">
        <v>140.05842178195883</v>
      </c>
      <c r="J13" s="82">
        <v>140.04040361405401</v>
      </c>
      <c r="K13" s="82">
        <v>140.16374681251474</v>
      </c>
      <c r="L13" s="82">
        <v>140.25958348177073</v>
      </c>
      <c r="M13" s="82">
        <v>140.33209648433802</v>
      </c>
      <c r="N13" s="82">
        <v>140.38496716182647</v>
      </c>
      <c r="O13" s="82">
        <v>140.42119555325652</v>
      </c>
      <c r="P13" s="82">
        <v>140.44327602186303</v>
      </c>
      <c r="Q13" s="82">
        <v>139.74638573279032</v>
      </c>
    </row>
    <row r="14" spans="1:17" x14ac:dyDescent="0.25">
      <c r="A14" s="81" t="s">
        <v>317</v>
      </c>
      <c r="B14" s="82">
        <v>145.12179933688492</v>
      </c>
      <c r="C14" s="82">
        <v>136.95360556303564</v>
      </c>
      <c r="D14" s="82">
        <v>135.43274966812234</v>
      </c>
      <c r="E14" s="82">
        <v>123.31584117279863</v>
      </c>
      <c r="F14" s="82">
        <v>123.02016058158955</v>
      </c>
      <c r="G14" s="82">
        <v>122.63225925923372</v>
      </c>
      <c r="H14" s="82">
        <v>129.77287672258123</v>
      </c>
      <c r="I14" s="82">
        <v>119.05874730132687</v>
      </c>
      <c r="J14" s="82">
        <v>119.21529399307497</v>
      </c>
      <c r="K14" s="82">
        <v>118.98481389053956</v>
      </c>
      <c r="L14" s="82">
        <v>118.72369924454456</v>
      </c>
      <c r="M14" s="82">
        <v>118.43561754732694</v>
      </c>
      <c r="N14" s="82">
        <v>118.12354225016276</v>
      </c>
      <c r="O14" s="82">
        <v>117.78992340951434</v>
      </c>
      <c r="P14" s="82">
        <v>117.43677323343896</v>
      </c>
      <c r="Q14" s="82">
        <v>118.3380198447181</v>
      </c>
    </row>
    <row r="15" spans="1:17" x14ac:dyDescent="0.25">
      <c r="A15" s="81" t="s">
        <v>325</v>
      </c>
      <c r="B15" s="82">
        <v>59.871186084611757</v>
      </c>
      <c r="C15" s="82">
        <v>44.418494186159222</v>
      </c>
      <c r="D15" s="82">
        <v>44.630640120040759</v>
      </c>
      <c r="E15" s="82">
        <v>33.770091403271593</v>
      </c>
      <c r="F15" s="82">
        <v>34.340610246653071</v>
      </c>
      <c r="G15" s="82">
        <v>34.837270509914177</v>
      </c>
      <c r="H15" s="82">
        <v>40.912591799710633</v>
      </c>
      <c r="I15" s="82">
        <v>33.751375196119291</v>
      </c>
      <c r="J15" s="82">
        <v>34.32740645532234</v>
      </c>
      <c r="K15" s="82">
        <v>34.674716025097304</v>
      </c>
      <c r="L15" s="82">
        <v>34.988832887001578</v>
      </c>
      <c r="M15" s="82">
        <v>35.275304418088162</v>
      </c>
      <c r="N15" s="82">
        <v>35.538510860139162</v>
      </c>
      <c r="O15" s="82">
        <v>35.781979996292151</v>
      </c>
      <c r="P15" s="82">
        <v>36.008558055445306</v>
      </c>
      <c r="Q15" s="82">
        <v>36.813604304871653</v>
      </c>
    </row>
    <row r="16" spans="1:17" x14ac:dyDescent="0.25">
      <c r="A16" s="81" t="s">
        <v>326</v>
      </c>
      <c r="B16" s="82">
        <v>68.192890171126038</v>
      </c>
      <c r="C16" s="82">
        <v>54.29728452829108</v>
      </c>
      <c r="D16" s="82">
        <v>53.482806172905853</v>
      </c>
      <c r="E16" s="82">
        <v>42.073798784199994</v>
      </c>
      <c r="F16" s="82">
        <v>42.055215384855444</v>
      </c>
      <c r="G16" s="82">
        <v>42.043218477819167</v>
      </c>
      <c r="H16" s="82">
        <v>47.715382013612953</v>
      </c>
      <c r="I16" s="82">
        <v>39.863152202639185</v>
      </c>
      <c r="J16" s="82">
        <v>39.89083511660904</v>
      </c>
      <c r="K16" s="82">
        <v>39.778723529732055</v>
      </c>
      <c r="L16" s="82">
        <v>39.692628765138153</v>
      </c>
      <c r="M16" s="82">
        <v>39.628369209721292</v>
      </c>
      <c r="N16" s="82">
        <v>39.5825528483944</v>
      </c>
      <c r="O16" s="82">
        <v>39.55237451703151</v>
      </c>
      <c r="P16" s="82">
        <v>39.535515304476931</v>
      </c>
      <c r="Q16" s="82">
        <v>40.31716361178777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 LP Design</vt:lpstr>
      <vt:lpstr>Comp IP Design</vt:lpstr>
      <vt:lpstr>Comp HP Design</vt:lpstr>
      <vt:lpstr>Comp Design Parameters</vt:lpstr>
      <vt:lpstr>Radial_Dimensions</vt:lpstr>
      <vt:lpstr>For blade twisting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Le Tran</dc:creator>
  <cp:lastModifiedBy>Windows User</cp:lastModifiedBy>
  <dcterms:created xsi:type="dcterms:W3CDTF">2016-03-20T03:18:50Z</dcterms:created>
  <dcterms:modified xsi:type="dcterms:W3CDTF">2016-05-10T02:42:32Z</dcterms:modified>
</cp:coreProperties>
</file>