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tamondal\Dropbox\Final Proj\_MEEN-646-2016_Final Project\2.Codes\Compressor Design\"/>
    </mc:Choice>
  </mc:AlternateContent>
  <bookViews>
    <workbookView xWindow="0" yWindow="0" windowWidth="38400" windowHeight="17835" firstSheet="1" activeTab="3"/>
  </bookViews>
  <sheets>
    <sheet name="Comp LP" sheetId="3" r:id="rId1"/>
    <sheet name="Comp IP" sheetId="5" r:id="rId2"/>
    <sheet name="Comp HP" sheetId="6" r:id="rId3"/>
    <sheet name="Comp_combine" sheetId="7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5" i="7" l="1"/>
  <c r="D11" i="7" l="1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C11" i="7"/>
  <c r="C15" i="7" l="1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C67" i="7" l="1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J10" i="7" l="1"/>
  <c r="P447" i="6"/>
  <c r="P405" i="6"/>
  <c r="P363" i="6"/>
  <c r="P321" i="6"/>
  <c r="P279" i="6"/>
  <c r="P237" i="6"/>
  <c r="P195" i="6"/>
  <c r="P153" i="6"/>
  <c r="P113" i="6"/>
  <c r="P231" i="5"/>
  <c r="P189" i="5"/>
  <c r="P147" i="5"/>
  <c r="P107" i="5"/>
  <c r="N38" i="5"/>
  <c r="N36" i="5"/>
  <c r="K47" i="5"/>
  <c r="P209" i="3"/>
  <c r="P167" i="3"/>
  <c r="P127" i="3"/>
  <c r="K111" i="3"/>
  <c r="N101" i="3"/>
  <c r="K101" i="3"/>
  <c r="C9" i="7"/>
  <c r="F39" i="7"/>
  <c r="O130" i="3" l="1"/>
  <c r="N454" i="6"/>
  <c r="E417" i="6"/>
  <c r="E375" i="6"/>
  <c r="E374" i="6"/>
  <c r="E333" i="6"/>
  <c r="E332" i="6"/>
  <c r="E291" i="6"/>
  <c r="E290" i="6"/>
  <c r="E249" i="6"/>
  <c r="E248" i="6"/>
  <c r="E207" i="6"/>
  <c r="E206" i="6"/>
  <c r="E165" i="6"/>
  <c r="E164" i="6"/>
  <c r="E123" i="6"/>
  <c r="E122" i="6"/>
  <c r="N88" i="6"/>
  <c r="N86" i="6"/>
  <c r="H86" i="6"/>
  <c r="K87" i="6" s="1"/>
  <c r="S87" i="6" s="1"/>
  <c r="M104" i="6" s="1"/>
  <c r="E83" i="6"/>
  <c r="E82" i="6"/>
  <c r="S86" i="6" s="1"/>
  <c r="E78" i="6"/>
  <c r="E416" i="6" s="1"/>
  <c r="E62" i="6"/>
  <c r="K47" i="6"/>
  <c r="N38" i="6"/>
  <c r="N36" i="6"/>
  <c r="H36" i="6"/>
  <c r="K37" i="6" s="1"/>
  <c r="N238" i="5"/>
  <c r="E201" i="5"/>
  <c r="E159" i="5"/>
  <c r="E158" i="5"/>
  <c r="H120" i="5"/>
  <c r="H162" i="5" s="1"/>
  <c r="E117" i="5"/>
  <c r="E116" i="5"/>
  <c r="U101" i="5"/>
  <c r="N82" i="5"/>
  <c r="N81" i="5"/>
  <c r="N120" i="5" s="1"/>
  <c r="N121" i="5" s="1"/>
  <c r="K81" i="5"/>
  <c r="E77" i="5"/>
  <c r="E76" i="5"/>
  <c r="E62" i="5"/>
  <c r="E69" i="5" s="1"/>
  <c r="S38" i="5"/>
  <c r="K37" i="5"/>
  <c r="S36" i="5"/>
  <c r="K42" i="5" s="1"/>
  <c r="S183" i="3"/>
  <c r="M200" i="3" s="1"/>
  <c r="K183" i="3"/>
  <c r="H140" i="3"/>
  <c r="K141" i="3" s="1"/>
  <c r="U121" i="3"/>
  <c r="U122" i="3" s="1"/>
  <c r="S101" i="3"/>
  <c r="K106" i="3" s="1"/>
  <c r="K112" i="3" s="1"/>
  <c r="N140" i="3"/>
  <c r="O170" i="3" s="1"/>
  <c r="S100" i="3"/>
  <c r="E87" i="3"/>
  <c r="E79" i="3"/>
  <c r="E65" i="3"/>
  <c r="L32" i="3"/>
  <c r="M32" i="3" s="1"/>
  <c r="H32" i="3"/>
  <c r="J36" i="3" s="1"/>
  <c r="F32" i="3"/>
  <c r="E32" i="3"/>
  <c r="S88" i="6" l="1"/>
  <c r="K92" i="6" s="1"/>
  <c r="G32" i="3"/>
  <c r="J40" i="3"/>
  <c r="H204" i="5"/>
  <c r="K205" i="5" s="1"/>
  <c r="S205" i="5" s="1"/>
  <c r="K163" i="5"/>
  <c r="J34" i="3"/>
  <c r="M54" i="5"/>
  <c r="E73" i="5"/>
  <c r="E200" i="5" s="1"/>
  <c r="S204" i="5" s="1"/>
  <c r="S120" i="5"/>
  <c r="K121" i="5"/>
  <c r="H126" i="6"/>
  <c r="H168" i="6" s="1"/>
  <c r="K169" i="6" s="1"/>
  <c r="S169" i="6" s="1"/>
  <c r="S182" i="3"/>
  <c r="S185" i="3" s="1"/>
  <c r="K189" i="3" s="1"/>
  <c r="K190" i="3" s="1"/>
  <c r="S37" i="5"/>
  <c r="S80" i="5"/>
  <c r="O110" i="5"/>
  <c r="O150" i="5"/>
  <c r="K48" i="5"/>
  <c r="O43" i="3"/>
  <c r="J38" i="3"/>
  <c r="N38" i="3" s="1"/>
  <c r="S162" i="5"/>
  <c r="O116" i="6"/>
  <c r="K98" i="6"/>
  <c r="K91" i="6"/>
  <c r="K97" i="6" s="1"/>
  <c r="J18" i="7" s="1"/>
  <c r="S38" i="6"/>
  <c r="M54" i="6" s="1"/>
  <c r="S36" i="6"/>
  <c r="K42" i="6" s="1"/>
  <c r="S37" i="6"/>
  <c r="E69" i="6"/>
  <c r="N87" i="6"/>
  <c r="U107" i="6"/>
  <c r="H210" i="6"/>
  <c r="S89" i="6"/>
  <c r="M186" i="6"/>
  <c r="K127" i="6"/>
  <c r="S126" i="6" s="1"/>
  <c r="N58" i="5"/>
  <c r="E67" i="5" s="1"/>
  <c r="K43" i="5"/>
  <c r="K50" i="5" s="1"/>
  <c r="N162" i="5"/>
  <c r="O192" i="5" s="1"/>
  <c r="S81" i="5"/>
  <c r="S83" i="5" s="1"/>
  <c r="K87" i="5" s="1"/>
  <c r="K94" i="5" s="1"/>
  <c r="U141" i="5"/>
  <c r="U161" i="3"/>
  <c r="N141" i="3"/>
  <c r="N36" i="3"/>
  <c r="N40" i="3"/>
  <c r="N34" i="3"/>
  <c r="S140" i="3"/>
  <c r="S141" i="3"/>
  <c r="K34" i="3"/>
  <c r="O34" i="3" s="1"/>
  <c r="K36" i="3"/>
  <c r="O36" i="3" s="1"/>
  <c r="K38" i="3"/>
  <c r="O38" i="3" s="1"/>
  <c r="K40" i="3"/>
  <c r="O40" i="3" s="1"/>
  <c r="J32" i="3"/>
  <c r="N32" i="3" s="1"/>
  <c r="J33" i="3"/>
  <c r="N33" i="3" s="1"/>
  <c r="J37" i="3"/>
  <c r="N37" i="3" s="1"/>
  <c r="J35" i="3"/>
  <c r="N35" i="3" s="1"/>
  <c r="J39" i="3"/>
  <c r="N39" i="3" s="1"/>
  <c r="S102" i="3"/>
  <c r="K107" i="3" s="1"/>
  <c r="M118" i="3"/>
  <c r="K35" i="3"/>
  <c r="O35" i="3" s="1"/>
  <c r="K37" i="3" l="1"/>
  <c r="O37" i="3" s="1"/>
  <c r="U108" i="6"/>
  <c r="K33" i="3"/>
  <c r="O33" i="3" s="1"/>
  <c r="S143" i="3"/>
  <c r="K147" i="3" s="1"/>
  <c r="K154" i="3" s="1"/>
  <c r="M52" i="5"/>
  <c r="K89" i="5"/>
  <c r="K95" i="5" s="1"/>
  <c r="N101" i="5" s="1"/>
  <c r="Q101" i="5" s="1"/>
  <c r="K45" i="5"/>
  <c r="K51" i="5" s="1"/>
  <c r="S163" i="5"/>
  <c r="S165" i="5" s="1"/>
  <c r="K169" i="5" s="1"/>
  <c r="K176" i="5" s="1"/>
  <c r="K100" i="6"/>
  <c r="K93" i="6"/>
  <c r="K88" i="5"/>
  <c r="K129" i="5" s="1"/>
  <c r="P40" i="3"/>
  <c r="Q40" i="3" s="1"/>
  <c r="S184" i="3"/>
  <c r="K188" i="3" s="1"/>
  <c r="S206" i="5"/>
  <c r="K210" i="5" s="1"/>
  <c r="K209" i="5" s="1"/>
  <c r="K215" i="5" s="1"/>
  <c r="K44" i="5"/>
  <c r="K49" i="5" s="1"/>
  <c r="K114" i="3"/>
  <c r="K108" i="3"/>
  <c r="K113" i="3" s="1"/>
  <c r="N122" i="3" s="1"/>
  <c r="M117" i="3"/>
  <c r="S168" i="6"/>
  <c r="S121" i="5"/>
  <c r="H252" i="6"/>
  <c r="K211" i="6"/>
  <c r="K43" i="6"/>
  <c r="K50" i="6" s="1"/>
  <c r="M103" i="6"/>
  <c r="K48" i="6"/>
  <c r="M144" i="6"/>
  <c r="S127" i="6"/>
  <c r="S129" i="6" s="1"/>
  <c r="K133" i="6" s="1"/>
  <c r="K140" i="6" s="1"/>
  <c r="N58" i="6"/>
  <c r="E67" i="6" s="1"/>
  <c r="N126" i="6"/>
  <c r="O156" i="6" s="1"/>
  <c r="S207" i="5"/>
  <c r="K211" i="5" s="1"/>
  <c r="M221" i="5" s="1"/>
  <c r="M98" i="5"/>
  <c r="M53" i="5"/>
  <c r="M222" i="5"/>
  <c r="N163" i="5"/>
  <c r="U183" i="5"/>
  <c r="S82" i="5"/>
  <c r="K86" i="5" s="1"/>
  <c r="N43" i="3"/>
  <c r="P37" i="3"/>
  <c r="Q37" i="3" s="1"/>
  <c r="M158" i="3"/>
  <c r="P34" i="3"/>
  <c r="Q34" i="3" s="1"/>
  <c r="K39" i="3"/>
  <c r="O39" i="3" s="1"/>
  <c r="P39" i="3" s="1"/>
  <c r="Q39" i="3" s="1"/>
  <c r="K32" i="3"/>
  <c r="O32" i="3" s="1"/>
  <c r="P32" i="3" s="1"/>
  <c r="Q32" i="3" s="1"/>
  <c r="P35" i="3"/>
  <c r="Q35" i="3" s="1"/>
  <c r="K148" i="3"/>
  <c r="K191" i="3" s="1"/>
  <c r="S142" i="3"/>
  <c r="K146" i="3" s="1"/>
  <c r="P38" i="3"/>
  <c r="Q38" i="3" s="1"/>
  <c r="N182" i="3"/>
  <c r="O212" i="3" s="1"/>
  <c r="K196" i="3"/>
  <c r="P33" i="3"/>
  <c r="Q33" i="3" s="1"/>
  <c r="M198" i="3"/>
  <c r="K194" i="3"/>
  <c r="K187" i="3"/>
  <c r="K193" i="3" s="1"/>
  <c r="M199" i="3"/>
  <c r="M116" i="3"/>
  <c r="P36" i="3"/>
  <c r="Q36" i="3" s="1"/>
  <c r="K212" i="5" l="1"/>
  <c r="K170" i="5"/>
  <c r="K95" i="6"/>
  <c r="K101" i="6" s="1"/>
  <c r="N107" i="6" s="1"/>
  <c r="Q107" i="6" s="1"/>
  <c r="J38" i="7" s="1"/>
  <c r="K45" i="6"/>
  <c r="K51" i="6" s="1"/>
  <c r="S123" i="5"/>
  <c r="K127" i="5" s="1"/>
  <c r="M138" i="5"/>
  <c r="F38" i="7"/>
  <c r="N103" i="5"/>
  <c r="N113" i="5" s="1"/>
  <c r="N143" i="5" s="1"/>
  <c r="N153" i="5" s="1"/>
  <c r="K216" i="5"/>
  <c r="K134" i="6"/>
  <c r="K139" i="6" s="1"/>
  <c r="M52" i="6"/>
  <c r="M180" i="5"/>
  <c r="M220" i="5"/>
  <c r="K44" i="6"/>
  <c r="S170" i="6"/>
  <c r="K174" i="6" s="1"/>
  <c r="S171" i="6"/>
  <c r="K175" i="6" s="1"/>
  <c r="S122" i="5"/>
  <c r="K126" i="5" s="1"/>
  <c r="K94" i="6"/>
  <c r="K99" i="6" s="1"/>
  <c r="N108" i="6" s="1"/>
  <c r="M102" i="6"/>
  <c r="S164" i="5"/>
  <c r="K168" i="5" s="1"/>
  <c r="N109" i="6"/>
  <c r="K253" i="6"/>
  <c r="H294" i="6"/>
  <c r="S128" i="6"/>
  <c r="K132" i="6" s="1"/>
  <c r="M105" i="6"/>
  <c r="M53" i="6"/>
  <c r="M55" i="6"/>
  <c r="K49" i="6"/>
  <c r="U147" i="6"/>
  <c r="N127" i="6"/>
  <c r="S211" i="6"/>
  <c r="M228" i="6" s="1"/>
  <c r="S210" i="6"/>
  <c r="M55" i="5"/>
  <c r="K218" i="5"/>
  <c r="M97" i="5"/>
  <c r="M96" i="5"/>
  <c r="K92" i="5"/>
  <c r="K85" i="5"/>
  <c r="K91" i="5" s="1"/>
  <c r="U102" i="5" s="1"/>
  <c r="N204" i="5"/>
  <c r="O234" i="5" s="1"/>
  <c r="K135" i="5"/>
  <c r="N141" i="5" s="1"/>
  <c r="K93" i="5"/>
  <c r="N102" i="5" s="1"/>
  <c r="M201" i="3"/>
  <c r="K195" i="3"/>
  <c r="M157" i="3"/>
  <c r="M156" i="3"/>
  <c r="K152" i="3"/>
  <c r="K145" i="3"/>
  <c r="K151" i="3" s="1"/>
  <c r="U162" i="3" s="1"/>
  <c r="M159" i="3"/>
  <c r="K197" i="3"/>
  <c r="N203" i="3" s="1"/>
  <c r="K153" i="3"/>
  <c r="N162" i="3" s="1"/>
  <c r="M119" i="3"/>
  <c r="K109" i="3"/>
  <c r="K149" i="3"/>
  <c r="K155" i="3" s="1"/>
  <c r="N161" i="3" s="1"/>
  <c r="C31" i="7"/>
  <c r="U203" i="3"/>
  <c r="U204" i="3" s="1"/>
  <c r="N183" i="3"/>
  <c r="N204" i="3" s="1"/>
  <c r="Q204" i="3" s="1"/>
  <c r="R205" i="3" s="1"/>
  <c r="K50" i="3"/>
  <c r="P43" i="3"/>
  <c r="H50" i="3" s="1"/>
  <c r="I50" i="3" s="1"/>
  <c r="J50" i="3"/>
  <c r="N114" i="5" l="1"/>
  <c r="U103" i="5"/>
  <c r="K213" i="5"/>
  <c r="K219" i="5" s="1"/>
  <c r="K175" i="5"/>
  <c r="N184" i="5" s="1"/>
  <c r="S212" i="6"/>
  <c r="K216" i="6" s="1"/>
  <c r="K215" i="6" s="1"/>
  <c r="K221" i="6" s="1"/>
  <c r="K135" i="6"/>
  <c r="K141" i="6" s="1"/>
  <c r="K125" i="5"/>
  <c r="K131" i="5" s="1"/>
  <c r="U142" i="5" s="1"/>
  <c r="U143" i="5" s="1"/>
  <c r="K132" i="5"/>
  <c r="M136" i="5"/>
  <c r="M137" i="5"/>
  <c r="Q121" i="3"/>
  <c r="N123" i="3" s="1"/>
  <c r="N133" i="3" s="1"/>
  <c r="K115" i="3"/>
  <c r="N121" i="3" s="1"/>
  <c r="N147" i="6"/>
  <c r="K17" i="7"/>
  <c r="K167" i="5"/>
  <c r="K174" i="5"/>
  <c r="M178" i="5"/>
  <c r="M179" i="5"/>
  <c r="K182" i="6"/>
  <c r="K176" i="6"/>
  <c r="K134" i="5"/>
  <c r="K128" i="5"/>
  <c r="M50" i="3"/>
  <c r="E92" i="3" s="1"/>
  <c r="M99" i="5"/>
  <c r="K177" i="6"/>
  <c r="K183" i="6" s="1"/>
  <c r="K173" i="6"/>
  <c r="K179" i="6" s="1"/>
  <c r="K180" i="6"/>
  <c r="M185" i="6"/>
  <c r="M184" i="6"/>
  <c r="L50" i="3"/>
  <c r="G64" i="3" s="1"/>
  <c r="U109" i="6"/>
  <c r="X107" i="6" s="1"/>
  <c r="U110" i="6" s="1"/>
  <c r="N119" i="6"/>
  <c r="S253" i="6"/>
  <c r="M270" i="6" s="1"/>
  <c r="S252" i="6"/>
  <c r="M142" i="6"/>
  <c r="K138" i="6"/>
  <c r="M143" i="6"/>
  <c r="K131" i="6"/>
  <c r="S213" i="6"/>
  <c r="K217" i="6" s="1"/>
  <c r="M227" i="6" s="1"/>
  <c r="N148" i="6"/>
  <c r="N168" i="6"/>
  <c r="O198" i="6" s="1"/>
  <c r="H336" i="6"/>
  <c r="K295" i="6"/>
  <c r="X141" i="5"/>
  <c r="U144" i="5" s="1"/>
  <c r="N185" i="5"/>
  <c r="X101" i="5"/>
  <c r="U104" i="5" s="1"/>
  <c r="K217" i="5"/>
  <c r="M223" i="5"/>
  <c r="Q102" i="5"/>
  <c r="N122" i="5"/>
  <c r="Q141" i="5" s="1"/>
  <c r="G38" i="7" s="1"/>
  <c r="N205" i="5"/>
  <c r="N226" i="5" s="1"/>
  <c r="Q226" i="5" s="1"/>
  <c r="R227" i="5" s="1"/>
  <c r="N225" i="5"/>
  <c r="U225" i="5"/>
  <c r="U226" i="5" s="1"/>
  <c r="N50" i="3"/>
  <c r="O50" i="3" s="1"/>
  <c r="P50" i="3"/>
  <c r="U123" i="3"/>
  <c r="K222" i="6" l="1"/>
  <c r="K219" i="6"/>
  <c r="K225" i="6" s="1"/>
  <c r="M187" i="6"/>
  <c r="K181" i="6"/>
  <c r="S254" i="6"/>
  <c r="K258" i="6" s="1"/>
  <c r="K257" i="6" s="1"/>
  <c r="K263" i="6" s="1"/>
  <c r="K173" i="5"/>
  <c r="U184" i="5" s="1"/>
  <c r="M181" i="5"/>
  <c r="K133" i="5"/>
  <c r="N142" i="5" s="1"/>
  <c r="N154" i="5" s="1"/>
  <c r="Q142" i="5" s="1"/>
  <c r="M139" i="5"/>
  <c r="K171" i="5"/>
  <c r="K177" i="5" s="1"/>
  <c r="N183" i="5" s="1"/>
  <c r="N149" i="6"/>
  <c r="N159" i="6" s="1"/>
  <c r="N191" i="6" s="1"/>
  <c r="N120" i="6"/>
  <c r="K137" i="6"/>
  <c r="U148" i="6" s="1"/>
  <c r="M145" i="6"/>
  <c r="S295" i="6"/>
  <c r="S294" i="6"/>
  <c r="K224" i="6"/>
  <c r="K218" i="6"/>
  <c r="M226" i="6"/>
  <c r="S255" i="6"/>
  <c r="K259" i="6" s="1"/>
  <c r="M269" i="6" s="1"/>
  <c r="N169" i="6"/>
  <c r="N189" i="6"/>
  <c r="U189" i="6"/>
  <c r="U190" i="6" s="1"/>
  <c r="K337" i="6"/>
  <c r="H378" i="6"/>
  <c r="N195" i="5"/>
  <c r="U185" i="5"/>
  <c r="E71" i="3"/>
  <c r="E66" i="3"/>
  <c r="O70" i="3" s="1"/>
  <c r="E74" i="3" s="1"/>
  <c r="X121" i="3"/>
  <c r="U124" i="3" s="1"/>
  <c r="N163" i="3"/>
  <c r="N173" i="3" s="1"/>
  <c r="N134" i="3"/>
  <c r="I69" i="3"/>
  <c r="E61" i="3"/>
  <c r="E63" i="3" s="1"/>
  <c r="O69" i="3" s="1"/>
  <c r="N164" i="5" l="1"/>
  <c r="Q183" i="5" s="1"/>
  <c r="N160" i="6"/>
  <c r="K264" i="6"/>
  <c r="S297" i="6"/>
  <c r="K301" i="6" s="1"/>
  <c r="K308" i="6" s="1"/>
  <c r="U149" i="6"/>
  <c r="X147" i="6" s="1"/>
  <c r="U150" i="6" s="1"/>
  <c r="N128" i="6"/>
  <c r="Q147" i="6" s="1"/>
  <c r="K38" i="7" s="1"/>
  <c r="Q108" i="6"/>
  <c r="M268" i="6"/>
  <c r="H420" i="6"/>
  <c r="K421" i="6" s="1"/>
  <c r="K379" i="6"/>
  <c r="U191" i="6"/>
  <c r="N201" i="6"/>
  <c r="S296" i="6"/>
  <c r="K300" i="6" s="1"/>
  <c r="M312" i="6"/>
  <c r="S337" i="6"/>
  <c r="M354" i="6"/>
  <c r="S336" i="6"/>
  <c r="S338" i="6" s="1"/>
  <c r="K342" i="6" s="1"/>
  <c r="K341" i="6" s="1"/>
  <c r="K347" i="6" s="1"/>
  <c r="N210" i="6"/>
  <c r="O240" i="6" s="1"/>
  <c r="N190" i="6"/>
  <c r="N170" i="6"/>
  <c r="Q189" i="6" s="1"/>
  <c r="Q148" i="6"/>
  <c r="K266" i="6"/>
  <c r="K260" i="6"/>
  <c r="M229" i="6"/>
  <c r="K223" i="6"/>
  <c r="K261" i="6"/>
  <c r="K267" i="6" s="1"/>
  <c r="X183" i="5"/>
  <c r="U186" i="5" s="1"/>
  <c r="N196" i="5"/>
  <c r="N227" i="5"/>
  <c r="E73" i="3"/>
  <c r="N142" i="3"/>
  <c r="Q122" i="3"/>
  <c r="Q161" i="3" s="1"/>
  <c r="D38" i="7" s="1"/>
  <c r="C79" i="3"/>
  <c r="E81" i="3" s="1"/>
  <c r="U163" i="3"/>
  <c r="K302" i="6" l="1"/>
  <c r="X189" i="6"/>
  <c r="U192" i="6" s="1"/>
  <c r="K265" i="6"/>
  <c r="K303" i="6"/>
  <c r="K309" i="6" s="1"/>
  <c r="M271" i="6"/>
  <c r="S379" i="6"/>
  <c r="S378" i="6"/>
  <c r="M310" i="6"/>
  <c r="M311" i="6"/>
  <c r="K306" i="6"/>
  <c r="K299" i="6"/>
  <c r="K305" i="6" s="1"/>
  <c r="S421" i="6"/>
  <c r="S420" i="6"/>
  <c r="K348" i="6"/>
  <c r="K345" i="6"/>
  <c r="K351" i="6" s="1"/>
  <c r="K307" i="6"/>
  <c r="U231" i="6"/>
  <c r="U232" i="6" s="1"/>
  <c r="N211" i="6"/>
  <c r="N231" i="6"/>
  <c r="S339" i="6"/>
  <c r="K343" i="6" s="1"/>
  <c r="M353" i="6" s="1"/>
  <c r="N233" i="6"/>
  <c r="N202" i="6"/>
  <c r="U227" i="5"/>
  <c r="N237" i="5"/>
  <c r="N206" i="5"/>
  <c r="Q225" i="5" s="1"/>
  <c r="Q184" i="5"/>
  <c r="X161" i="3"/>
  <c r="U164" i="3" s="1"/>
  <c r="N205" i="3"/>
  <c r="N174" i="3"/>
  <c r="S423" i="6" l="1"/>
  <c r="K427" i="6" s="1"/>
  <c r="K434" i="6" s="1"/>
  <c r="S381" i="6"/>
  <c r="K385" i="6" s="1"/>
  <c r="K392" i="6" s="1"/>
  <c r="N212" i="6"/>
  <c r="Q231" i="6" s="1"/>
  <c r="Q190" i="6"/>
  <c r="N243" i="6"/>
  <c r="U233" i="6"/>
  <c r="N232" i="6"/>
  <c r="N252" i="6"/>
  <c r="O282" i="6" s="1"/>
  <c r="M313" i="6"/>
  <c r="S422" i="6"/>
  <c r="K426" i="6" s="1"/>
  <c r="K350" i="6"/>
  <c r="K344" i="6"/>
  <c r="S380" i="6"/>
  <c r="K384" i="6" s="1"/>
  <c r="M396" i="6"/>
  <c r="M352" i="6"/>
  <c r="M438" i="6"/>
  <c r="K386" i="6"/>
  <c r="X225" i="5"/>
  <c r="U228" i="5" s="1"/>
  <c r="N184" i="3"/>
  <c r="Q162" i="3"/>
  <c r="Q203" i="3" s="1"/>
  <c r="N215" i="3"/>
  <c r="U205" i="3"/>
  <c r="K428" i="6" l="1"/>
  <c r="K391" i="6"/>
  <c r="K429" i="6"/>
  <c r="K435" i="6" s="1"/>
  <c r="M437" i="6"/>
  <c r="M436" i="6"/>
  <c r="K432" i="6"/>
  <c r="K425" i="6"/>
  <c r="K431" i="6" s="1"/>
  <c r="K349" i="6"/>
  <c r="K387" i="6"/>
  <c r="K393" i="6" s="1"/>
  <c r="M355" i="6"/>
  <c r="N244" i="6"/>
  <c r="N275" i="6"/>
  <c r="X231" i="6"/>
  <c r="U234" i="6" s="1"/>
  <c r="N253" i="6"/>
  <c r="N273" i="6"/>
  <c r="U273" i="6"/>
  <c r="U274" i="6" s="1"/>
  <c r="M394" i="6"/>
  <c r="K390" i="6"/>
  <c r="M395" i="6"/>
  <c r="K383" i="6"/>
  <c r="K389" i="6" s="1"/>
  <c r="K433" i="6"/>
  <c r="M439" i="6"/>
  <c r="X203" i="3"/>
  <c r="U206" i="3" s="1"/>
  <c r="N294" i="6" l="1"/>
  <c r="O324" i="6" s="1"/>
  <c r="N274" i="6"/>
  <c r="Q232" i="6"/>
  <c r="N254" i="6"/>
  <c r="Q273" i="6" s="1"/>
  <c r="U275" i="6"/>
  <c r="N285" i="6"/>
  <c r="M397" i="6"/>
  <c r="N317" i="6" l="1"/>
  <c r="N286" i="6"/>
  <c r="X273" i="6"/>
  <c r="U276" i="6" s="1"/>
  <c r="U315" i="6"/>
  <c r="U316" i="6" s="1"/>
  <c r="N295" i="6"/>
  <c r="N315" i="6"/>
  <c r="N316" i="6" l="1"/>
  <c r="N336" i="6"/>
  <c r="O366" i="6" s="1"/>
  <c r="N296" i="6"/>
  <c r="Q315" i="6" s="1"/>
  <c r="Q274" i="6"/>
  <c r="N327" i="6"/>
  <c r="U317" i="6"/>
  <c r="X315" i="6" l="1"/>
  <c r="U318" i="6" s="1"/>
  <c r="N337" i="6"/>
  <c r="N357" i="6"/>
  <c r="U357" i="6"/>
  <c r="U358" i="6" s="1"/>
  <c r="N328" i="6"/>
  <c r="N359" i="6"/>
  <c r="Q316" i="6" l="1"/>
  <c r="N338" i="6"/>
  <c r="Q357" i="6" s="1"/>
  <c r="N378" i="6"/>
  <c r="O408" i="6" s="1"/>
  <c r="N358" i="6"/>
  <c r="U359" i="6"/>
  <c r="N369" i="6"/>
  <c r="U399" i="6" l="1"/>
  <c r="U400" i="6" s="1"/>
  <c r="N399" i="6"/>
  <c r="N379" i="6"/>
  <c r="N401" i="6"/>
  <c r="N370" i="6"/>
  <c r="X357" i="6"/>
  <c r="U360" i="6" s="1"/>
  <c r="N400" i="6" l="1"/>
  <c r="N420" i="6"/>
  <c r="O450" i="6" s="1"/>
  <c r="N380" i="6"/>
  <c r="Q399" i="6" s="1"/>
  <c r="Q358" i="6"/>
  <c r="N411" i="6"/>
  <c r="U401" i="6"/>
  <c r="X399" i="6" l="1"/>
  <c r="U402" i="6" s="1"/>
  <c r="N421" i="6"/>
  <c r="N442" i="6" s="1"/>
  <c r="Q442" i="6" s="1"/>
  <c r="R443" i="6" s="1"/>
  <c r="N441" i="6"/>
  <c r="U441" i="6"/>
  <c r="U442" i="6" s="1"/>
  <c r="N412" i="6"/>
  <c r="N443" i="6"/>
  <c r="U443" i="6" l="1"/>
  <c r="N453" i="6"/>
  <c r="Q400" i="6"/>
  <c r="N422" i="6"/>
  <c r="Q441" i="6" s="1"/>
  <c r="X441" i="6" l="1"/>
  <c r="U444" i="6" s="1"/>
  <c r="R39" i="7" l="1"/>
  <c r="Q39" i="7"/>
  <c r="P39" i="7"/>
  <c r="O39" i="7"/>
  <c r="N39" i="7"/>
  <c r="M39" i="7"/>
  <c r="L39" i="7"/>
  <c r="K39" i="7"/>
  <c r="J39" i="7"/>
  <c r="I39" i="7"/>
  <c r="H39" i="7"/>
  <c r="G39" i="7"/>
  <c r="E39" i="7"/>
  <c r="D39" i="7"/>
  <c r="C39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R6" i="7" l="1"/>
  <c r="Q6" i="7"/>
  <c r="P6" i="7"/>
  <c r="O6" i="7"/>
  <c r="N6" i="7"/>
  <c r="M6" i="7"/>
  <c r="L6" i="7"/>
  <c r="K6" i="7"/>
  <c r="J6" i="7"/>
  <c r="I6" i="7"/>
  <c r="H6" i="7"/>
  <c r="G6" i="7"/>
  <c r="F6" i="7"/>
  <c r="E6" i="7"/>
  <c r="C6" i="7"/>
  <c r="D6" i="7"/>
  <c r="J9" i="7"/>
  <c r="K9" i="7"/>
  <c r="L9" i="7"/>
  <c r="M9" i="7"/>
  <c r="N9" i="7"/>
  <c r="O9" i="7"/>
  <c r="P9" i="7"/>
  <c r="Q9" i="7"/>
  <c r="R9" i="7"/>
  <c r="R10" i="7"/>
  <c r="Q10" i="7"/>
  <c r="P10" i="7"/>
  <c r="O10" i="7"/>
  <c r="N10" i="7"/>
  <c r="M10" i="7"/>
  <c r="L10" i="7"/>
  <c r="K10" i="7"/>
  <c r="R7" i="7"/>
  <c r="Q7" i="7"/>
  <c r="Q5" i="7"/>
  <c r="P7" i="7"/>
  <c r="P5" i="7"/>
  <c r="O7" i="7"/>
  <c r="O5" i="7"/>
  <c r="N7" i="7"/>
  <c r="N5" i="7"/>
  <c r="M7" i="7"/>
  <c r="M5" i="7"/>
  <c r="L7" i="7"/>
  <c r="L5" i="7"/>
  <c r="K7" i="7"/>
  <c r="J7" i="7"/>
  <c r="K5" i="7"/>
  <c r="J5" i="7"/>
  <c r="G9" i="7"/>
  <c r="H9" i="7"/>
  <c r="I9" i="7"/>
  <c r="F9" i="7"/>
  <c r="I10" i="7"/>
  <c r="H10" i="7"/>
  <c r="G10" i="7"/>
  <c r="F27" i="7"/>
  <c r="F10" i="7"/>
  <c r="I7" i="7"/>
  <c r="H7" i="7"/>
  <c r="H5" i="7"/>
  <c r="G7" i="7"/>
  <c r="G5" i="7"/>
  <c r="F7" i="7"/>
  <c r="F5" i="7"/>
  <c r="E37" i="7"/>
  <c r="E9" i="7"/>
  <c r="E10" i="7"/>
  <c r="D9" i="7"/>
  <c r="D10" i="7"/>
  <c r="C35" i="7"/>
  <c r="C27" i="7"/>
  <c r="C10" i="7"/>
  <c r="E7" i="7"/>
  <c r="D7" i="7"/>
  <c r="C7" i="7"/>
  <c r="E5" i="7"/>
  <c r="D5" i="7"/>
  <c r="C5" i="7"/>
  <c r="C42" i="7" l="1"/>
  <c r="E42" i="7"/>
  <c r="E45" i="7" s="1"/>
  <c r="F42" i="7"/>
  <c r="Z76" i="7"/>
  <c r="Z75" i="7"/>
  <c r="Z77" i="7"/>
  <c r="AB77" i="7"/>
  <c r="AB76" i="7"/>
  <c r="AB75" i="7"/>
  <c r="AC75" i="7"/>
  <c r="AC77" i="7"/>
  <c r="AC76" i="7"/>
  <c r="R37" i="7"/>
  <c r="J35" i="7"/>
  <c r="J42" i="7"/>
  <c r="J59" i="7" s="1"/>
  <c r="G42" i="7"/>
  <c r="G59" i="7" s="1"/>
  <c r="F35" i="7"/>
  <c r="C18" i="7"/>
  <c r="C28" i="7"/>
  <c r="C54" i="7" s="1"/>
  <c r="C55" i="7" s="1"/>
  <c r="E48" i="7" l="1"/>
  <c r="E59" i="7"/>
  <c r="C48" i="7"/>
  <c r="C59" i="7"/>
  <c r="C63" i="7" s="1"/>
  <c r="F48" i="7"/>
  <c r="F59" i="7"/>
  <c r="C45" i="7"/>
  <c r="F45" i="7"/>
  <c r="E51" i="7"/>
  <c r="G48" i="7"/>
  <c r="G45" i="7"/>
  <c r="J48" i="7"/>
  <c r="J45" i="7"/>
  <c r="D42" i="7"/>
  <c r="D27" i="7"/>
  <c r="I5" i="7"/>
  <c r="AH76" i="7"/>
  <c r="F28" i="7"/>
  <c r="C19" i="7"/>
  <c r="R5" i="7"/>
  <c r="K27" i="7"/>
  <c r="J28" i="7"/>
  <c r="I37" i="7"/>
  <c r="AD76" i="7"/>
  <c r="AD75" i="7"/>
  <c r="AD77" i="7"/>
  <c r="AG75" i="7"/>
  <c r="AG77" i="7"/>
  <c r="AG76" i="7"/>
  <c r="J27" i="7"/>
  <c r="AA77" i="7"/>
  <c r="AA75" i="7"/>
  <c r="AA76" i="7"/>
  <c r="K28" i="7"/>
  <c r="C51" i="7" l="1"/>
  <c r="D48" i="7"/>
  <c r="D59" i="7"/>
  <c r="F51" i="7"/>
  <c r="F54" i="7"/>
  <c r="F55" i="7" s="1"/>
  <c r="G51" i="7"/>
  <c r="K54" i="7"/>
  <c r="K55" i="7" s="1"/>
  <c r="AH75" i="7"/>
  <c r="K42" i="7"/>
  <c r="K59" i="7" s="1"/>
  <c r="D45" i="7"/>
  <c r="J54" i="7"/>
  <c r="J55" i="7" s="1"/>
  <c r="J51" i="7"/>
  <c r="AH77" i="7"/>
  <c r="F25" i="7"/>
  <c r="C21" i="7"/>
  <c r="C24" i="7"/>
  <c r="D28" i="7"/>
  <c r="L27" i="7"/>
  <c r="K25" i="7"/>
  <c r="J25" i="7"/>
  <c r="G25" i="7"/>
  <c r="D25" i="7"/>
  <c r="E25" i="7"/>
  <c r="C25" i="7"/>
  <c r="C22" i="7"/>
  <c r="D51" i="7" l="1"/>
  <c r="K45" i="7"/>
  <c r="F24" i="7"/>
  <c r="K48" i="7"/>
  <c r="G27" i="7"/>
  <c r="F22" i="7"/>
  <c r="D54" i="7"/>
  <c r="D55" i="7" s="1"/>
  <c r="H42" i="7"/>
  <c r="H59" i="7" s="1"/>
  <c r="L42" i="7"/>
  <c r="J21" i="7"/>
  <c r="F21" i="7"/>
  <c r="J19" i="7"/>
  <c r="C20" i="7"/>
  <c r="AI77" i="7"/>
  <c r="AI76" i="7"/>
  <c r="AI75" i="7"/>
  <c r="K21" i="7"/>
  <c r="E21" i="7"/>
  <c r="F18" i="7"/>
  <c r="E27" i="7"/>
  <c r="E28" i="7"/>
  <c r="G28" i="7"/>
  <c r="AE77" i="7"/>
  <c r="AE76" i="7"/>
  <c r="AE75" i="7"/>
  <c r="F19" i="7"/>
  <c r="L28" i="7"/>
  <c r="J22" i="7"/>
  <c r="G24" i="7"/>
  <c r="G21" i="7"/>
  <c r="D19" i="7"/>
  <c r="D24" i="7"/>
  <c r="D22" i="7"/>
  <c r="D21" i="7"/>
  <c r="E24" i="7"/>
  <c r="E22" i="7"/>
  <c r="E19" i="7"/>
  <c r="C26" i="7"/>
  <c r="K51" i="7" l="1"/>
  <c r="K22" i="7"/>
  <c r="E54" i="7"/>
  <c r="E55" i="7" s="1"/>
  <c r="H45" i="7"/>
  <c r="L48" i="7"/>
  <c r="L59" i="7"/>
  <c r="K24" i="7"/>
  <c r="H48" i="7"/>
  <c r="L54" i="7"/>
  <c r="L55" i="7" s="1"/>
  <c r="G54" i="7"/>
  <c r="G55" i="7" s="1"/>
  <c r="L45" i="7"/>
  <c r="M42" i="7"/>
  <c r="I42" i="7"/>
  <c r="J24" i="7"/>
  <c r="G19" i="7"/>
  <c r="K29" i="7"/>
  <c r="G22" i="7"/>
  <c r="F26" i="7"/>
  <c r="D18" i="7"/>
  <c r="K19" i="7"/>
  <c r="H25" i="7"/>
  <c r="J31" i="7"/>
  <c r="J20" i="7"/>
  <c r="AJ77" i="7"/>
  <c r="AJ76" i="7"/>
  <c r="AJ75" i="7"/>
  <c r="AF77" i="7"/>
  <c r="AF76" i="7"/>
  <c r="AF75" i="7"/>
  <c r="D66" i="7"/>
  <c r="D65" i="7" s="1"/>
  <c r="H27" i="7"/>
  <c r="I25" i="7"/>
  <c r="E18" i="7"/>
  <c r="K18" i="7"/>
  <c r="K66" i="7"/>
  <c r="K65" i="7" s="1"/>
  <c r="M27" i="7"/>
  <c r="K26" i="7"/>
  <c r="L25" i="7"/>
  <c r="J26" i="7"/>
  <c r="G26" i="7"/>
  <c r="D26" i="7"/>
  <c r="E26" i="7"/>
  <c r="L51" i="7" l="1"/>
  <c r="C66" i="7"/>
  <c r="M48" i="7"/>
  <c r="M59" i="7"/>
  <c r="I48" i="7"/>
  <c r="I59" i="7"/>
  <c r="H51" i="7"/>
  <c r="D64" i="7"/>
  <c r="N42" i="7"/>
  <c r="M45" i="7"/>
  <c r="I45" i="7"/>
  <c r="D23" i="7"/>
  <c r="K64" i="7"/>
  <c r="K23" i="7"/>
  <c r="C23" i="7"/>
  <c r="G18" i="7"/>
  <c r="M24" i="7"/>
  <c r="F31" i="7"/>
  <c r="F20" i="7"/>
  <c r="M25" i="7"/>
  <c r="G20" i="7"/>
  <c r="G31" i="7"/>
  <c r="M20" i="7"/>
  <c r="D31" i="7"/>
  <c r="D20" i="7"/>
  <c r="E20" i="7"/>
  <c r="D17" i="7"/>
  <c r="D29" i="7"/>
  <c r="AK75" i="7"/>
  <c r="AK77" i="7"/>
  <c r="AK76" i="7"/>
  <c r="C17" i="7"/>
  <c r="I19" i="7"/>
  <c r="H28" i="7"/>
  <c r="H21" i="7"/>
  <c r="L21" i="7"/>
  <c r="M26" i="7"/>
  <c r="K31" i="7"/>
  <c r="K20" i="7"/>
  <c r="E66" i="7"/>
  <c r="E65" i="7" s="1"/>
  <c r="H24" i="7"/>
  <c r="H22" i="7"/>
  <c r="H19" i="7"/>
  <c r="M21" i="7"/>
  <c r="M28" i="7"/>
  <c r="L22" i="7"/>
  <c r="L19" i="7"/>
  <c r="L24" i="7"/>
  <c r="C65" i="7" l="1"/>
  <c r="C64" i="7"/>
  <c r="I51" i="7"/>
  <c r="M19" i="7"/>
  <c r="M51" i="7"/>
  <c r="M22" i="7"/>
  <c r="N48" i="7"/>
  <c r="N59" i="7"/>
  <c r="O42" i="7"/>
  <c r="N45" i="7"/>
  <c r="M54" i="7"/>
  <c r="M55" i="7" s="1"/>
  <c r="H54" i="7"/>
  <c r="H55" i="7" s="1"/>
  <c r="G66" i="7"/>
  <c r="E23" i="7"/>
  <c r="L23" i="7"/>
  <c r="L66" i="7"/>
  <c r="F66" i="7"/>
  <c r="F23" i="7"/>
  <c r="G23" i="7"/>
  <c r="E64" i="7"/>
  <c r="G17" i="7"/>
  <c r="G29" i="7"/>
  <c r="AL76" i="7"/>
  <c r="AL75" i="7"/>
  <c r="AL77" i="7"/>
  <c r="I21" i="7"/>
  <c r="H66" i="7"/>
  <c r="H65" i="7" s="1"/>
  <c r="H18" i="7"/>
  <c r="E31" i="7"/>
  <c r="E29" i="7"/>
  <c r="E17" i="7"/>
  <c r="I22" i="7"/>
  <c r="N21" i="7"/>
  <c r="O25" i="7"/>
  <c r="M18" i="7"/>
  <c r="I18" i="7"/>
  <c r="I24" i="7"/>
  <c r="N25" i="7"/>
  <c r="N17" i="7"/>
  <c r="F17" i="7"/>
  <c r="L29" i="7"/>
  <c r="L17" i="7"/>
  <c r="H17" i="7"/>
  <c r="H29" i="7"/>
  <c r="C29" i="7"/>
  <c r="H26" i="7"/>
  <c r="I27" i="7"/>
  <c r="I28" i="7"/>
  <c r="N27" i="7"/>
  <c r="M31" i="7"/>
  <c r="L18" i="7"/>
  <c r="L26" i="7"/>
  <c r="G64" i="7" l="1"/>
  <c r="G65" i="7"/>
  <c r="F64" i="7"/>
  <c r="F65" i="7"/>
  <c r="L64" i="7"/>
  <c r="L65" i="7"/>
  <c r="N51" i="7"/>
  <c r="O48" i="7"/>
  <c r="O59" i="7"/>
  <c r="O45" i="7"/>
  <c r="I54" i="7"/>
  <c r="I55" i="7" s="1"/>
  <c r="P42" i="7"/>
  <c r="P59" i="7" s="1"/>
  <c r="H64" i="7"/>
  <c r="H23" i="7"/>
  <c r="N20" i="7"/>
  <c r="C38" i="7"/>
  <c r="C41" i="7" s="1"/>
  <c r="C58" i="7" s="1"/>
  <c r="E40" i="7"/>
  <c r="E43" i="7" s="1"/>
  <c r="M66" i="7"/>
  <c r="M65" i="7" s="1"/>
  <c r="N24" i="7"/>
  <c r="N19" i="7"/>
  <c r="N22" i="7"/>
  <c r="N26" i="7"/>
  <c r="I26" i="7"/>
  <c r="H20" i="7"/>
  <c r="H31" i="7"/>
  <c r="L31" i="7"/>
  <c r="L20" i="7"/>
  <c r="I66" i="7"/>
  <c r="I65" i="7" s="1"/>
  <c r="AM77" i="7"/>
  <c r="AM76" i="7"/>
  <c r="AM75" i="7"/>
  <c r="F29" i="7"/>
  <c r="N28" i="7"/>
  <c r="N29" i="7"/>
  <c r="O51" i="7" l="1"/>
  <c r="P45" i="7"/>
  <c r="P48" i="7"/>
  <c r="N54" i="7"/>
  <c r="N55" i="7" s="1"/>
  <c r="Q42" i="7"/>
  <c r="Q59" i="7" s="1"/>
  <c r="M23" i="7"/>
  <c r="I23" i="7"/>
  <c r="M64" i="7"/>
  <c r="E63" i="7"/>
  <c r="C62" i="7"/>
  <c r="I64" i="7"/>
  <c r="P18" i="7"/>
  <c r="O22" i="7"/>
  <c r="O19" i="7"/>
  <c r="F41" i="7"/>
  <c r="F58" i="7" s="1"/>
  <c r="M29" i="7"/>
  <c r="M17" i="7"/>
  <c r="C44" i="7"/>
  <c r="U43" i="7" s="1"/>
  <c r="C47" i="7"/>
  <c r="U44" i="7" s="1"/>
  <c r="I17" i="7"/>
  <c r="I29" i="7"/>
  <c r="N18" i="7"/>
  <c r="AN76" i="7"/>
  <c r="AN77" i="7"/>
  <c r="AN75" i="7"/>
  <c r="O17" i="7"/>
  <c r="Q25" i="7"/>
  <c r="I20" i="7"/>
  <c r="E49" i="7"/>
  <c r="E46" i="7"/>
  <c r="W45" i="7" s="1"/>
  <c r="O21" i="7"/>
  <c r="C32" i="7"/>
  <c r="P25" i="7"/>
  <c r="O24" i="7"/>
  <c r="O18" i="7"/>
  <c r="O27" i="7"/>
  <c r="N31" i="7"/>
  <c r="AB80" i="7" l="1"/>
  <c r="W46" i="7"/>
  <c r="Q48" i="7"/>
  <c r="P24" i="7"/>
  <c r="P19" i="7"/>
  <c r="Q45" i="7"/>
  <c r="P51" i="7"/>
  <c r="R42" i="7"/>
  <c r="N23" i="7"/>
  <c r="N66" i="7"/>
  <c r="O23" i="7"/>
  <c r="F62" i="7"/>
  <c r="O66" i="7"/>
  <c r="J66" i="7"/>
  <c r="J23" i="7"/>
  <c r="C34" i="7"/>
  <c r="C53" i="7" s="1"/>
  <c r="Z78" i="7"/>
  <c r="P21" i="7"/>
  <c r="Q19" i="7"/>
  <c r="Z72" i="7"/>
  <c r="Z81" i="7" s="1"/>
  <c r="C50" i="7"/>
  <c r="O20" i="7"/>
  <c r="O26" i="7"/>
  <c r="AB74" i="7"/>
  <c r="E52" i="7"/>
  <c r="J17" i="7"/>
  <c r="R25" i="7"/>
  <c r="Q18" i="7"/>
  <c r="F32" i="7"/>
  <c r="I31" i="7"/>
  <c r="I40" i="7"/>
  <c r="I43" i="7" s="1"/>
  <c r="F47" i="7"/>
  <c r="X44" i="7" s="1"/>
  <c r="F44" i="7"/>
  <c r="X43" i="7" s="1"/>
  <c r="P22" i="7"/>
  <c r="Q22" i="7"/>
  <c r="AO75" i="7"/>
  <c r="AO77" i="7"/>
  <c r="AO76" i="7"/>
  <c r="O28" i="7"/>
  <c r="O29" i="7"/>
  <c r="Q51" i="7" l="1"/>
  <c r="O64" i="7"/>
  <c r="O65" i="7"/>
  <c r="J64" i="7"/>
  <c r="J65" i="7"/>
  <c r="N64" i="7"/>
  <c r="N65" i="7"/>
  <c r="R48" i="7"/>
  <c r="R59" i="7"/>
  <c r="R45" i="7"/>
  <c r="O54" i="7"/>
  <c r="O55" i="7" s="1"/>
  <c r="I63" i="7"/>
  <c r="R19" i="7"/>
  <c r="P20" i="7"/>
  <c r="P26" i="7"/>
  <c r="Q21" i="7"/>
  <c r="Q24" i="7"/>
  <c r="D32" i="7"/>
  <c r="I46" i="7"/>
  <c r="AA45" i="7" s="1"/>
  <c r="I49" i="7"/>
  <c r="P17" i="7"/>
  <c r="J29" i="7"/>
  <c r="C37" i="7"/>
  <c r="D35" i="7"/>
  <c r="AC72" i="7"/>
  <c r="AC81" i="7" s="1"/>
  <c r="F50" i="7"/>
  <c r="AC78" i="7"/>
  <c r="F34" i="7"/>
  <c r="F53" i="7" s="1"/>
  <c r="R22" i="7"/>
  <c r="P27" i="7"/>
  <c r="O31" i="7"/>
  <c r="AF80" i="7" l="1"/>
  <c r="AA46" i="7"/>
  <c r="R51" i="7"/>
  <c r="P66" i="7"/>
  <c r="P23" i="7"/>
  <c r="R18" i="7"/>
  <c r="C40" i="7"/>
  <c r="C43" i="7" s="1"/>
  <c r="D41" i="7"/>
  <c r="D58" i="7" s="1"/>
  <c r="D34" i="7"/>
  <c r="D53" i="7" s="1"/>
  <c r="F37" i="7"/>
  <c r="F40" i="7"/>
  <c r="F43" i="7" s="1"/>
  <c r="J41" i="7"/>
  <c r="J58" i="7" s="1"/>
  <c r="Q17" i="7"/>
  <c r="R21" i="7"/>
  <c r="AF74" i="7"/>
  <c r="I52" i="7"/>
  <c r="Q26" i="7"/>
  <c r="Q20" i="7"/>
  <c r="R24" i="7"/>
  <c r="G32" i="7"/>
  <c r="P28" i="7"/>
  <c r="P29" i="7"/>
  <c r="P64" i="7" l="1"/>
  <c r="P65" i="7"/>
  <c r="P54" i="7"/>
  <c r="P55" i="7" s="1"/>
  <c r="D62" i="7"/>
  <c r="J62" i="7"/>
  <c r="Q66" i="7"/>
  <c r="Q23" i="7"/>
  <c r="F63" i="7"/>
  <c r="F49" i="7"/>
  <c r="X46" i="7" s="1"/>
  <c r="F46" i="7"/>
  <c r="X45" i="7" s="1"/>
  <c r="R20" i="7"/>
  <c r="R26" i="7"/>
  <c r="R17" i="7"/>
  <c r="R66" i="7"/>
  <c r="J32" i="7"/>
  <c r="D44" i="7"/>
  <c r="V43" i="7" s="1"/>
  <c r="D47" i="7"/>
  <c r="V44" i="7" s="1"/>
  <c r="G34" i="7"/>
  <c r="G53" i="7" s="1"/>
  <c r="D37" i="7"/>
  <c r="E35" i="7"/>
  <c r="G35" i="7"/>
  <c r="G41" i="7"/>
  <c r="G58" i="7" s="1"/>
  <c r="J44" i="7"/>
  <c r="AB43" i="7" s="1"/>
  <c r="J47" i="7"/>
  <c r="AB44" i="7" s="1"/>
  <c r="E32" i="7"/>
  <c r="E34" i="7"/>
  <c r="C49" i="7"/>
  <c r="U46" i="7" s="1"/>
  <c r="C46" i="7"/>
  <c r="U45" i="7" s="1"/>
  <c r="Q27" i="7"/>
  <c r="P31" i="7"/>
  <c r="Q64" i="7" l="1"/>
  <c r="Q65" i="7"/>
  <c r="E53" i="7"/>
  <c r="R64" i="7"/>
  <c r="G62" i="7"/>
  <c r="R23" i="7"/>
  <c r="Z74" i="7"/>
  <c r="C52" i="7"/>
  <c r="Z73" i="7"/>
  <c r="AG78" i="7"/>
  <c r="D40" i="7"/>
  <c r="D43" i="7" s="1"/>
  <c r="E38" i="7"/>
  <c r="E41" i="7" s="1"/>
  <c r="E58" i="7" s="1"/>
  <c r="H32" i="7"/>
  <c r="J34" i="7"/>
  <c r="J53" i="7" s="1"/>
  <c r="AC74" i="7"/>
  <c r="F52" i="7"/>
  <c r="AC73" i="7"/>
  <c r="Z80" i="7"/>
  <c r="Z79" i="7"/>
  <c r="AG72" i="7"/>
  <c r="AG81" i="7" s="1"/>
  <c r="J50" i="7"/>
  <c r="AC80" i="7"/>
  <c r="AC79" i="7"/>
  <c r="G37" i="7"/>
  <c r="G40" i="7"/>
  <c r="G43" i="7" s="1"/>
  <c r="AA72" i="7"/>
  <c r="AA81" i="7" s="1"/>
  <c r="D50" i="7"/>
  <c r="G44" i="7"/>
  <c r="Y43" i="7" s="1"/>
  <c r="G47" i="7"/>
  <c r="Y44" i="7" s="1"/>
  <c r="AA78" i="7"/>
  <c r="Q28" i="7"/>
  <c r="Q29" i="7"/>
  <c r="Q54" i="7" l="1"/>
  <c r="Q55" i="7" s="1"/>
  <c r="D63" i="7"/>
  <c r="G63" i="7"/>
  <c r="E62" i="7"/>
  <c r="AD78" i="7"/>
  <c r="K32" i="7"/>
  <c r="D46" i="7"/>
  <c r="V45" i="7" s="1"/>
  <c r="D49" i="7"/>
  <c r="V46" i="7" s="1"/>
  <c r="G46" i="7"/>
  <c r="G49" i="7"/>
  <c r="J37" i="7"/>
  <c r="J40" i="7"/>
  <c r="J43" i="7" s="1"/>
  <c r="E47" i="7"/>
  <c r="W44" i="7" s="1"/>
  <c r="E44" i="7"/>
  <c r="W43" i="7" s="1"/>
  <c r="AD72" i="7"/>
  <c r="AD81" i="7" s="1"/>
  <c r="G50" i="7"/>
  <c r="H35" i="7"/>
  <c r="H38" i="7"/>
  <c r="H41" i="7" s="1"/>
  <c r="H58" i="7" s="1"/>
  <c r="H34" i="7"/>
  <c r="H53" i="7" s="1"/>
  <c r="Q31" i="7"/>
  <c r="AD80" i="7" l="1"/>
  <c r="Y46" i="7"/>
  <c r="AD73" i="7"/>
  <c r="Y45" i="7"/>
  <c r="H62" i="7"/>
  <c r="J63" i="7"/>
  <c r="AB78" i="7"/>
  <c r="AB79" i="7"/>
  <c r="H44" i="7"/>
  <c r="Z43" i="7" s="1"/>
  <c r="H47" i="7"/>
  <c r="Z44" i="7" s="1"/>
  <c r="K35" i="7"/>
  <c r="K41" i="7"/>
  <c r="K58" i="7" s="1"/>
  <c r="J49" i="7"/>
  <c r="AB46" i="7" s="1"/>
  <c r="J46" i="7"/>
  <c r="AB45" i="7" s="1"/>
  <c r="AA80" i="7"/>
  <c r="AA79" i="7"/>
  <c r="K34" i="7"/>
  <c r="K53" i="7" s="1"/>
  <c r="R27" i="7"/>
  <c r="AD74" i="7"/>
  <c r="G52" i="7"/>
  <c r="I32" i="7"/>
  <c r="I34" i="7"/>
  <c r="H37" i="7"/>
  <c r="H40" i="7"/>
  <c r="H43" i="7" s="1"/>
  <c r="AB73" i="7"/>
  <c r="AB72" i="7"/>
  <c r="AB81" i="7" s="1"/>
  <c r="E50" i="7"/>
  <c r="AA74" i="7"/>
  <c r="D52" i="7"/>
  <c r="AA73" i="7"/>
  <c r="AD79" i="7"/>
  <c r="R29" i="7"/>
  <c r="I53" i="7" l="1"/>
  <c r="K62" i="7"/>
  <c r="H63" i="7"/>
  <c r="AG74" i="7"/>
  <c r="J52" i="7"/>
  <c r="AG73" i="7"/>
  <c r="AE78" i="7"/>
  <c r="R28" i="7"/>
  <c r="L32" i="7"/>
  <c r="AE72" i="7"/>
  <c r="AE81" i="7" s="1"/>
  <c r="H50" i="7"/>
  <c r="H46" i="7"/>
  <c r="H49" i="7"/>
  <c r="K44" i="7"/>
  <c r="AC43" i="7" s="1"/>
  <c r="K47" i="7"/>
  <c r="AC44" i="7" s="1"/>
  <c r="AG80" i="7"/>
  <c r="AG79" i="7"/>
  <c r="I35" i="7"/>
  <c r="I38" i="7"/>
  <c r="I41" i="7" s="1"/>
  <c r="I58" i="7" s="1"/>
  <c r="K37" i="7"/>
  <c r="K40" i="7"/>
  <c r="K43" i="7" s="1"/>
  <c r="AE80" i="7" l="1"/>
  <c r="Z46" i="7"/>
  <c r="AE73" i="7"/>
  <c r="Z45" i="7"/>
  <c r="R54" i="7"/>
  <c r="R55" i="7" s="1"/>
  <c r="K63" i="7"/>
  <c r="AE79" i="7"/>
  <c r="I62" i="7"/>
  <c r="I47" i="7"/>
  <c r="AA44" i="7" s="1"/>
  <c r="I44" i="7"/>
  <c r="AA43" i="7" s="1"/>
  <c r="AH72" i="7"/>
  <c r="AH81" i="7" s="1"/>
  <c r="K50" i="7"/>
  <c r="R31" i="7"/>
  <c r="AH78" i="7"/>
  <c r="K46" i="7"/>
  <c r="K49" i="7"/>
  <c r="L35" i="7"/>
  <c r="L38" i="7"/>
  <c r="L41" i="7" s="1"/>
  <c r="L58" i="7" s="1"/>
  <c r="AE74" i="7"/>
  <c r="H52" i="7"/>
  <c r="L34" i="7"/>
  <c r="L53" i="7" s="1"/>
  <c r="AH80" i="7" l="1"/>
  <c r="AC46" i="7"/>
  <c r="AH73" i="7"/>
  <c r="AC45" i="7"/>
  <c r="L62" i="7"/>
  <c r="M32" i="7"/>
  <c r="L37" i="7"/>
  <c r="L40" i="7"/>
  <c r="L43" i="7" s="1"/>
  <c r="AH74" i="7"/>
  <c r="K52" i="7"/>
  <c r="AF73" i="7"/>
  <c r="AF72" i="7"/>
  <c r="AF81" i="7" s="1"/>
  <c r="I50" i="7"/>
  <c r="R40" i="7"/>
  <c r="R43" i="7" s="1"/>
  <c r="L44" i="7"/>
  <c r="AD43" i="7" s="1"/>
  <c r="L47" i="7"/>
  <c r="AD44" i="7" s="1"/>
  <c r="AH79" i="7"/>
  <c r="AF78" i="7"/>
  <c r="AF79" i="7"/>
  <c r="L63" i="7" l="1"/>
  <c r="R63" i="7"/>
  <c r="R46" i="7"/>
  <c r="AJ45" i="7" s="1"/>
  <c r="R49" i="7"/>
  <c r="L46" i="7"/>
  <c r="L49" i="7"/>
  <c r="AI78" i="7"/>
  <c r="M34" i="7"/>
  <c r="M53" i="7" s="1"/>
  <c r="AI72" i="7"/>
  <c r="AI81" i="7" s="1"/>
  <c r="L50" i="7"/>
  <c r="M35" i="7"/>
  <c r="M38" i="7"/>
  <c r="M41" i="7" s="1"/>
  <c r="M58" i="7" s="1"/>
  <c r="AO80" i="7" l="1"/>
  <c r="AJ46" i="7"/>
  <c r="AI73" i="7"/>
  <c r="AD45" i="7"/>
  <c r="AI80" i="7"/>
  <c r="AD46" i="7"/>
  <c r="M62" i="7"/>
  <c r="N32" i="7"/>
  <c r="M44" i="7"/>
  <c r="AE43" i="7" s="1"/>
  <c r="M47" i="7"/>
  <c r="AE44" i="7" s="1"/>
  <c r="AI79" i="7"/>
  <c r="AI74" i="7"/>
  <c r="L52" i="7"/>
  <c r="M37" i="7"/>
  <c r="M40" i="7"/>
  <c r="M43" i="7" s="1"/>
  <c r="AO74" i="7"/>
  <c r="R52" i="7"/>
  <c r="M63" i="7" l="1"/>
  <c r="AJ78" i="7"/>
  <c r="AJ72" i="7"/>
  <c r="AJ81" i="7" s="1"/>
  <c r="M50" i="7"/>
  <c r="N34" i="7"/>
  <c r="N53" i="7" s="1"/>
  <c r="M46" i="7"/>
  <c r="M49" i="7"/>
  <c r="N35" i="7"/>
  <c r="N38" i="7"/>
  <c r="N41" i="7" s="1"/>
  <c r="N58" i="7" s="1"/>
  <c r="AJ80" i="7" l="1"/>
  <c r="AE46" i="7"/>
  <c r="AJ73" i="7"/>
  <c r="AE45" i="7"/>
  <c r="N62" i="7"/>
  <c r="N37" i="7"/>
  <c r="N40" i="7"/>
  <c r="N43" i="7" s="1"/>
  <c r="AJ79" i="7"/>
  <c r="N44" i="7"/>
  <c r="AF43" i="7" s="1"/>
  <c r="N47" i="7"/>
  <c r="AF44" i="7" s="1"/>
  <c r="O32" i="7"/>
  <c r="AJ74" i="7"/>
  <c r="M52" i="7"/>
  <c r="N63" i="7" l="1"/>
  <c r="O34" i="7"/>
  <c r="O53" i="7" s="1"/>
  <c r="O35" i="7"/>
  <c r="O38" i="7"/>
  <c r="O41" i="7" s="1"/>
  <c r="O58" i="7" s="1"/>
  <c r="N49" i="7"/>
  <c r="N46" i="7"/>
  <c r="AK78" i="7"/>
  <c r="AK72" i="7"/>
  <c r="AK81" i="7" s="1"/>
  <c r="N50" i="7"/>
  <c r="AK73" i="7" l="1"/>
  <c r="AF45" i="7"/>
  <c r="AK80" i="7"/>
  <c r="AF46" i="7"/>
  <c r="O62" i="7"/>
  <c r="AK79" i="7"/>
  <c r="AK74" i="7"/>
  <c r="N52" i="7"/>
  <c r="O37" i="7"/>
  <c r="O40" i="7"/>
  <c r="O43" i="7" s="1"/>
  <c r="O44" i="7"/>
  <c r="AG43" i="7" s="1"/>
  <c r="O47" i="7"/>
  <c r="AG44" i="7" s="1"/>
  <c r="P32" i="7"/>
  <c r="O63" i="7" l="1"/>
  <c r="AL78" i="7"/>
  <c r="AL72" i="7"/>
  <c r="AL81" i="7" s="1"/>
  <c r="O50" i="7"/>
  <c r="P35" i="7"/>
  <c r="P38" i="7"/>
  <c r="P41" i="7" s="1"/>
  <c r="P58" i="7" s="1"/>
  <c r="P34" i="7"/>
  <c r="P53" i="7" s="1"/>
  <c r="O46" i="7"/>
  <c r="O49" i="7"/>
  <c r="AL80" i="7" l="1"/>
  <c r="AG46" i="7"/>
  <c r="AL73" i="7"/>
  <c r="AG45" i="7"/>
  <c r="P62" i="7"/>
  <c r="Q32" i="7"/>
  <c r="P47" i="7"/>
  <c r="AH44" i="7" s="1"/>
  <c r="P44" i="7"/>
  <c r="AH43" i="7" s="1"/>
  <c r="AL74" i="7"/>
  <c r="O52" i="7"/>
  <c r="P37" i="7"/>
  <c r="P40" i="7"/>
  <c r="P43" i="7" s="1"/>
  <c r="AL79" i="7"/>
  <c r="P63" i="7" l="1"/>
  <c r="AM72" i="7"/>
  <c r="AM81" i="7" s="1"/>
  <c r="P50" i="7"/>
  <c r="Q34" i="7"/>
  <c r="Q53" i="7" s="1"/>
  <c r="P46" i="7"/>
  <c r="AH45" i="7" s="1"/>
  <c r="P49" i="7"/>
  <c r="AM78" i="7"/>
  <c r="Q35" i="7"/>
  <c r="Q38" i="7"/>
  <c r="Q41" i="7" s="1"/>
  <c r="Q58" i="7" s="1"/>
  <c r="AM80" i="7" l="1"/>
  <c r="AH46" i="7"/>
  <c r="Q62" i="7"/>
  <c r="AM74" i="7"/>
  <c r="P52" i="7"/>
  <c r="Q44" i="7"/>
  <c r="AI43" i="7" s="1"/>
  <c r="Q47" i="7"/>
  <c r="AI44" i="7" s="1"/>
  <c r="R32" i="7"/>
  <c r="R34" i="7"/>
  <c r="Q37" i="7"/>
  <c r="Q40" i="7"/>
  <c r="Q43" i="7" s="1"/>
  <c r="AM79" i="7"/>
  <c r="AM73" i="7"/>
  <c r="R53" i="7" l="1"/>
  <c r="Q63" i="7"/>
  <c r="R35" i="7"/>
  <c r="R38" i="7"/>
  <c r="R41" i="7" s="1"/>
  <c r="R58" i="7" s="1"/>
  <c r="AN78" i="7"/>
  <c r="AN72" i="7"/>
  <c r="AN81" i="7" s="1"/>
  <c r="Q50" i="7"/>
  <c r="Q49" i="7"/>
  <c r="Q46" i="7"/>
  <c r="AI45" i="7" s="1"/>
  <c r="AN80" i="7" l="1"/>
  <c r="AI46" i="7"/>
  <c r="R62" i="7"/>
  <c r="R47" i="7"/>
  <c r="AJ44" i="7" s="1"/>
  <c r="R44" i="7"/>
  <c r="AJ43" i="7" s="1"/>
  <c r="AN79" i="7"/>
  <c r="AN74" i="7"/>
  <c r="Q52" i="7"/>
  <c r="AN73" i="7"/>
  <c r="AO73" i="7" l="1"/>
  <c r="AO72" i="7"/>
  <c r="AO81" i="7" s="1"/>
  <c r="R50" i="7"/>
  <c r="AO79" i="7"/>
  <c r="AO78" i="7"/>
</calcChain>
</file>

<file path=xl/comments1.xml><?xml version="1.0" encoding="utf-8"?>
<comments xmlns="http://schemas.openxmlformats.org/spreadsheetml/2006/main">
  <authors>
    <author>Dung Le Tran</author>
  </authors>
  <commentList>
    <comment ref="N49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stage repeatable</t>
        </r>
      </text>
    </comment>
    <comment ref="M118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  <comment ref="M159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  <comment ref="M201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</commentList>
</comments>
</file>

<file path=xl/comments2.xml><?xml version="1.0" encoding="utf-8"?>
<comments xmlns="http://schemas.openxmlformats.org/spreadsheetml/2006/main">
  <authors>
    <author>Dung Le Tran</author>
  </authors>
  <commentList>
    <comment ref="M54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  <comment ref="M223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</commentList>
</comments>
</file>

<file path=xl/comments3.xml><?xml version="1.0" encoding="utf-8"?>
<comments xmlns="http://schemas.openxmlformats.org/spreadsheetml/2006/main">
  <authors>
    <author>Dung Le Tran</author>
  </authors>
  <commentList>
    <comment ref="M54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</commentList>
</comments>
</file>

<file path=xl/sharedStrings.xml><?xml version="1.0" encoding="utf-8"?>
<sst xmlns="http://schemas.openxmlformats.org/spreadsheetml/2006/main" count="1368" uniqueCount="243">
  <si>
    <t>r_hub/r_tip</t>
  </si>
  <si>
    <t>N (rpm)</t>
  </si>
  <si>
    <t>R</t>
  </si>
  <si>
    <t>J/kg.K</t>
  </si>
  <si>
    <t>N (rad/sec)</t>
  </si>
  <si>
    <t>Dm</t>
  </si>
  <si>
    <t>h_b</t>
  </si>
  <si>
    <t>r_tip</t>
  </si>
  <si>
    <t>M2_tip</t>
  </si>
  <si>
    <t>m_dot</t>
  </si>
  <si>
    <t>kg/s</t>
  </si>
  <si>
    <t>U2_tip</t>
  </si>
  <si>
    <t>W2_tip</t>
  </si>
  <si>
    <t>k</t>
  </si>
  <si>
    <t>Dm_in</t>
  </si>
  <si>
    <t>r_hub/r_tip = 0.65 is chosen for an estimation</t>
  </si>
  <si>
    <t>V2</t>
  </si>
  <si>
    <t>W2</t>
  </si>
  <si>
    <t>T1</t>
  </si>
  <si>
    <t>T3</t>
  </si>
  <si>
    <t>U</t>
  </si>
  <si>
    <t>Cp</t>
  </si>
  <si>
    <t>Specification</t>
  </si>
  <si>
    <t>LP-Comp</t>
  </si>
  <si>
    <t>Mass flow</t>
  </si>
  <si>
    <t>Inlet static pressure</t>
  </si>
  <si>
    <t>Pressure ratio</t>
  </si>
  <si>
    <t>Inlet mean dia</t>
  </si>
  <si>
    <t>Exit mean dia</t>
  </si>
  <si>
    <t>Angular Velocity</t>
  </si>
  <si>
    <t>=</t>
  </si>
  <si>
    <t>Pa</t>
  </si>
  <si>
    <t>PR_LP</t>
  </si>
  <si>
    <t>K</t>
  </si>
  <si>
    <t>T_in</t>
  </si>
  <si>
    <t>T_out</t>
  </si>
  <si>
    <t>m</t>
  </si>
  <si>
    <t>Dm_out</t>
  </si>
  <si>
    <t>N</t>
  </si>
  <si>
    <t>rad/s</t>
  </si>
  <si>
    <t>Estimation no of stgs</t>
  </si>
  <si>
    <t>Assume:</t>
  </si>
  <si>
    <t>- At 1st stg rotor, alpha2=90deg</t>
  </si>
  <si>
    <t>Select r_hub/r_tip for 1st stg</t>
  </si>
  <si>
    <t>a.</t>
  </si>
  <si>
    <t>b.</t>
  </si>
  <si>
    <t>p1 (Pa)</t>
  </si>
  <si>
    <t>- Vax, rho are const through out the comp</t>
  </si>
  <si>
    <t>V2ax (or Vax)</t>
  </si>
  <si>
    <t>at Rm</t>
  </si>
  <si>
    <t>W2^2=V2^2+U2^2 due to alpha2=90deg</t>
  </si>
  <si>
    <t>- Dm is constant through out the stg</t>
  </si>
  <si>
    <t>V2 (=V2ax=Vax)</t>
  </si>
  <si>
    <t>U2 (=U)</t>
  </si>
  <si>
    <t>List of eqs:</t>
  </si>
  <si>
    <t>beta3</t>
  </si>
  <si>
    <t>(2) W3=0.72*W2 (deHatler)</t>
  </si>
  <si>
    <t>(3) at station 3: Vx=W3*cos(beta3-90)</t>
  </si>
  <si>
    <t>(4) at station 3: tan(alpha3)=Vx/(U3-W3*sin(beta-90))</t>
  </si>
  <si>
    <t>(5) stg total temp increase (Euler eq)</t>
  </si>
  <si>
    <t>(1) at station 2: beta2=90+atan(U2/V2)</t>
  </si>
  <si>
    <t>beta2</t>
  </si>
  <si>
    <t xml:space="preserve">J/kg.K </t>
  </si>
  <si>
    <t>c.</t>
  </si>
  <si>
    <t>d.</t>
  </si>
  <si>
    <t>deltaT0 across the compressor</t>
  </si>
  <si>
    <t>Inlet vel</t>
  </si>
  <si>
    <t>V_in</t>
  </si>
  <si>
    <t>Vx/sin(alpha1) = Vx/sin(alpha3)</t>
  </si>
  <si>
    <t>Inlet total temp</t>
  </si>
  <si>
    <t>T0_in</t>
  </si>
  <si>
    <t>P0_out</t>
  </si>
  <si>
    <t>P0_in</t>
  </si>
  <si>
    <t>T0_out</t>
  </si>
  <si>
    <t>e.</t>
  </si>
  <si>
    <t>No of stage estimation</t>
  </si>
  <si>
    <t>no of stg</t>
  </si>
  <si>
    <t>deltaT0_comp/deltaT0_stg</t>
  </si>
  <si>
    <t>Select</t>
  </si>
  <si>
    <t xml:space="preserve">Set </t>
  </si>
  <si>
    <t>deltaT0_stg1</t>
  </si>
  <si>
    <t>deltaT0_stg2</t>
  </si>
  <si>
    <t>Recalculate stage 1 parameters</t>
  </si>
  <si>
    <t>Vx</t>
  </si>
  <si>
    <t>W3 (eq2)</t>
  </si>
  <si>
    <t>alpha3 (eq4)</t>
  </si>
  <si>
    <t>alpha2</t>
  </si>
  <si>
    <t>alpha1 (=alpha3)</t>
  </si>
  <si>
    <t>V1</t>
  </si>
  <si>
    <t>(6) V1 = Vx/sin(alpha1)</t>
  </si>
  <si>
    <t>V1 (eq6)</t>
  </si>
  <si>
    <t>beta2 (eq1)</t>
  </si>
  <si>
    <t>beta3 (eq3)</t>
  </si>
  <si>
    <t>deltaT0_23 (eq5)</t>
  </si>
  <si>
    <t>alpha1</t>
  </si>
  <si>
    <t>P01</t>
  </si>
  <si>
    <t>P03</t>
  </si>
  <si>
    <t>T01</t>
  </si>
  <si>
    <t>T03</t>
  </si>
  <si>
    <t>deltaT0_stg</t>
  </si>
  <si>
    <t>deltaT0_stg3</t>
  </si>
  <si>
    <t>V_out</t>
  </si>
  <si>
    <t>p_in</t>
  </si>
  <si>
    <t>PR_IP</t>
  </si>
  <si>
    <t>IP-Comp</t>
  </si>
  <si>
    <t>Pressure ratio (static pressure)</t>
  </si>
  <si>
    <t>deltaT0 across the 1st stage</t>
  </si>
  <si>
    <t xml:space="preserve">d. </t>
  </si>
  <si>
    <t>Estimate the compressor output</t>
  </si>
  <si>
    <t>(2) Vx is constant</t>
  </si>
  <si>
    <t>Outlet velocity</t>
  </si>
  <si>
    <t>V_out=Vx/sin(alpha3)</t>
  </si>
  <si>
    <t>Total outlet temp</t>
  </si>
  <si>
    <t>Re-check</t>
  </si>
  <si>
    <t>Total inlet temp</t>
  </si>
  <si>
    <t>Exit total temp</t>
  </si>
  <si>
    <t>deltaT0_23 = lamda*U*Vx/Cp*(tan(beta2-90)-tan(beta3-90)) [set lamda = 1 for this estimation]</t>
  </si>
  <si>
    <t>V3</t>
  </si>
  <si>
    <t>Outlet vel</t>
  </si>
  <si>
    <t>Rho_in</t>
  </si>
  <si>
    <t>Rho_out</t>
  </si>
  <si>
    <t>Inlet velocity</t>
  </si>
  <si>
    <t>Static Inlet temp</t>
  </si>
  <si>
    <t>Static outlet temp</t>
  </si>
  <si>
    <t>Total Inlet temp</t>
  </si>
  <si>
    <t>Total Outlet temp</t>
  </si>
  <si>
    <t>Total Inlet pressure</t>
  </si>
  <si>
    <t>Total Outlet pressure</t>
  </si>
  <si>
    <t>^k/(k-1)</t>
  </si>
  <si>
    <t>deltaT0_comp</t>
  </si>
  <si>
    <t>P1</t>
  </si>
  <si>
    <t>lamda</t>
  </si>
  <si>
    <t>tan(beta2-90)+tan(beta3-90)</t>
  </si>
  <si>
    <t>tan(beta2-90)</t>
  </si>
  <si>
    <t>tan(beta3-90)</t>
  </si>
  <si>
    <t>tan(beta2-90)-tan(beta3-90)</t>
  </si>
  <si>
    <t>alpha3</t>
  </si>
  <si>
    <t>defelection in rotor blades</t>
  </si>
  <si>
    <t>diffusion</t>
  </si>
  <si>
    <t>polytropic eff</t>
  </si>
  <si>
    <t>P03/P01</t>
  </si>
  <si>
    <t>W3</t>
  </si>
  <si>
    <t>Assume</t>
  </si>
  <si>
    <t>alpha1=alpha3</t>
  </si>
  <si>
    <t>rho1</t>
  </si>
  <si>
    <t>degree of reaction</t>
  </si>
  <si>
    <t>P3</t>
  </si>
  <si>
    <t xml:space="preserve">2nd stage </t>
  </si>
  <si>
    <t>delta whirl velocity</t>
  </si>
  <si>
    <t>lamda (work done factor)</t>
  </si>
  <si>
    <t>alpha1=alpha3 of 1st stg</t>
  </si>
  <si>
    <t>3rd stage</t>
  </si>
  <si>
    <t>rho3</t>
  </si>
  <si>
    <t>P03 (based on rh03)</t>
  </si>
  <si>
    <t>This needs to be adjusted to get P03 converged</t>
  </si>
  <si>
    <t>- Comp polytropic Efficiency n_p = 0.9</t>
  </si>
  <si>
    <t>- Stg isentropic Efficiency n_s = 0.9</t>
  </si>
  <si>
    <t>T0_in (degK)</t>
  </si>
  <si>
    <t>estimated rho (kg/m3)</t>
  </si>
  <si>
    <t>(1) Assume the comp exit angle follow the exit angle in stage 1 (alpha3=52.41)</t>
  </si>
  <si>
    <t>b</t>
  </si>
  <si>
    <t>a</t>
  </si>
  <si>
    <t>alpha1=alpha3 of previous stg</t>
  </si>
  <si>
    <t>tan(90-alpha2)+tan(beta2-90)</t>
  </si>
  <si>
    <t>tan(90-alpha3)+tan(beta3-90)</t>
  </si>
  <si>
    <t>deltaT0_stg4</t>
  </si>
  <si>
    <t>ave deltaT0</t>
  </si>
  <si>
    <t xml:space="preserve">3rd stage </t>
  </si>
  <si>
    <t>4th stage</t>
  </si>
  <si>
    <t>HP-Comp</t>
  </si>
  <si>
    <t>deltaT0_stg5</t>
  </si>
  <si>
    <t>deltaT0_stg6</t>
  </si>
  <si>
    <t>deltaT0_stg7</t>
  </si>
  <si>
    <t>deltaT0_stg8</t>
  </si>
  <si>
    <t>deltaT0_stg9</t>
  </si>
  <si>
    <t xml:space="preserve">4th stage </t>
  </si>
  <si>
    <t xml:space="preserve">5th stage </t>
  </si>
  <si>
    <t xml:space="preserve">6th stage </t>
  </si>
  <si>
    <t xml:space="preserve">7th stage </t>
  </si>
  <si>
    <t xml:space="preserve">8th stage </t>
  </si>
  <si>
    <t xml:space="preserve">9th stage </t>
  </si>
  <si>
    <t>PR_HP</t>
  </si>
  <si>
    <t>Comp</t>
  </si>
  <si>
    <t>Stg</t>
  </si>
  <si>
    <t>LP</t>
  </si>
  <si>
    <t>IP</t>
  </si>
  <si>
    <t>HP</t>
  </si>
  <si>
    <t>Deflection in rotor blades</t>
  </si>
  <si>
    <t>Diffusion</t>
  </si>
  <si>
    <t>Degree of reaction</t>
  </si>
  <si>
    <t>Delta whirl velocity</t>
  </si>
  <si>
    <t>h_b1</t>
  </si>
  <si>
    <t>h_b3</t>
  </si>
  <si>
    <t>r_h1</t>
  </si>
  <si>
    <t>r_h3</t>
  </si>
  <si>
    <t>r_t1</t>
  </si>
  <si>
    <t>r_t3</t>
  </si>
  <si>
    <t>r_h1/r_t1</t>
  </si>
  <si>
    <t>r_h3/r_t3</t>
  </si>
  <si>
    <t>r_h2</t>
  </si>
  <si>
    <t>r_m1</t>
  </si>
  <si>
    <t>r_m2</t>
  </si>
  <si>
    <t>r_m3</t>
  </si>
  <si>
    <t>r_t2</t>
  </si>
  <si>
    <t>Degree of reaction_h</t>
  </si>
  <si>
    <t>blade twisting (to maintain radial equilirium) and degree of reaction at tip and hub</t>
  </si>
  <si>
    <t>P_ratio</t>
  </si>
  <si>
    <t>Tran calculations</t>
  </si>
  <si>
    <t xml:space="preserve">Blade design parameters </t>
  </si>
  <si>
    <t>c_1</t>
  </si>
  <si>
    <t>h/c=3</t>
  </si>
  <si>
    <t>s_1</t>
  </si>
  <si>
    <t>Deflection in stator blades</t>
  </si>
  <si>
    <t>Cl_1</t>
  </si>
  <si>
    <t>alpha_infinity_1</t>
  </si>
  <si>
    <t>c/s_1</t>
  </si>
  <si>
    <t>cp</t>
  </si>
  <si>
    <t>lm</t>
  </si>
  <si>
    <t>T2</t>
  </si>
  <si>
    <t>P02</t>
  </si>
  <si>
    <t>P2</t>
  </si>
  <si>
    <t>rho2</t>
  </si>
  <si>
    <t>h_b2</t>
  </si>
  <si>
    <t>r_h2/r_t2</t>
  </si>
  <si>
    <t>c_2</t>
  </si>
  <si>
    <t>c/s_2</t>
  </si>
  <si>
    <t>s_2</t>
  </si>
  <si>
    <t>alpha_infinity_2</t>
  </si>
  <si>
    <t>Cl_2</t>
  </si>
  <si>
    <t>T02=T01</t>
  </si>
  <si>
    <t>Assume the isentropy eff</t>
  </si>
  <si>
    <t>n_s</t>
  </si>
  <si>
    <t>Iteration</t>
  </si>
  <si>
    <t xml:space="preserve">Assume the isentropy eff </t>
  </si>
  <si>
    <t>Initial</t>
  </si>
  <si>
    <t>Iter1</t>
  </si>
  <si>
    <t>Iter2</t>
  </si>
  <si>
    <t>Iter3</t>
  </si>
  <si>
    <t>Iter4</t>
  </si>
  <si>
    <t>r_stator_hub_mean</t>
  </si>
  <si>
    <t>r_stator_tip_mean</t>
  </si>
  <si>
    <t>r_rotor_hub_mean</t>
  </si>
  <si>
    <t>r_rotor_tip_mean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</si>
</sst>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quotePrefix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left"/>
    </xf>
    <xf numFmtId="0" fontId="0" fillId="4" borderId="0" xfId="0" applyFill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166" fontId="0" fillId="0" borderId="0" xfId="0" applyNumberFormat="1" applyFill="1"/>
    <xf numFmtId="0" fontId="4" fillId="5" borderId="0" xfId="1"/>
    <xf numFmtId="2" fontId="0" fillId="0" borderId="0" xfId="0" applyNumberFormat="1"/>
    <xf numFmtId="0" fontId="8" fillId="0" borderId="0" xfId="0" applyFont="1" applyFill="1"/>
    <xf numFmtId="166" fontId="8" fillId="0" borderId="0" xfId="0" applyNumberFormat="1" applyFont="1" applyFill="1"/>
    <xf numFmtId="2" fontId="8" fillId="0" borderId="0" xfId="0" applyNumberFormat="1" applyFont="1" applyFill="1"/>
    <xf numFmtId="164" fontId="8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164" fontId="8" fillId="3" borderId="0" xfId="0" applyNumberFormat="1" applyFont="1" applyFill="1"/>
    <xf numFmtId="164" fontId="0" fillId="3" borderId="0" xfId="0" applyNumberFormat="1" applyFill="1"/>
    <xf numFmtId="2" fontId="0" fillId="8" borderId="4" xfId="0" applyNumberFormat="1" applyFill="1" applyBorder="1"/>
    <xf numFmtId="2" fontId="0" fillId="8" borderId="5" xfId="0" applyNumberFormat="1" applyFill="1" applyBorder="1"/>
    <xf numFmtId="165" fontId="9" fillId="0" borderId="0" xfId="0" applyNumberFormat="1" applyFont="1" applyFill="1" applyBorder="1"/>
    <xf numFmtId="165" fontId="9" fillId="0" borderId="6" xfId="0" applyNumberFormat="1" applyFont="1" applyFill="1" applyBorder="1"/>
    <xf numFmtId="0" fontId="6" fillId="0" borderId="0" xfId="3" applyFill="1" applyBorder="1"/>
    <xf numFmtId="0" fontId="7" fillId="0" borderId="0" xfId="4" applyFill="1" applyBorder="1"/>
    <xf numFmtId="0" fontId="5" fillId="0" borderId="0" xfId="2" applyFill="1" applyBorder="1"/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right" vertical="top"/>
    </xf>
    <xf numFmtId="166" fontId="0" fillId="0" borderId="0" xfId="0" applyNumberFormat="1" applyFill="1" applyBorder="1"/>
    <xf numFmtId="0" fontId="0" fillId="0" borderId="0" xfId="0" applyAlignment="1">
      <alignment horizontal="center" vertical="center"/>
    </xf>
    <xf numFmtId="2" fontId="5" fillId="6" borderId="0" xfId="2" applyNumberFormat="1"/>
    <xf numFmtId="0" fontId="5" fillId="6" borderId="0" xfId="2"/>
  </cellXfs>
  <cellStyles count="5">
    <cellStyle name="Bad" xfId="3" builtinId="27"/>
    <cellStyle name="Good" xfId="2" builtinId="26"/>
    <cellStyle name="Hyperlink" xfId="4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1805" y="0"/>
          <a:ext cx="5329764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103</xdr:row>
      <xdr:rowOff>164522</xdr:rowOff>
    </xdr:from>
    <xdr:to>
      <xdr:col>15</xdr:col>
      <xdr:colOff>249383</xdr:colOff>
      <xdr:row>105</xdr:row>
      <xdr:rowOff>135947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2887" y="19595522"/>
          <a:ext cx="201583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106</xdr:row>
      <xdr:rowOff>69273</xdr:rowOff>
    </xdr:from>
    <xdr:to>
      <xdr:col>15</xdr:col>
      <xdr:colOff>258040</xdr:colOff>
      <xdr:row>108</xdr:row>
      <xdr:rowOff>40698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1544" y="20071773"/>
          <a:ext cx="201583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246166</xdr:colOff>
      <xdr:row>166</xdr:row>
      <xdr:rowOff>136071</xdr:rowOff>
    </xdr:from>
    <xdr:to>
      <xdr:col>18</xdr:col>
      <xdr:colOff>108734</xdr:colOff>
      <xdr:row>167</xdr:row>
      <xdr:rowOff>49974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0273" y="31990392"/>
          <a:ext cx="1672318" cy="36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286987</xdr:colOff>
      <xdr:row>207</xdr:row>
      <xdr:rowOff>98961</xdr:rowOff>
    </xdr:from>
    <xdr:to>
      <xdr:col>18</xdr:col>
      <xdr:colOff>149555</xdr:colOff>
      <xdr:row>209</xdr:row>
      <xdr:rowOff>118011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1094" y="40022318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123265</xdr:colOff>
      <xdr:row>163</xdr:row>
      <xdr:rowOff>0</xdr:rowOff>
    </xdr:from>
    <xdr:to>
      <xdr:col>25</xdr:col>
      <xdr:colOff>513790</xdr:colOff>
      <xdr:row>164</xdr:row>
      <xdr:rowOff>142875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6471" y="31051500"/>
          <a:ext cx="2205878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549089</xdr:colOff>
      <xdr:row>160</xdr:row>
      <xdr:rowOff>67235</xdr:rowOff>
    </xdr:from>
    <xdr:to>
      <xdr:col>26</xdr:col>
      <xdr:colOff>20171</xdr:colOff>
      <xdr:row>162</xdr:row>
      <xdr:rowOff>67235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7177" y="30547235"/>
          <a:ext cx="249667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448235</xdr:colOff>
      <xdr:row>132</xdr:row>
      <xdr:rowOff>89648</xdr:rowOff>
    </xdr:from>
    <xdr:to>
      <xdr:col>16</xdr:col>
      <xdr:colOff>350183</xdr:colOff>
      <xdr:row>134</xdr:row>
      <xdr:rowOff>108698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411" y="25235648"/>
          <a:ext cx="1224243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103</xdr:row>
      <xdr:rowOff>164522</xdr:rowOff>
    </xdr:from>
    <xdr:to>
      <xdr:col>15</xdr:col>
      <xdr:colOff>249383</xdr:colOff>
      <xdr:row>105</xdr:row>
      <xdr:rowOff>135947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978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106</xdr:row>
      <xdr:rowOff>69273</xdr:rowOff>
    </xdr:from>
    <xdr:to>
      <xdr:col>15</xdr:col>
      <xdr:colOff>258040</xdr:colOff>
      <xdr:row>108</xdr:row>
      <xdr:rowOff>40698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2026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275781</xdr:colOff>
      <xdr:row>126</xdr:row>
      <xdr:rowOff>81644</xdr:rowOff>
    </xdr:from>
    <xdr:to>
      <xdr:col>18</xdr:col>
      <xdr:colOff>138349</xdr:colOff>
      <xdr:row>127</xdr:row>
      <xdr:rowOff>24363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9888" y="24084644"/>
          <a:ext cx="1672318" cy="378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18490</xdr:colOff>
      <xdr:row>172</xdr:row>
      <xdr:rowOff>76200</xdr:rowOff>
    </xdr:from>
    <xdr:to>
      <xdr:col>24</xdr:col>
      <xdr:colOff>409015</xdr:colOff>
      <xdr:row>174</xdr:row>
      <xdr:rowOff>28575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040" y="33327975"/>
          <a:ext cx="22193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568139</xdr:colOff>
      <xdr:row>169</xdr:row>
      <xdr:rowOff>29135</xdr:rowOff>
    </xdr:from>
    <xdr:to>
      <xdr:col>25</xdr:col>
      <xdr:colOff>39221</xdr:colOff>
      <xdr:row>171</xdr:row>
      <xdr:rowOff>29135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8089" y="32709410"/>
          <a:ext cx="2519082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448235</xdr:colOff>
      <xdr:row>132</xdr:row>
      <xdr:rowOff>89648</xdr:rowOff>
    </xdr:from>
    <xdr:to>
      <xdr:col>16</xdr:col>
      <xdr:colOff>350183</xdr:colOff>
      <xdr:row>134</xdr:row>
      <xdr:rowOff>108698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6185" y="25473773"/>
          <a:ext cx="1225923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83</xdr:row>
      <xdr:rowOff>164522</xdr:rowOff>
    </xdr:from>
    <xdr:to>
      <xdr:col>15</xdr:col>
      <xdr:colOff>249383</xdr:colOff>
      <xdr:row>85</xdr:row>
      <xdr:rowOff>135947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978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86</xdr:row>
      <xdr:rowOff>69273</xdr:rowOff>
    </xdr:from>
    <xdr:to>
      <xdr:col>15</xdr:col>
      <xdr:colOff>258040</xdr:colOff>
      <xdr:row>88</xdr:row>
      <xdr:rowOff>40698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2026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6828" y="5397669"/>
          <a:ext cx="201329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4279" y="5885126"/>
          <a:ext cx="201329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6942" y="6488205"/>
          <a:ext cx="221596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130905</xdr:colOff>
      <xdr:row>229</xdr:row>
      <xdr:rowOff>78950</xdr:rowOff>
    </xdr:from>
    <xdr:to>
      <xdr:col>17</xdr:col>
      <xdr:colOff>511346</xdr:colOff>
      <xdr:row>231</xdr:row>
      <xdr:rowOff>98000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5376" y="43703450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83</xdr:row>
      <xdr:rowOff>164522</xdr:rowOff>
    </xdr:from>
    <xdr:to>
      <xdr:col>15</xdr:col>
      <xdr:colOff>249383</xdr:colOff>
      <xdr:row>85</xdr:row>
      <xdr:rowOff>135947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597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86</xdr:row>
      <xdr:rowOff>69273</xdr:rowOff>
    </xdr:from>
    <xdr:to>
      <xdr:col>15</xdr:col>
      <xdr:colOff>258040</xdr:colOff>
      <xdr:row>88</xdr:row>
      <xdr:rowOff>40698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645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52464</xdr:colOff>
      <xdr:row>105</xdr:row>
      <xdr:rowOff>34127</xdr:rowOff>
    </xdr:from>
    <xdr:to>
      <xdr:col>17</xdr:col>
      <xdr:colOff>432905</xdr:colOff>
      <xdr:row>107</xdr:row>
      <xdr:rowOff>53177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6935" y="20036627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119699</xdr:colOff>
      <xdr:row>145</xdr:row>
      <xdr:rowOff>146185</xdr:rowOff>
    </xdr:from>
    <xdr:to>
      <xdr:col>17</xdr:col>
      <xdr:colOff>500140</xdr:colOff>
      <xdr:row>147</xdr:row>
      <xdr:rowOff>165235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170" y="27768685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130905</xdr:colOff>
      <xdr:row>187</xdr:row>
      <xdr:rowOff>45332</xdr:rowOff>
    </xdr:from>
    <xdr:to>
      <xdr:col>17</xdr:col>
      <xdr:colOff>511346</xdr:colOff>
      <xdr:row>189</xdr:row>
      <xdr:rowOff>64382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5376" y="35668832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89</xdr:row>
      <xdr:rowOff>164522</xdr:rowOff>
    </xdr:from>
    <xdr:to>
      <xdr:col>15</xdr:col>
      <xdr:colOff>249383</xdr:colOff>
      <xdr:row>91</xdr:row>
      <xdr:rowOff>135947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597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92</xdr:row>
      <xdr:rowOff>69273</xdr:rowOff>
    </xdr:from>
    <xdr:to>
      <xdr:col>15</xdr:col>
      <xdr:colOff>258040</xdr:colOff>
      <xdr:row>94</xdr:row>
      <xdr:rowOff>40698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645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150916</xdr:colOff>
      <xdr:row>276</xdr:row>
      <xdr:rowOff>139782</xdr:rowOff>
    </xdr:from>
    <xdr:to>
      <xdr:col>17</xdr:col>
      <xdr:colOff>544162</xdr:colOff>
      <xdr:row>278</xdr:row>
      <xdr:rowOff>158832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023" y="52717782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89</xdr:row>
      <xdr:rowOff>164522</xdr:rowOff>
    </xdr:from>
    <xdr:to>
      <xdr:col>15</xdr:col>
      <xdr:colOff>249383</xdr:colOff>
      <xdr:row>91</xdr:row>
      <xdr:rowOff>135947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7119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92</xdr:row>
      <xdr:rowOff>69273</xdr:rowOff>
    </xdr:from>
    <xdr:to>
      <xdr:col>15</xdr:col>
      <xdr:colOff>258040</xdr:colOff>
      <xdr:row>94</xdr:row>
      <xdr:rowOff>40698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7595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110094</xdr:colOff>
      <xdr:row>111</xdr:row>
      <xdr:rowOff>112568</xdr:rowOff>
    </xdr:from>
    <xdr:to>
      <xdr:col>17</xdr:col>
      <xdr:colOff>503340</xdr:colOff>
      <xdr:row>113</xdr:row>
      <xdr:rowOff>131618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201" y="21258068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246166</xdr:colOff>
      <xdr:row>151</xdr:row>
      <xdr:rowOff>44532</xdr:rowOff>
    </xdr:from>
    <xdr:to>
      <xdr:col>18</xdr:col>
      <xdr:colOff>27091</xdr:colOff>
      <xdr:row>153</xdr:row>
      <xdr:rowOff>63582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0273" y="28810032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69273</xdr:colOff>
      <xdr:row>193</xdr:row>
      <xdr:rowOff>44533</xdr:rowOff>
    </xdr:from>
    <xdr:to>
      <xdr:col>17</xdr:col>
      <xdr:colOff>462519</xdr:colOff>
      <xdr:row>195</xdr:row>
      <xdr:rowOff>63583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3380" y="36811033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314201</xdr:colOff>
      <xdr:row>235</xdr:row>
      <xdr:rowOff>85354</xdr:rowOff>
    </xdr:from>
    <xdr:to>
      <xdr:col>18</xdr:col>
      <xdr:colOff>95126</xdr:colOff>
      <xdr:row>237</xdr:row>
      <xdr:rowOff>104404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8308" y="44852854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178130</xdr:colOff>
      <xdr:row>318</xdr:row>
      <xdr:rowOff>139783</xdr:rowOff>
    </xdr:from>
    <xdr:to>
      <xdr:col>17</xdr:col>
      <xdr:colOff>571376</xdr:colOff>
      <xdr:row>320</xdr:row>
      <xdr:rowOff>158833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2237" y="60718783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123701</xdr:colOff>
      <xdr:row>361</xdr:row>
      <xdr:rowOff>17318</xdr:rowOff>
    </xdr:from>
    <xdr:to>
      <xdr:col>17</xdr:col>
      <xdr:colOff>516947</xdr:colOff>
      <xdr:row>363</xdr:row>
      <xdr:rowOff>36368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7808" y="68787818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150916</xdr:colOff>
      <xdr:row>403</xdr:row>
      <xdr:rowOff>30925</xdr:rowOff>
    </xdr:from>
    <xdr:to>
      <xdr:col>17</xdr:col>
      <xdr:colOff>544162</xdr:colOff>
      <xdr:row>405</xdr:row>
      <xdr:rowOff>49975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023" y="76802425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150916</xdr:colOff>
      <xdr:row>445</xdr:row>
      <xdr:rowOff>44532</xdr:rowOff>
    </xdr:from>
    <xdr:to>
      <xdr:col>17</xdr:col>
      <xdr:colOff>544162</xdr:colOff>
      <xdr:row>447</xdr:row>
      <xdr:rowOff>63582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023" y="84817032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gLe/Dropbox/_Technical%20In-progress/TAMU%20Courses/Course%20Material/MEEN%20646%20Aerothermodynamic%20of%20Turbomachinery/Final%20Proj/comp/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 LP"/>
      <sheetName val="Comp IP"/>
      <sheetName val="Comp HP"/>
      <sheetName val="Comp_combine"/>
    </sheetNames>
    <sheetDataSet>
      <sheetData sheetId="0" refreshError="1">
        <row r="121">
          <cell r="X121">
            <v>1.2508982089634904</v>
          </cell>
        </row>
        <row r="122">
          <cell r="U122">
            <v>279.76967039800991</v>
          </cell>
        </row>
        <row r="123">
          <cell r="U123">
            <v>100439.48995185169</v>
          </cell>
        </row>
        <row r="124">
          <cell r="U124">
            <v>111050.27309995353</v>
          </cell>
        </row>
        <row r="161">
          <cell r="X161">
            <v>1.4175035446225945</v>
          </cell>
        </row>
        <row r="162">
          <cell r="U162">
            <v>296.41161089483938</v>
          </cell>
        </row>
        <row r="163">
          <cell r="U163">
            <v>120587.21411477897</v>
          </cell>
        </row>
        <row r="164">
          <cell r="U164">
            <v>133121.32059703063</v>
          </cell>
        </row>
        <row r="203">
          <cell r="X203">
            <v>1.6463717262868545</v>
          </cell>
        </row>
        <row r="204">
          <cell r="U204">
            <v>317.55831220419907</v>
          </cell>
        </row>
        <row r="205">
          <cell r="U205">
            <v>150049.06065152536</v>
          </cell>
        </row>
        <row r="206">
          <cell r="U206">
            <v>164364.17429405134</v>
          </cell>
        </row>
      </sheetData>
      <sheetData sheetId="1" refreshError="1">
        <row r="101">
          <cell r="X101">
            <v>1.86954289872664</v>
          </cell>
        </row>
        <row r="102">
          <cell r="U102">
            <v>333.83848743487829</v>
          </cell>
        </row>
        <row r="103">
          <cell r="U103">
            <v>179123.98219608405</v>
          </cell>
        </row>
        <row r="104">
          <cell r="U104">
            <v>204013.81943878924</v>
          </cell>
        </row>
        <row r="141">
          <cell r="X141">
            <v>2.0620698861614155</v>
          </cell>
        </row>
        <row r="142">
          <cell r="U142">
            <v>349.03277373231998</v>
          </cell>
        </row>
        <row r="143">
          <cell r="U143">
            <v>206562.50196308392</v>
          </cell>
        </row>
        <row r="144">
          <cell r="U144">
            <v>233610.87583634481</v>
          </cell>
        </row>
        <row r="183">
          <cell r="X183">
            <v>2.2650504356278183</v>
          </cell>
        </row>
        <row r="184">
          <cell r="U184">
            <v>364.23973540501902</v>
          </cell>
        </row>
        <row r="185">
          <cell r="U185">
            <v>236781.13357805257</v>
          </cell>
        </row>
        <row r="186">
          <cell r="U186">
            <v>266018.55690523598</v>
          </cell>
        </row>
        <row r="225">
          <cell r="X225">
            <v>2.5178499678432309</v>
          </cell>
        </row>
        <row r="226">
          <cell r="U226">
            <v>381.82199889360948</v>
          </cell>
        </row>
        <row r="227">
          <cell r="U227">
            <v>275913.33569156437</v>
          </cell>
        </row>
        <row r="228">
          <cell r="U228">
            <v>301847.14281693281</v>
          </cell>
        </row>
      </sheetData>
      <sheetData sheetId="2" refreshError="1">
        <row r="107">
          <cell r="X107">
            <v>2.725653083847063</v>
          </cell>
        </row>
        <row r="108">
          <cell r="U108">
            <v>396.14018636323419</v>
          </cell>
        </row>
        <row r="109">
          <cell r="U109">
            <v>309885.58681125275</v>
          </cell>
        </row>
        <row r="110">
          <cell r="U110">
            <v>341805.45944112435</v>
          </cell>
        </row>
        <row r="147">
          <cell r="X147">
            <v>3.0253531232106656</v>
          </cell>
        </row>
        <row r="148">
          <cell r="U148">
            <v>415.15785038998877</v>
          </cell>
        </row>
        <row r="149">
          <cell r="U149">
            <v>360471.7414998975</v>
          </cell>
        </row>
        <row r="150">
          <cell r="U150">
            <v>395846.33061603387</v>
          </cell>
        </row>
        <row r="189">
          <cell r="X189">
            <v>3.3439638722189327</v>
          </cell>
        </row>
        <row r="190">
          <cell r="U190">
            <v>434.26279216495863</v>
          </cell>
        </row>
        <row r="191">
          <cell r="U191">
            <v>416769.65826993115</v>
          </cell>
        </row>
        <row r="192">
          <cell r="U192">
            <v>455508.22263355867</v>
          </cell>
        </row>
        <row r="231">
          <cell r="X231">
            <v>3.6800821845424516</v>
          </cell>
        </row>
        <row r="232">
          <cell r="U232">
            <v>453.36637751577985</v>
          </cell>
        </row>
        <row r="233">
          <cell r="U233">
            <v>478838.12681334786</v>
          </cell>
        </row>
        <row r="234">
          <cell r="U234">
            <v>521077.85678605654</v>
          </cell>
        </row>
        <row r="273">
          <cell r="X273">
            <v>4.0338623003348406</v>
          </cell>
        </row>
        <row r="274">
          <cell r="U274">
            <v>472.46859363091892</v>
          </cell>
        </row>
        <row r="275">
          <cell r="U275">
            <v>546985.62215877592</v>
          </cell>
        </row>
        <row r="276">
          <cell r="U276">
            <v>592861.3204405366</v>
          </cell>
        </row>
        <row r="315">
          <cell r="X315">
            <v>4.4054530475042855</v>
          </cell>
        </row>
        <row r="316">
          <cell r="U316">
            <v>491.56942717315906</v>
          </cell>
        </row>
        <row r="317">
          <cell r="U317">
            <v>621523.19089697977</v>
          </cell>
        </row>
        <row r="318">
          <cell r="U318">
            <v>671167.31619547214</v>
          </cell>
        </row>
        <row r="357">
          <cell r="X357">
            <v>4.7949982208631141</v>
          </cell>
        </row>
        <row r="358">
          <cell r="U358">
            <v>510.66886425350242</v>
          </cell>
        </row>
        <row r="359">
          <cell r="U359">
            <v>702764.35682162491</v>
          </cell>
        </row>
        <row r="360">
          <cell r="U360">
            <v>756307.08023671387</v>
          </cell>
        </row>
        <row r="399">
          <cell r="X399">
            <v>5.2026369196125666</v>
          </cell>
        </row>
        <row r="400">
          <cell r="U400">
            <v>529.76689040354802</v>
          </cell>
        </row>
        <row r="401">
          <cell r="U401">
            <v>791025.03266412904</v>
          </cell>
        </row>
        <row r="402">
          <cell r="U402">
            <v>848594.30624061241</v>
          </cell>
        </row>
        <row r="441">
          <cell r="X441">
            <v>5.6208670870592581</v>
          </cell>
        </row>
        <row r="442">
          <cell r="U442">
            <v>548.57293775548237</v>
          </cell>
        </row>
        <row r="443">
          <cell r="U443">
            <v>884951.74878550379</v>
          </cell>
        </row>
        <row r="444">
          <cell r="U444">
            <v>948271.79518081085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6"/>
  <sheetViews>
    <sheetView topLeftCell="A177" zoomScale="85" zoomScaleNormal="85" workbookViewId="0">
      <selection activeCell="K192" sqref="K192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8" customWidth="1"/>
    <col min="19" max="19" width="12.42578125" customWidth="1"/>
  </cols>
  <sheetData>
    <row r="1" spans="1:6" x14ac:dyDescent="0.25">
      <c r="A1" t="s">
        <v>22</v>
      </c>
    </row>
    <row r="2" spans="1:6" x14ac:dyDescent="0.25">
      <c r="A2" t="s">
        <v>23</v>
      </c>
    </row>
    <row r="3" spans="1:6" x14ac:dyDescent="0.25">
      <c r="B3" t="s">
        <v>24</v>
      </c>
      <c r="C3" t="s">
        <v>9</v>
      </c>
      <c r="D3" t="s">
        <v>30</v>
      </c>
      <c r="E3">
        <v>150</v>
      </c>
      <c r="F3" t="s">
        <v>10</v>
      </c>
    </row>
    <row r="4" spans="1:6" x14ac:dyDescent="0.25">
      <c r="B4" t="s">
        <v>25</v>
      </c>
      <c r="C4" t="s">
        <v>102</v>
      </c>
      <c r="D4" t="s">
        <v>30</v>
      </c>
      <c r="E4">
        <v>98610</v>
      </c>
      <c r="F4" t="s">
        <v>31</v>
      </c>
    </row>
    <row r="5" spans="1:6" x14ac:dyDescent="0.25">
      <c r="B5" t="s">
        <v>105</v>
      </c>
      <c r="C5" t="s">
        <v>32</v>
      </c>
      <c r="D5" t="s">
        <v>30</v>
      </c>
      <c r="E5">
        <v>1.8048</v>
      </c>
    </row>
    <row r="6" spans="1:6" x14ac:dyDescent="0.25">
      <c r="B6" t="s">
        <v>69</v>
      </c>
      <c r="C6" t="s">
        <v>70</v>
      </c>
      <c r="D6" t="s">
        <v>30</v>
      </c>
      <c r="E6">
        <v>288.20999999999998</v>
      </c>
      <c r="F6" t="s">
        <v>33</v>
      </c>
    </row>
    <row r="7" spans="1:6" x14ac:dyDescent="0.25">
      <c r="B7" t="s">
        <v>115</v>
      </c>
      <c r="C7" t="s">
        <v>73</v>
      </c>
      <c r="D7" t="s">
        <v>30</v>
      </c>
      <c r="E7">
        <v>347.2</v>
      </c>
      <c r="F7" t="s">
        <v>33</v>
      </c>
    </row>
    <row r="8" spans="1:6" x14ac:dyDescent="0.25">
      <c r="B8" t="s">
        <v>27</v>
      </c>
      <c r="C8" t="s">
        <v>14</v>
      </c>
      <c r="D8" t="s">
        <v>30</v>
      </c>
      <c r="E8">
        <v>1.2042999999999999</v>
      </c>
      <c r="F8" t="s">
        <v>36</v>
      </c>
    </row>
    <row r="9" spans="1:6" x14ac:dyDescent="0.25">
      <c r="B9" t="s">
        <v>28</v>
      </c>
      <c r="C9" t="s">
        <v>37</v>
      </c>
      <c r="D9" t="s">
        <v>30</v>
      </c>
      <c r="E9">
        <v>1.1253</v>
      </c>
      <c r="F9" t="s">
        <v>36</v>
      </c>
    </row>
    <row r="10" spans="1:6" x14ac:dyDescent="0.25">
      <c r="B10" t="s">
        <v>29</v>
      </c>
      <c r="C10" t="s">
        <v>38</v>
      </c>
      <c r="D10" t="s">
        <v>30</v>
      </c>
      <c r="E10">
        <v>469.35</v>
      </c>
      <c r="F10" t="s">
        <v>39</v>
      </c>
    </row>
    <row r="19" spans="1:17" x14ac:dyDescent="0.25">
      <c r="A19">
        <v>1</v>
      </c>
      <c r="B19" t="s">
        <v>40</v>
      </c>
    </row>
    <row r="20" spans="1:17" x14ac:dyDescent="0.25">
      <c r="A20" s="4" t="s">
        <v>44</v>
      </c>
      <c r="B20" t="s">
        <v>41</v>
      </c>
    </row>
    <row r="21" spans="1:17" x14ac:dyDescent="0.25">
      <c r="B21" s="3" t="s">
        <v>47</v>
      </c>
    </row>
    <row r="22" spans="1:17" x14ac:dyDescent="0.25">
      <c r="B22" s="3" t="s">
        <v>42</v>
      </c>
    </row>
    <row r="23" spans="1:17" x14ac:dyDescent="0.25">
      <c r="B23" s="3" t="s">
        <v>51</v>
      </c>
    </row>
    <row r="24" spans="1:17" x14ac:dyDescent="0.25">
      <c r="B24" s="3" t="s">
        <v>155</v>
      </c>
    </row>
    <row r="25" spans="1:17" x14ac:dyDescent="0.25">
      <c r="B25" s="3" t="s">
        <v>156</v>
      </c>
    </row>
    <row r="26" spans="1:17" x14ac:dyDescent="0.25">
      <c r="B26" s="3"/>
    </row>
    <row r="27" spans="1:17" x14ac:dyDescent="0.25">
      <c r="A27" s="4" t="s">
        <v>45</v>
      </c>
      <c r="B27" t="s">
        <v>43</v>
      </c>
    </row>
    <row r="28" spans="1:17" x14ac:dyDescent="0.25">
      <c r="B28" s="4" t="s">
        <v>2</v>
      </c>
      <c r="C28">
        <v>287</v>
      </c>
      <c r="D28" t="s">
        <v>3</v>
      </c>
    </row>
    <row r="29" spans="1:17" x14ac:dyDescent="0.25">
      <c r="B29" s="4" t="s">
        <v>13</v>
      </c>
      <c r="C29">
        <v>1.4</v>
      </c>
    </row>
    <row r="30" spans="1:17" x14ac:dyDescent="0.25">
      <c r="B30" s="4" t="s">
        <v>21</v>
      </c>
      <c r="C30">
        <v>1005</v>
      </c>
      <c r="D30" t="s">
        <v>62</v>
      </c>
    </row>
    <row r="31" spans="1:17" x14ac:dyDescent="0.25">
      <c r="E31" t="s">
        <v>157</v>
      </c>
      <c r="F31" t="s">
        <v>46</v>
      </c>
      <c r="G31" t="s">
        <v>158</v>
      </c>
      <c r="H31" t="s">
        <v>14</v>
      </c>
      <c r="I31" t="s">
        <v>0</v>
      </c>
      <c r="J31" t="s">
        <v>6</v>
      </c>
      <c r="K31" t="s">
        <v>7</v>
      </c>
      <c r="L31" t="s">
        <v>4</v>
      </c>
      <c r="M31" t="s">
        <v>1</v>
      </c>
      <c r="N31" t="s">
        <v>48</v>
      </c>
      <c r="O31" t="s">
        <v>11</v>
      </c>
      <c r="P31" t="s">
        <v>12</v>
      </c>
      <c r="Q31" t="s">
        <v>8</v>
      </c>
    </row>
    <row r="32" spans="1:17" x14ac:dyDescent="0.25">
      <c r="E32" s="1">
        <f>E6</f>
        <v>288.20999999999998</v>
      </c>
      <c r="F32" s="1">
        <f>E4</f>
        <v>98610</v>
      </c>
      <c r="G32" s="1">
        <f>F32/(E32*C28)</f>
        <v>1.1921475666153709</v>
      </c>
      <c r="H32" s="1">
        <f>E8</f>
        <v>1.2042999999999999</v>
      </c>
      <c r="I32">
        <v>0.4</v>
      </c>
      <c r="J32">
        <f t="shared" ref="J32:J40" si="0">$H$32*(1-I32)/(1+I32)</f>
        <v>0.51612857142857138</v>
      </c>
      <c r="K32">
        <f>$H$32/2+J32/2</f>
        <v>0.8602142857142856</v>
      </c>
      <c r="L32">
        <f>E10</f>
        <v>469.35</v>
      </c>
      <c r="M32">
        <f>L32*60/(2*3.14)</f>
        <v>4484.2356687898091</v>
      </c>
      <c r="N32">
        <f t="shared" ref="N32:N40" si="1">$E$3/($G$32*2*3.14*$H$32/2*J32)</f>
        <v>64.467229538332163</v>
      </c>
      <c r="O32">
        <f>K32*$L$32</f>
        <v>403.74157499999995</v>
      </c>
      <c r="P32">
        <f>SQRT(N32^2+O32^2)</f>
        <v>408.85606644371637</v>
      </c>
      <c r="Q32">
        <f>P32/SQRT($C$28*$C$29*$E$32)</f>
        <v>1.2014645387202341</v>
      </c>
    </row>
    <row r="33" spans="1:19" x14ac:dyDescent="0.25">
      <c r="I33">
        <v>0.45</v>
      </c>
      <c r="J33">
        <f t="shared" si="0"/>
        <v>0.45680344827586206</v>
      </c>
      <c r="K33">
        <f t="shared" ref="K33:K40" si="2">$H$32/2+J33/2</f>
        <v>0.83055172413793099</v>
      </c>
      <c r="N33">
        <f t="shared" si="1"/>
        <v>72.839597010842823</v>
      </c>
      <c r="O33">
        <f t="shared" ref="O33:O40" si="3">K33*$L$32</f>
        <v>389.81945172413793</v>
      </c>
      <c r="P33">
        <f t="shared" ref="P33:P40" si="4">SQRT(N33^2+O33^2)</f>
        <v>396.56627672459683</v>
      </c>
      <c r="Q33">
        <f t="shared" ref="Q33:Q40" si="5">P33/SQRT($C$28*$C$29*$E$32)</f>
        <v>1.165349759589561</v>
      </c>
    </row>
    <row r="34" spans="1:19" x14ac:dyDescent="0.25">
      <c r="I34">
        <v>0.5</v>
      </c>
      <c r="J34">
        <f t="shared" si="0"/>
        <v>0.40143333333333331</v>
      </c>
      <c r="K34">
        <f t="shared" si="2"/>
        <v>0.80286666666666662</v>
      </c>
      <c r="N34">
        <f t="shared" si="1"/>
        <v>82.886437977855635</v>
      </c>
      <c r="O34">
        <f t="shared" si="3"/>
        <v>376.82547</v>
      </c>
      <c r="P34">
        <f t="shared" si="4"/>
        <v>385.8336382968414</v>
      </c>
      <c r="Q34">
        <f t="shared" si="5"/>
        <v>1.1338108256316632</v>
      </c>
    </row>
    <row r="35" spans="1:19" x14ac:dyDescent="0.25">
      <c r="I35">
        <v>0.55000000000000004</v>
      </c>
      <c r="J35">
        <f t="shared" si="0"/>
        <v>0.34963548387096771</v>
      </c>
      <c r="K35">
        <f t="shared" si="2"/>
        <v>0.77696774193548379</v>
      </c>
      <c r="N35">
        <f t="shared" si="1"/>
        <v>95.165910270871279</v>
      </c>
      <c r="O35">
        <f t="shared" si="3"/>
        <v>364.66980967741932</v>
      </c>
      <c r="P35">
        <f t="shared" si="4"/>
        <v>376.88276767165775</v>
      </c>
      <c r="Q35">
        <f t="shared" si="5"/>
        <v>1.10750779498234</v>
      </c>
    </row>
    <row r="36" spans="1:19" x14ac:dyDescent="0.25">
      <c r="I36">
        <v>0.6</v>
      </c>
      <c r="J36">
        <f t="shared" si="0"/>
        <v>0.30107499999999998</v>
      </c>
      <c r="K36">
        <f t="shared" si="2"/>
        <v>0.75268749999999995</v>
      </c>
      <c r="N36">
        <f t="shared" si="1"/>
        <v>110.51525063714084</v>
      </c>
      <c r="O36">
        <f t="shared" si="3"/>
        <v>353.27387812500001</v>
      </c>
      <c r="P36">
        <f t="shared" si="4"/>
        <v>370.1567959512123</v>
      </c>
      <c r="Q36">
        <f t="shared" si="5"/>
        <v>1.0877428528088264</v>
      </c>
    </row>
    <row r="37" spans="1:19" x14ac:dyDescent="0.25">
      <c r="I37" s="5">
        <v>0.65</v>
      </c>
      <c r="J37" s="5">
        <f t="shared" si="0"/>
        <v>0.25545757575757577</v>
      </c>
      <c r="K37" s="5">
        <f t="shared" si="2"/>
        <v>0.72987878787878779</v>
      </c>
      <c r="L37" s="5"/>
      <c r="M37" s="5"/>
      <c r="N37" s="5">
        <f t="shared" si="1"/>
        <v>130.25011682234455</v>
      </c>
      <c r="O37" s="5">
        <f t="shared" si="3"/>
        <v>342.56860909090909</v>
      </c>
      <c r="P37" s="5">
        <f t="shared" si="4"/>
        <v>366.49467235788637</v>
      </c>
      <c r="Q37" s="5">
        <f t="shared" si="5"/>
        <v>1.0769813355050406</v>
      </c>
      <c r="S37" s="7" t="s">
        <v>15</v>
      </c>
    </row>
    <row r="38" spans="1:19" x14ac:dyDescent="0.25">
      <c r="I38">
        <v>0.7</v>
      </c>
      <c r="J38">
        <f t="shared" si="0"/>
        <v>0.21252352941176475</v>
      </c>
      <c r="K38">
        <f t="shared" si="2"/>
        <v>0.7084117647058823</v>
      </c>
      <c r="N38">
        <f t="shared" si="1"/>
        <v>156.56327173594948</v>
      </c>
      <c r="O38">
        <f t="shared" si="3"/>
        <v>332.49306176470589</v>
      </c>
      <c r="P38">
        <f t="shared" si="4"/>
        <v>367.51012799422722</v>
      </c>
      <c r="Q38">
        <f t="shared" si="5"/>
        <v>1.0799653536909981</v>
      </c>
    </row>
    <row r="39" spans="1:19" x14ac:dyDescent="0.25">
      <c r="I39">
        <v>0.75</v>
      </c>
      <c r="J39">
        <f t="shared" si="0"/>
        <v>0.17204285714285714</v>
      </c>
      <c r="K39">
        <f t="shared" si="2"/>
        <v>0.68817142857142855</v>
      </c>
      <c r="N39">
        <f t="shared" si="1"/>
        <v>193.40168861499646</v>
      </c>
      <c r="O39">
        <f t="shared" si="3"/>
        <v>322.99326000000002</v>
      </c>
      <c r="P39">
        <f t="shared" si="4"/>
        <v>376.46893519194867</v>
      </c>
      <c r="Q39">
        <f t="shared" si="5"/>
        <v>1.1062917067543583</v>
      </c>
    </row>
    <row r="40" spans="1:19" x14ac:dyDescent="0.25">
      <c r="I40">
        <v>0.8</v>
      </c>
      <c r="J40">
        <f t="shared" si="0"/>
        <v>0.13381111111111108</v>
      </c>
      <c r="K40">
        <f t="shared" si="2"/>
        <v>0.66905555555555551</v>
      </c>
      <c r="N40">
        <f t="shared" si="1"/>
        <v>248.65931393356695</v>
      </c>
      <c r="O40">
        <f t="shared" si="3"/>
        <v>314.02122500000002</v>
      </c>
      <c r="P40">
        <f t="shared" si="4"/>
        <v>400.55060124335461</v>
      </c>
      <c r="Q40">
        <f t="shared" si="5"/>
        <v>1.1770580966130988</v>
      </c>
    </row>
    <row r="42" spans="1:19" x14ac:dyDescent="0.25">
      <c r="I42" t="s">
        <v>0</v>
      </c>
      <c r="N42" t="s">
        <v>52</v>
      </c>
      <c r="O42" t="s">
        <v>53</v>
      </c>
      <c r="P42" t="s">
        <v>17</v>
      </c>
    </row>
    <row r="43" spans="1:19" x14ac:dyDescent="0.25">
      <c r="H43" t="s">
        <v>49</v>
      </c>
      <c r="I43">
        <v>0.65</v>
      </c>
      <c r="N43">
        <f>N37</f>
        <v>130.25011682234455</v>
      </c>
      <c r="O43">
        <f>H32/2*L32</f>
        <v>282.6191025</v>
      </c>
      <c r="P43">
        <f>SQRT(N43^2+O43^2)</f>
        <v>311.18909047416798</v>
      </c>
      <c r="Q43" t="s">
        <v>50</v>
      </c>
    </row>
    <row r="46" spans="1:19" x14ac:dyDescent="0.25">
      <c r="A46" s="4" t="s">
        <v>63</v>
      </c>
      <c r="B46" t="s">
        <v>106</v>
      </c>
    </row>
    <row r="47" spans="1:19" x14ac:dyDescent="0.25">
      <c r="B47" t="s">
        <v>54</v>
      </c>
    </row>
    <row r="48" spans="1:19" x14ac:dyDescent="0.25">
      <c r="B48" s="3" t="s">
        <v>60</v>
      </c>
    </row>
    <row r="49" spans="1:16" x14ac:dyDescent="0.25">
      <c r="B49" s="3" t="s">
        <v>56</v>
      </c>
      <c r="H49" t="s">
        <v>17</v>
      </c>
      <c r="I49" t="s">
        <v>84</v>
      </c>
      <c r="J49" t="s">
        <v>91</v>
      </c>
      <c r="K49" t="s">
        <v>92</v>
      </c>
      <c r="L49" t="s">
        <v>85</v>
      </c>
      <c r="M49" t="s">
        <v>93</v>
      </c>
      <c r="N49" t="s">
        <v>87</v>
      </c>
      <c r="O49" t="s">
        <v>90</v>
      </c>
      <c r="P49" t="s">
        <v>117</v>
      </c>
    </row>
    <row r="50" spans="1:16" x14ac:dyDescent="0.25">
      <c r="B50" t="s">
        <v>57</v>
      </c>
      <c r="H50">
        <f>P43</f>
        <v>311.18909047416798</v>
      </c>
      <c r="I50">
        <f>H50*0.72</f>
        <v>224.05614514140095</v>
      </c>
      <c r="J50">
        <f>90+ATAN(O43/N43)/3.14*180</f>
        <v>155.28963248084665</v>
      </c>
      <c r="K50">
        <f>90+ACOS(N43/I50)/3.1416*180</f>
        <v>144.4558693573785</v>
      </c>
      <c r="L50">
        <f>ATAN(N43/(O43-I50*SIN((K50-90)/180*3.14)))/3.14*180</f>
        <v>52.407666045779415</v>
      </c>
      <c r="M50">
        <f>O43*N43/C30*(TAN((J50-90)/180*3.14)-TAN((K50-90)/180*3.14))</f>
        <v>28.261329282052596</v>
      </c>
      <c r="N50">
        <f>L50</f>
        <v>52.407666045779415</v>
      </c>
      <c r="O50">
        <f>N43/SIN((N50/180*3.14))</f>
        <v>164.43888333450971</v>
      </c>
      <c r="P50">
        <f>N43/SIN(L50/180*3.14)</f>
        <v>164.43888333450971</v>
      </c>
    </row>
    <row r="51" spans="1:16" x14ac:dyDescent="0.25">
      <c r="B51" t="s">
        <v>58</v>
      </c>
    </row>
    <row r="52" spans="1:16" x14ac:dyDescent="0.25">
      <c r="B52" t="s">
        <v>59</v>
      </c>
    </row>
    <row r="53" spans="1:16" x14ac:dyDescent="0.25">
      <c r="B53" t="s">
        <v>116</v>
      </c>
    </row>
    <row r="54" spans="1:16" x14ac:dyDescent="0.25">
      <c r="B54" t="s">
        <v>89</v>
      </c>
    </row>
    <row r="56" spans="1:16" x14ac:dyDescent="0.25">
      <c r="A56" s="4" t="s">
        <v>107</v>
      </c>
      <c r="B56" t="s">
        <v>108</v>
      </c>
    </row>
    <row r="57" spans="1:16" x14ac:dyDescent="0.25">
      <c r="B57" t="s">
        <v>41</v>
      </c>
    </row>
    <row r="58" spans="1:16" x14ac:dyDescent="0.25">
      <c r="B58" s="11" t="s">
        <v>159</v>
      </c>
    </row>
    <row r="59" spans="1:16" x14ac:dyDescent="0.25">
      <c r="B59" t="s">
        <v>109</v>
      </c>
    </row>
    <row r="61" spans="1:16" x14ac:dyDescent="0.25">
      <c r="B61" t="s">
        <v>121</v>
      </c>
      <c r="C61" t="s">
        <v>67</v>
      </c>
      <c r="D61" t="s">
        <v>30</v>
      </c>
      <c r="E61">
        <f>O50</f>
        <v>164.43888333450971</v>
      </c>
    </row>
    <row r="62" spans="1:16" x14ac:dyDescent="0.25">
      <c r="B62" t="s">
        <v>114</v>
      </c>
      <c r="C62" t="s">
        <v>73</v>
      </c>
      <c r="D62" t="s">
        <v>30</v>
      </c>
      <c r="E62">
        <v>288.20999999999998</v>
      </c>
    </row>
    <row r="63" spans="1:16" x14ac:dyDescent="0.25">
      <c r="B63" t="s">
        <v>122</v>
      </c>
      <c r="C63" t="s">
        <v>34</v>
      </c>
      <c r="D63" t="s">
        <v>30</v>
      </c>
      <c r="E63">
        <f>E62-0.5*E61^2/1005</f>
        <v>274.75719086950221</v>
      </c>
    </row>
    <row r="64" spans="1:16" x14ac:dyDescent="0.25">
      <c r="B64" t="s">
        <v>110</v>
      </c>
      <c r="C64" t="s">
        <v>111</v>
      </c>
      <c r="F64" t="s">
        <v>30</v>
      </c>
      <c r="G64">
        <f>N43/SIN(L50/180*3.14)</f>
        <v>164.43888333450971</v>
      </c>
    </row>
    <row r="65" spans="2:15" x14ac:dyDescent="0.25">
      <c r="B65" t="s">
        <v>112</v>
      </c>
      <c r="C65" t="s">
        <v>73</v>
      </c>
      <c r="D65" t="s">
        <v>30</v>
      </c>
      <c r="E65">
        <f>347.2</f>
        <v>347.2</v>
      </c>
    </row>
    <row r="66" spans="2:15" x14ac:dyDescent="0.25">
      <c r="B66" t="s">
        <v>123</v>
      </c>
      <c r="C66" t="s">
        <v>35</v>
      </c>
      <c r="D66" t="s">
        <v>30</v>
      </c>
      <c r="E66">
        <f>E65-0.5*G64^2/1008</f>
        <v>333.78722899191445</v>
      </c>
    </row>
    <row r="68" spans="2:15" x14ac:dyDescent="0.25">
      <c r="B68" t="s">
        <v>113</v>
      </c>
    </row>
    <row r="69" spans="2:15" x14ac:dyDescent="0.25">
      <c r="B69" t="s">
        <v>66</v>
      </c>
      <c r="C69" t="s">
        <v>67</v>
      </c>
      <c r="D69" t="s">
        <v>30</v>
      </c>
      <c r="E69" t="s">
        <v>68</v>
      </c>
      <c r="H69" t="s">
        <v>30</v>
      </c>
      <c r="I69">
        <f>O50</f>
        <v>164.43888333450971</v>
      </c>
      <c r="N69" t="s">
        <v>119</v>
      </c>
      <c r="O69">
        <f>E4/(C28*E63)</f>
        <v>1.2505181359835851</v>
      </c>
    </row>
    <row r="70" spans="2:15" x14ac:dyDescent="0.25">
      <c r="B70" t="s">
        <v>124</v>
      </c>
      <c r="C70" t="s">
        <v>70</v>
      </c>
      <c r="D70" t="s">
        <v>30</v>
      </c>
      <c r="E70">
        <v>288.20999999999998</v>
      </c>
      <c r="N70" t="s">
        <v>120</v>
      </c>
      <c r="O70">
        <f>E4*E5/(C28*E66)</f>
        <v>1.8577977314088503</v>
      </c>
    </row>
    <row r="71" spans="2:15" x14ac:dyDescent="0.25">
      <c r="B71" t="s">
        <v>118</v>
      </c>
      <c r="C71" t="s">
        <v>101</v>
      </c>
      <c r="D71" t="s">
        <v>30</v>
      </c>
      <c r="E71">
        <f>G64</f>
        <v>164.43888333450971</v>
      </c>
    </row>
    <row r="72" spans="2:15" x14ac:dyDescent="0.25">
      <c r="B72" t="s">
        <v>125</v>
      </c>
      <c r="C72" t="s">
        <v>73</v>
      </c>
      <c r="D72" t="s">
        <v>30</v>
      </c>
      <c r="E72">
        <v>347.2</v>
      </c>
    </row>
    <row r="73" spans="2:15" x14ac:dyDescent="0.25">
      <c r="B73" t="s">
        <v>126</v>
      </c>
      <c r="C73" t="s">
        <v>72</v>
      </c>
      <c r="D73" t="s">
        <v>30</v>
      </c>
      <c r="E73">
        <f>E4+0.5*I69^2/O69</f>
        <v>109421.57704723423</v>
      </c>
    </row>
    <row r="74" spans="2:15" x14ac:dyDescent="0.25">
      <c r="B74" t="s">
        <v>127</v>
      </c>
      <c r="C74" t="s">
        <v>71</v>
      </c>
      <c r="D74" t="s">
        <v>30</v>
      </c>
      <c r="E74">
        <f>E4*E5+0.5*O70*E71^2</f>
        <v>203088.88927513358</v>
      </c>
    </row>
    <row r="76" spans="2:15" x14ac:dyDescent="0.25">
      <c r="C76" s="8" t="s">
        <v>71</v>
      </c>
      <c r="D76" s="46"/>
      <c r="E76" s="9" t="s">
        <v>73</v>
      </c>
      <c r="F76" t="s">
        <v>128</v>
      </c>
    </row>
    <row r="77" spans="2:15" x14ac:dyDescent="0.25">
      <c r="C77" t="s">
        <v>72</v>
      </c>
      <c r="D77" s="46"/>
      <c r="E77" s="10" t="s">
        <v>70</v>
      </c>
    </row>
    <row r="78" spans="2:15" x14ac:dyDescent="0.25">
      <c r="C78" t="s">
        <v>30</v>
      </c>
      <c r="E78" t="s">
        <v>30</v>
      </c>
    </row>
    <row r="79" spans="2:15" x14ac:dyDescent="0.25">
      <c r="C79">
        <f>E74/E73</f>
        <v>1.8560223198708405</v>
      </c>
      <c r="E79">
        <f>(E72/E70)^(1.4/0.4)</f>
        <v>1.9188779342044833</v>
      </c>
    </row>
    <row r="81" spans="1:17" x14ac:dyDescent="0.25">
      <c r="C81" t="s">
        <v>139</v>
      </c>
      <c r="D81" t="s">
        <v>30</v>
      </c>
      <c r="E81">
        <f>LOG10(C79)/LOG10(E79)</f>
        <v>0.94889846428174218</v>
      </c>
    </row>
    <row r="85" spans="1:17" x14ac:dyDescent="0.25">
      <c r="A85" s="4" t="s">
        <v>64</v>
      </c>
      <c r="B85" t="s">
        <v>65</v>
      </c>
    </row>
    <row r="86" spans="1:17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x14ac:dyDescent="0.25">
      <c r="C87" s="13" t="s">
        <v>129</v>
      </c>
      <c r="D87" s="13" t="s">
        <v>30</v>
      </c>
      <c r="E87" s="13">
        <f>E7-E6</f>
        <v>58.990000000000009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x14ac:dyDescent="0.25">
      <c r="A89" s="4" t="s">
        <v>74</v>
      </c>
      <c r="B89" t="s">
        <v>75</v>
      </c>
    </row>
    <row r="91" spans="1:17" x14ac:dyDescent="0.25">
      <c r="C91" t="s">
        <v>76</v>
      </c>
      <c r="D91" t="s">
        <v>30</v>
      </c>
      <c r="E91" t="s">
        <v>77</v>
      </c>
    </row>
    <row r="92" spans="1:17" x14ac:dyDescent="0.25">
      <c r="D92" t="s">
        <v>30</v>
      </c>
      <c r="E92">
        <f>E87/M50</f>
        <v>2.0873045075576719</v>
      </c>
    </row>
    <row r="93" spans="1:17" x14ac:dyDescent="0.25">
      <c r="B93" s="4" t="s">
        <v>78</v>
      </c>
      <c r="C93" t="s">
        <v>76</v>
      </c>
      <c r="D93" t="s">
        <v>30</v>
      </c>
      <c r="E93">
        <v>3</v>
      </c>
      <c r="G93" t="s">
        <v>131</v>
      </c>
    </row>
    <row r="94" spans="1:17" x14ac:dyDescent="0.25">
      <c r="B94" s="4" t="s">
        <v>79</v>
      </c>
      <c r="C94" t="s">
        <v>80</v>
      </c>
      <c r="D94" t="s">
        <v>30</v>
      </c>
      <c r="E94">
        <v>17</v>
      </c>
      <c r="F94" t="s">
        <v>33</v>
      </c>
      <c r="G94">
        <v>0.98</v>
      </c>
    </row>
    <row r="95" spans="1:17" x14ac:dyDescent="0.25">
      <c r="C95" t="s">
        <v>81</v>
      </c>
      <c r="D95" t="s">
        <v>30</v>
      </c>
      <c r="E95">
        <v>21</v>
      </c>
      <c r="F95" t="s">
        <v>33</v>
      </c>
      <c r="G95">
        <v>0.93</v>
      </c>
    </row>
    <row r="96" spans="1:17" x14ac:dyDescent="0.25">
      <c r="C96" t="s">
        <v>100</v>
      </c>
      <c r="D96" t="s">
        <v>30</v>
      </c>
      <c r="E96">
        <v>21</v>
      </c>
      <c r="F96" t="s">
        <v>33</v>
      </c>
      <c r="G96">
        <v>0.88</v>
      </c>
    </row>
    <row r="99" spans="1:19" x14ac:dyDescent="0.25">
      <c r="A99">
        <v>2</v>
      </c>
      <c r="B99" t="s">
        <v>82</v>
      </c>
    </row>
    <row r="100" spans="1:19" x14ac:dyDescent="0.25">
      <c r="G100" t="s">
        <v>5</v>
      </c>
      <c r="H100">
        <v>1.2042999999999999</v>
      </c>
      <c r="J100" t="s">
        <v>83</v>
      </c>
      <c r="K100">
        <v>130.25</v>
      </c>
      <c r="M100" t="s">
        <v>97</v>
      </c>
      <c r="N100">
        <v>288.20999999999998</v>
      </c>
      <c r="P100" t="s">
        <v>135</v>
      </c>
      <c r="R100" s="14" t="s">
        <v>30</v>
      </c>
      <c r="S100">
        <f>E94*C30/(K100*K101*G94)</f>
        <v>0.473597785043537</v>
      </c>
    </row>
    <row r="101" spans="1:19" x14ac:dyDescent="0.25">
      <c r="B101" s="3"/>
      <c r="G101" t="s">
        <v>38</v>
      </c>
      <c r="H101">
        <v>469.35</v>
      </c>
      <c r="J101" t="s">
        <v>20</v>
      </c>
      <c r="K101">
        <f>H101*H100/2</f>
        <v>282.6191025</v>
      </c>
      <c r="M101" t="s">
        <v>98</v>
      </c>
      <c r="N101">
        <f>N100+E94</f>
        <v>305.20999999999998</v>
      </c>
      <c r="P101" t="s">
        <v>133</v>
      </c>
      <c r="R101" t="s">
        <v>30</v>
      </c>
      <c r="S101">
        <f>K101/K100</f>
        <v>2.1698203646833014</v>
      </c>
    </row>
    <row r="102" spans="1:19" x14ac:dyDescent="0.25">
      <c r="B102" s="3"/>
      <c r="M102" t="s">
        <v>130</v>
      </c>
      <c r="N102">
        <v>98610</v>
      </c>
      <c r="P102" t="s">
        <v>134</v>
      </c>
      <c r="R102" t="s">
        <v>30</v>
      </c>
      <c r="S102">
        <f>S101-S100</f>
        <v>1.6962225796397643</v>
      </c>
    </row>
    <row r="103" spans="1:19" x14ac:dyDescent="0.25">
      <c r="B103" s="3"/>
    </row>
    <row r="104" spans="1:19" x14ac:dyDescent="0.25">
      <c r="B104" s="3"/>
    </row>
    <row r="105" spans="1:19" x14ac:dyDescent="0.25">
      <c r="J105" t="s">
        <v>86</v>
      </c>
      <c r="K105">
        <v>90</v>
      </c>
    </row>
    <row r="106" spans="1:19" x14ac:dyDescent="0.25">
      <c r="J106" t="s">
        <v>61</v>
      </c>
      <c r="K106">
        <f>ATAN(S101)/3.14*180+90</f>
        <v>155.28965202521459</v>
      </c>
    </row>
    <row r="107" spans="1:19" x14ac:dyDescent="0.25">
      <c r="J107" t="s">
        <v>55</v>
      </c>
      <c r="K107">
        <f>ATAN(S102)/3.14*180+90</f>
        <v>149.5088939779337</v>
      </c>
    </row>
    <row r="108" spans="1:19" x14ac:dyDescent="0.25">
      <c r="J108" t="s">
        <v>136</v>
      </c>
      <c r="K108">
        <f>90-ATAN(K101/K100-TAN((K107-90)/180*3.14))/3.14*180</f>
        <v>64.645014652284644</v>
      </c>
    </row>
    <row r="109" spans="1:19" x14ac:dyDescent="0.25">
      <c r="I109" t="s">
        <v>142</v>
      </c>
      <c r="J109" t="s">
        <v>143</v>
      </c>
      <c r="K109">
        <f>K108</f>
        <v>64.645014652284644</v>
      </c>
    </row>
    <row r="111" spans="1:19" x14ac:dyDescent="0.25">
      <c r="J111" t="s">
        <v>16</v>
      </c>
      <c r="K111">
        <f>K100/COS((90-K105)/180*3.14)</f>
        <v>130.25</v>
      </c>
    </row>
    <row r="112" spans="1:19" x14ac:dyDescent="0.25">
      <c r="J112" t="s">
        <v>17</v>
      </c>
      <c r="K112">
        <f>K100/COS((K106-90)/180*3.14)</f>
        <v>311.1890415774721</v>
      </c>
    </row>
    <row r="113" spans="10:24" x14ac:dyDescent="0.25">
      <c r="J113" t="s">
        <v>117</v>
      </c>
      <c r="K113">
        <f>K100/COS((90-K108)/180*3.14)</f>
        <v>144.11883586897099</v>
      </c>
    </row>
    <row r="114" spans="10:24" x14ac:dyDescent="0.25">
      <c r="J114" t="s">
        <v>141</v>
      </c>
      <c r="K114">
        <f>K100/COS((K107-90)/180*3.14)</f>
        <v>256.46919700298781</v>
      </c>
    </row>
    <row r="115" spans="10:24" x14ac:dyDescent="0.25">
      <c r="J115" t="s">
        <v>88</v>
      </c>
      <c r="K115">
        <f>K100/COS((90-K109)/180*3.14)</f>
        <v>144.11883586897099</v>
      </c>
    </row>
    <row r="116" spans="10:24" x14ac:dyDescent="0.25">
      <c r="J116" t="s">
        <v>137</v>
      </c>
      <c r="M116">
        <f>K106-K107</f>
        <v>5.7807580472808979</v>
      </c>
    </row>
    <row r="117" spans="10:24" x14ac:dyDescent="0.25">
      <c r="J117" t="s">
        <v>138</v>
      </c>
      <c r="M117">
        <f>COS((K106-90)/180*3.14)/COS((K107-90)/180*3.14)</f>
        <v>0.82415883188848893</v>
      </c>
    </row>
    <row r="118" spans="10:24" x14ac:dyDescent="0.25">
      <c r="J118" t="s">
        <v>145</v>
      </c>
      <c r="M118">
        <f>K100/(2*K101)*(S101+S102)</f>
        <v>0.89086705223345497</v>
      </c>
    </row>
    <row r="119" spans="10:24" x14ac:dyDescent="0.25">
      <c r="J119" t="s">
        <v>148</v>
      </c>
      <c r="M119">
        <f>K100*(TAN((90-K108)/180*3.14)-TAN((90-K105)/180*3.14))</f>
        <v>61.686111501920749</v>
      </c>
    </row>
    <row r="121" spans="10:24" x14ac:dyDescent="0.25">
      <c r="M121" t="s">
        <v>18</v>
      </c>
      <c r="N121">
        <f>N100-0.5*K115^2/1005</f>
        <v>277.87654783471271</v>
      </c>
      <c r="P121" t="s">
        <v>144</v>
      </c>
      <c r="Q121">
        <f>N102/(N121*287)</f>
        <v>1.2364802026351303</v>
      </c>
      <c r="T121" t="s">
        <v>229</v>
      </c>
      <c r="U121">
        <f>N100</f>
        <v>288.20999999999998</v>
      </c>
      <c r="W121" t="s">
        <v>221</v>
      </c>
      <c r="X121">
        <f>U123/(U122*287)</f>
        <v>1.2508982089634904</v>
      </c>
    </row>
    <row r="122" spans="10:24" x14ac:dyDescent="0.25">
      <c r="M122" t="s">
        <v>19</v>
      </c>
      <c r="N122">
        <f>N101-0.5*K113^2/1005</f>
        <v>294.87654783471271</v>
      </c>
      <c r="P122" s="15" t="s">
        <v>152</v>
      </c>
      <c r="Q122" s="15">
        <f>N134/(N122*287)</f>
        <v>1.3775541668154452</v>
      </c>
      <c r="T122" t="s">
        <v>218</v>
      </c>
      <c r="U122">
        <f>U121-0.5*K111^2/$C$30</f>
        <v>279.76967039800991</v>
      </c>
    </row>
    <row r="123" spans="10:24" x14ac:dyDescent="0.25">
      <c r="M123" t="s">
        <v>95</v>
      </c>
      <c r="N123">
        <f>N102+0.5*Q121*K115^2</f>
        <v>111450.99457239109</v>
      </c>
      <c r="T123" t="s">
        <v>220</v>
      </c>
      <c r="U123">
        <f>N123/((N100/U122)^($C$29/($C$29-1)))</f>
        <v>100439.48995185169</v>
      </c>
    </row>
    <row r="124" spans="10:24" x14ac:dyDescent="0.25">
      <c r="T124" t="s">
        <v>219</v>
      </c>
      <c r="U124">
        <f>U123+X121*K111^2/2</f>
        <v>111050.27309995353</v>
      </c>
    </row>
    <row r="125" spans="10:24" x14ac:dyDescent="0.25">
      <c r="M125" t="s">
        <v>26</v>
      </c>
    </row>
    <row r="126" spans="10:24" x14ac:dyDescent="0.25">
      <c r="N126" t="s">
        <v>230</v>
      </c>
    </row>
    <row r="127" spans="10:24" ht="33.75" customHeight="1" x14ac:dyDescent="0.25">
      <c r="O127" t="s">
        <v>231</v>
      </c>
      <c r="P127">
        <f>Comp_combine!V5</f>
        <v>0.82062087931791194</v>
      </c>
    </row>
    <row r="130" spans="1:19" x14ac:dyDescent="0.25">
      <c r="N130" t="s">
        <v>140</v>
      </c>
      <c r="O130">
        <f>(1+P127*17/288)^(1.4/0.4)</f>
        <v>1.1800535216072072</v>
      </c>
    </row>
    <row r="133" spans="1:19" x14ac:dyDescent="0.25">
      <c r="M133" t="s">
        <v>96</v>
      </c>
      <c r="N133">
        <f>O130*N123</f>
        <v>131518.13863177586</v>
      </c>
    </row>
    <row r="134" spans="1:19" x14ac:dyDescent="0.25">
      <c r="M134" s="15" t="s">
        <v>146</v>
      </c>
      <c r="N134" s="15">
        <f>N133*(N122/N101)^($C$29/($C$29-1))</f>
        <v>116581.81572660251</v>
      </c>
    </row>
    <row r="135" spans="1:19" x14ac:dyDescent="0.25">
      <c r="A135">
        <v>3</v>
      </c>
      <c r="B135" t="s">
        <v>147</v>
      </c>
    </row>
    <row r="136" spans="1:19" x14ac:dyDescent="0.25">
      <c r="C136" t="s">
        <v>81</v>
      </c>
      <c r="D136" t="s">
        <v>30</v>
      </c>
      <c r="E136">
        <v>21</v>
      </c>
      <c r="F136" t="s">
        <v>33</v>
      </c>
    </row>
    <row r="137" spans="1:19" x14ac:dyDescent="0.25">
      <c r="C137" t="s">
        <v>149</v>
      </c>
      <c r="D137" t="s">
        <v>30</v>
      </c>
      <c r="E137">
        <v>0.93</v>
      </c>
    </row>
    <row r="138" spans="1:19" x14ac:dyDescent="0.25">
      <c r="C138" t="s">
        <v>145</v>
      </c>
      <c r="D138" t="s">
        <v>30</v>
      </c>
      <c r="E138">
        <v>0.75</v>
      </c>
    </row>
    <row r="140" spans="1:19" x14ac:dyDescent="0.25">
      <c r="G140" t="s">
        <v>5</v>
      </c>
      <c r="H140">
        <f>(1.2043+1.1253)/2</f>
        <v>1.1648000000000001</v>
      </c>
      <c r="J140" t="s">
        <v>83</v>
      </c>
      <c r="K140">
        <v>130.25</v>
      </c>
      <c r="M140" t="s">
        <v>97</v>
      </c>
      <c r="N140">
        <f>N101</f>
        <v>305.20999999999998</v>
      </c>
      <c r="P140" t="s">
        <v>135</v>
      </c>
      <c r="R140" s="14" t="s">
        <v>30</v>
      </c>
      <c r="S140">
        <f>E136*1005/(E137*K140*K141)</f>
        <v>0.63739182267799976</v>
      </c>
    </row>
    <row r="141" spans="1:19" x14ac:dyDescent="0.25">
      <c r="G141" t="s">
        <v>38</v>
      </c>
      <c r="H141">
        <v>469.35</v>
      </c>
      <c r="J141" t="s">
        <v>20</v>
      </c>
      <c r="K141">
        <f>H141*H140/2</f>
        <v>273.34944000000002</v>
      </c>
      <c r="M141" t="s">
        <v>98</v>
      </c>
      <c r="N141">
        <f>N140+E136</f>
        <v>326.20999999999998</v>
      </c>
      <c r="P141" t="s">
        <v>132</v>
      </c>
      <c r="R141" t="s">
        <v>30</v>
      </c>
      <c r="S141">
        <f>E138*2*K141/K140</f>
        <v>3.1479781957773518</v>
      </c>
    </row>
    <row r="142" spans="1:19" x14ac:dyDescent="0.25">
      <c r="M142" s="15" t="s">
        <v>130</v>
      </c>
      <c r="N142" s="15">
        <f>N134</f>
        <v>116581.81572660251</v>
      </c>
      <c r="P142" t="s">
        <v>133</v>
      </c>
      <c r="R142" t="s">
        <v>30</v>
      </c>
      <c r="S142">
        <f>(S140+S141)/2</f>
        <v>1.8926850092276757</v>
      </c>
    </row>
    <row r="143" spans="1:19" x14ac:dyDescent="0.25">
      <c r="P143" t="s">
        <v>134</v>
      </c>
      <c r="R143" t="s">
        <v>30</v>
      </c>
      <c r="S143">
        <f>(S141-S140)/2</f>
        <v>1.2552931865496761</v>
      </c>
    </row>
    <row r="145" spans="1:23" x14ac:dyDescent="0.25">
      <c r="J145" t="s">
        <v>86</v>
      </c>
      <c r="K145">
        <f>90-ATAN(K141/K140-TAN((K146-90)/180*3.14))/3.14*180</f>
        <v>78.355803598312335</v>
      </c>
    </row>
    <row r="146" spans="1:23" x14ac:dyDescent="0.25">
      <c r="J146" t="s">
        <v>61</v>
      </c>
      <c r="K146">
        <f>ATAN(S142)/3.14*180+90</f>
        <v>152.18179308182386</v>
      </c>
    </row>
    <row r="147" spans="1:23" x14ac:dyDescent="0.25">
      <c r="J147" t="s">
        <v>55</v>
      </c>
      <c r="K147">
        <f>ATAN(S143)/3.14*180+90</f>
        <v>141.48433923901561</v>
      </c>
    </row>
    <row r="148" spans="1:23" x14ac:dyDescent="0.25">
      <c r="J148" t="s">
        <v>136</v>
      </c>
      <c r="K148">
        <f>90-ATAN(K141/K140-TAN((K147-90)/180*3.14))/3.14*180</f>
        <v>49.836730023842485</v>
      </c>
    </row>
    <row r="149" spans="1:23" x14ac:dyDescent="0.25">
      <c r="J149" t="s">
        <v>150</v>
      </c>
      <c r="K149">
        <f>K108</f>
        <v>64.645014652284644</v>
      </c>
    </row>
    <row r="151" spans="1:23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t="s">
        <v>16</v>
      </c>
      <c r="K151">
        <f>K140/COS((90-K145)/180*3.14)</f>
        <v>132.98406709592254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t="s">
        <v>17</v>
      </c>
      <c r="K152">
        <f>K140/COS((K146-90)/180*3.14)</f>
        <v>278.81583287651802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t="s">
        <v>117</v>
      </c>
      <c r="K153">
        <f>K140/COS((90-K148)/180*3.14)</f>
        <v>170.38643225010972</v>
      </c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t="s">
        <v>141</v>
      </c>
      <c r="K154">
        <f>K140/COS((K147-90)/180*3.14)</f>
        <v>209.04053693478028</v>
      </c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t="s">
        <v>88</v>
      </c>
      <c r="K155">
        <f>K140/COS((90-K149)/180*3.14)</f>
        <v>144.11883586897099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t="s">
        <v>137</v>
      </c>
      <c r="M156">
        <f>K146-K147</f>
        <v>10.697453842808244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t="s">
        <v>138</v>
      </c>
      <c r="M157">
        <f>COS((K146-90)/180*3.14)/COS((K147-90)/180*3.14)</f>
        <v>0.74974414034571768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t="s">
        <v>145</v>
      </c>
      <c r="M158">
        <f>K140/(2*K141)*(S141)</f>
        <v>0.75000000000000011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t="s">
        <v>148</v>
      </c>
      <c r="M159">
        <f>K140*(TAN((90-K148)/180*3.14)-TAN((90-K145)/180*3.14))</f>
        <v>83.020284903809511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4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t="s">
        <v>18</v>
      </c>
      <c r="N161">
        <f>N140-0.5*K155^2/1005</f>
        <v>294.87654783471271</v>
      </c>
      <c r="P161" s="15" t="s">
        <v>144</v>
      </c>
      <c r="Q161" s="15">
        <f>Q122</f>
        <v>1.3775541668154452</v>
      </c>
      <c r="R161" s="12"/>
      <c r="S161" s="12"/>
      <c r="T161" t="s">
        <v>229</v>
      </c>
      <c r="U161">
        <f>N140</f>
        <v>305.20999999999998</v>
      </c>
      <c r="W161" t="s">
        <v>221</v>
      </c>
      <c r="X161">
        <f>U163/(U162*287)</f>
        <v>1.3955523420365601</v>
      </c>
    </row>
    <row r="162" spans="1:24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t="s">
        <v>19</v>
      </c>
      <c r="N162">
        <f>N141-0.5*K153^2/1005</f>
        <v>311.76644960451677</v>
      </c>
      <c r="P162" s="15" t="s">
        <v>152</v>
      </c>
      <c r="Q162" s="15">
        <f>N174/(N162*287)</f>
        <v>1.5584239530875701</v>
      </c>
      <c r="R162" s="12"/>
      <c r="S162" s="12"/>
      <c r="T162" t="s">
        <v>218</v>
      </c>
      <c r="U162">
        <f>U161-0.5*K151^2/$C$30</f>
        <v>296.41161089483938</v>
      </c>
    </row>
    <row r="163" spans="1:24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t="s">
        <v>95</v>
      </c>
      <c r="N163">
        <f>N133</f>
        <v>131518.13863177586</v>
      </c>
      <c r="R163" s="12"/>
      <c r="S163" s="12"/>
      <c r="T163" t="s">
        <v>220</v>
      </c>
      <c r="U163">
        <f>N163/((N140/U162)^($C$29/($C$29-1)))</f>
        <v>118719.82240605219</v>
      </c>
    </row>
    <row r="164" spans="1:24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R164" s="12"/>
      <c r="S164" s="12"/>
      <c r="T164" t="s">
        <v>219</v>
      </c>
      <c r="U164">
        <f>U163+X161*K151^2/2</f>
        <v>131059.82799051731</v>
      </c>
    </row>
    <row r="165" spans="1:24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t="s">
        <v>26</v>
      </c>
      <c r="R165" s="12"/>
      <c r="S165" s="12"/>
      <c r="T165" s="12"/>
      <c r="U165" s="12"/>
      <c r="V165" s="12"/>
      <c r="W165" s="12"/>
    </row>
    <row r="166" spans="1:24" ht="14.2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N166" t="s">
        <v>233</v>
      </c>
      <c r="R166" s="12"/>
      <c r="S166" s="12"/>
      <c r="T166" s="12"/>
      <c r="U166" s="12"/>
      <c r="V166" s="12"/>
      <c r="W166" s="12"/>
    </row>
    <row r="167" spans="1:24" ht="35.2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O167" t="s">
        <v>231</v>
      </c>
      <c r="P167">
        <f>Comp_combine!W5</f>
        <v>0.92968731875953214</v>
      </c>
      <c r="R167" s="12"/>
      <c r="S167" s="12"/>
      <c r="T167" s="12"/>
      <c r="U167" s="12"/>
      <c r="V167" s="12"/>
      <c r="W167" s="12"/>
    </row>
    <row r="170" spans="1:24" x14ac:dyDescent="0.25">
      <c r="N170" t="s">
        <v>140</v>
      </c>
      <c r="O170">
        <f>(1+P167*E136/N140)^(1.4/0.4)</f>
        <v>1.2423640061439567</v>
      </c>
    </row>
    <row r="173" spans="1:24" x14ac:dyDescent="0.25">
      <c r="M173" t="s">
        <v>96</v>
      </c>
      <c r="N173">
        <f>N163*O170</f>
        <v>163393.40159116933</v>
      </c>
    </row>
    <row r="174" spans="1:24" x14ac:dyDescent="0.25">
      <c r="M174" s="15" t="s">
        <v>146</v>
      </c>
      <c r="N174" s="15">
        <f>N173*(N162/N141)^($C$29/($C$29-1))</f>
        <v>139443.0549129986</v>
      </c>
    </row>
    <row r="175" spans="1:24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x14ac:dyDescent="0.25">
      <c r="A177" s="12">
        <v>4</v>
      </c>
      <c r="B177" s="12" t="s">
        <v>151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x14ac:dyDescent="0.25">
      <c r="A178" s="12"/>
      <c r="B178" s="12"/>
      <c r="C178" t="s">
        <v>81</v>
      </c>
      <c r="D178" t="s">
        <v>30</v>
      </c>
      <c r="E178">
        <v>21</v>
      </c>
      <c r="F178" t="s">
        <v>33</v>
      </c>
      <c r="V178" s="12"/>
      <c r="W178" s="12"/>
      <c r="X178" s="12"/>
    </row>
    <row r="179" spans="1:24" x14ac:dyDescent="0.25">
      <c r="A179" s="12"/>
      <c r="B179" s="12"/>
      <c r="C179" t="s">
        <v>149</v>
      </c>
      <c r="D179" t="s">
        <v>30</v>
      </c>
      <c r="E179">
        <v>0.88</v>
      </c>
      <c r="V179" s="12"/>
      <c r="W179" s="12"/>
      <c r="X179" s="12"/>
    </row>
    <row r="180" spans="1:24" x14ac:dyDescent="0.25">
      <c r="A180" s="12"/>
      <c r="B180" s="12"/>
      <c r="C180" t="s">
        <v>145</v>
      </c>
      <c r="D180" t="s">
        <v>30</v>
      </c>
      <c r="E180">
        <v>0.75</v>
      </c>
      <c r="F180" t="s">
        <v>154</v>
      </c>
      <c r="V180" s="12"/>
      <c r="W180" s="12"/>
      <c r="X180" s="12"/>
    </row>
    <row r="181" spans="1:24" x14ac:dyDescent="0.25">
      <c r="A181" s="12"/>
      <c r="B181" s="12"/>
      <c r="V181" s="12"/>
      <c r="W181" s="12"/>
      <c r="X181" s="12"/>
    </row>
    <row r="182" spans="1:24" x14ac:dyDescent="0.25">
      <c r="A182" s="12"/>
      <c r="B182" s="12"/>
      <c r="G182" t="s">
        <v>5</v>
      </c>
      <c r="H182">
        <v>1.1253</v>
      </c>
      <c r="J182" t="s">
        <v>83</v>
      </c>
      <c r="K182">
        <v>130.25</v>
      </c>
      <c r="M182" t="s">
        <v>97</v>
      </c>
      <c r="N182">
        <f>N141</f>
        <v>326.20999999999998</v>
      </c>
      <c r="P182" t="s">
        <v>135</v>
      </c>
      <c r="R182" s="14" t="s">
        <v>30</v>
      </c>
      <c r="S182">
        <f>E178*1005/(E179*K182*K183)</f>
        <v>0.69725206147195173</v>
      </c>
      <c r="V182" s="12"/>
      <c r="W182" s="12"/>
      <c r="X182" s="12"/>
    </row>
    <row r="183" spans="1:24" x14ac:dyDescent="0.25">
      <c r="A183" s="12"/>
      <c r="B183" s="12"/>
      <c r="G183" t="s">
        <v>38</v>
      </c>
      <c r="H183">
        <v>469.35</v>
      </c>
      <c r="J183" t="s">
        <v>20</v>
      </c>
      <c r="K183">
        <f>H183*H182/2</f>
        <v>264.07977749999998</v>
      </c>
      <c r="M183" t="s">
        <v>98</v>
      </c>
      <c r="N183">
        <f>N182+E178</f>
        <v>347.21</v>
      </c>
      <c r="P183" t="s">
        <v>132</v>
      </c>
      <c r="R183" t="s">
        <v>30</v>
      </c>
      <c r="S183">
        <f>E180*2*K183/K182</f>
        <v>3.0412258445297504</v>
      </c>
      <c r="V183" s="12"/>
      <c r="W183" s="12"/>
      <c r="X183" s="12"/>
    </row>
    <row r="184" spans="1:24" x14ac:dyDescent="0.25">
      <c r="A184" s="12"/>
      <c r="B184" s="12"/>
      <c r="M184" s="15" t="s">
        <v>130</v>
      </c>
      <c r="N184" s="15">
        <f>N174</f>
        <v>139443.0549129986</v>
      </c>
      <c r="P184" t="s">
        <v>133</v>
      </c>
      <c r="R184" t="s">
        <v>30</v>
      </c>
      <c r="S184">
        <f>(S182+S183)/2</f>
        <v>1.8692389530008511</v>
      </c>
      <c r="V184" s="12"/>
      <c r="W184" s="12"/>
      <c r="X184" s="12"/>
    </row>
    <row r="185" spans="1:24" x14ac:dyDescent="0.25">
      <c r="A185" s="12"/>
      <c r="B185" s="12"/>
      <c r="P185" t="s">
        <v>134</v>
      </c>
      <c r="R185" t="s">
        <v>30</v>
      </c>
      <c r="S185">
        <f>(S183-S182)/2</f>
        <v>1.1719868915288993</v>
      </c>
      <c r="V185" s="12"/>
      <c r="W185" s="12"/>
      <c r="X185" s="12"/>
    </row>
    <row r="186" spans="1:24" x14ac:dyDescent="0.25">
      <c r="A186" s="12"/>
      <c r="B186" s="12"/>
      <c r="V186" s="12"/>
      <c r="W186" s="12"/>
      <c r="X186" s="12"/>
    </row>
    <row r="187" spans="1:24" x14ac:dyDescent="0.25">
      <c r="A187" s="12"/>
      <c r="B187" s="12"/>
      <c r="J187" t="s">
        <v>86</v>
      </c>
      <c r="K187">
        <f>90-ATAN(K183/K182-TAN((K188-90)/180*3.14))/3.14*180</f>
        <v>81.003236187389476</v>
      </c>
      <c r="V187" s="12"/>
      <c r="W187" s="12"/>
      <c r="X187" s="12"/>
    </row>
    <row r="188" spans="1:24" x14ac:dyDescent="0.25">
      <c r="J188" t="s">
        <v>61</v>
      </c>
      <c r="K188">
        <f>ATAN(S184)/3.14*180+90</f>
        <v>151.8856130773508</v>
      </c>
    </row>
    <row r="189" spans="1:24" x14ac:dyDescent="0.25">
      <c r="J189" t="s">
        <v>55</v>
      </c>
      <c r="K189">
        <f>ATAN(S185)/3.14*180+90</f>
        <v>139.55259065055554</v>
      </c>
    </row>
    <row r="190" spans="1:24" x14ac:dyDescent="0.25">
      <c r="J190" t="s">
        <v>136</v>
      </c>
      <c r="K190">
        <f>90-ATAN(K183/K182-TAN((K189-90)/180*3.14))/3.14*180</f>
        <v>49.432545015128468</v>
      </c>
    </row>
    <row r="191" spans="1:24" x14ac:dyDescent="0.25">
      <c r="J191" t="s">
        <v>150</v>
      </c>
      <c r="K191">
        <f>K148</f>
        <v>49.836730023842485</v>
      </c>
    </row>
    <row r="193" spans="3:24" x14ac:dyDescent="0.25">
      <c r="C193" s="12"/>
      <c r="D193" s="12"/>
      <c r="E193" s="12"/>
      <c r="F193" s="12"/>
      <c r="G193" s="12"/>
      <c r="H193" s="12"/>
      <c r="I193" s="12"/>
      <c r="J193" t="s">
        <v>16</v>
      </c>
      <c r="K193">
        <f>K182/COS((90-K187)/180*3.14)</f>
        <v>131.87074152199119</v>
      </c>
      <c r="N193" s="12"/>
      <c r="O193" s="12"/>
      <c r="P193" s="12"/>
      <c r="Q193" s="12"/>
      <c r="R193" s="12"/>
      <c r="S193" s="12"/>
      <c r="T193" s="12"/>
      <c r="U193" s="12"/>
    </row>
    <row r="194" spans="3:24" x14ac:dyDescent="0.25">
      <c r="C194" s="12"/>
      <c r="D194" s="12"/>
      <c r="E194" s="12"/>
      <c r="F194" s="12"/>
      <c r="G194" s="12"/>
      <c r="H194" s="12"/>
      <c r="I194" s="12"/>
      <c r="J194" t="s">
        <v>17</v>
      </c>
      <c r="K194">
        <f>K182/COS((K188-90)/180*3.14)</f>
        <v>276.11937899618562</v>
      </c>
      <c r="N194" s="12"/>
      <c r="O194" s="12"/>
      <c r="P194" s="12"/>
      <c r="Q194" s="12"/>
      <c r="R194" s="12"/>
      <c r="S194" s="12"/>
      <c r="T194" s="12"/>
      <c r="U194" s="12"/>
    </row>
    <row r="195" spans="3:24" x14ac:dyDescent="0.25">
      <c r="C195" s="12"/>
      <c r="D195" s="12"/>
      <c r="E195" s="12"/>
      <c r="F195" s="12"/>
      <c r="G195" s="12"/>
      <c r="H195" s="12"/>
      <c r="I195" s="12"/>
      <c r="J195" t="s">
        <v>117</v>
      </c>
      <c r="K195">
        <f>K182/COS((90-K190)/180*3.14)</f>
        <v>171.40994645086116</v>
      </c>
      <c r="N195" s="12"/>
      <c r="O195" s="12"/>
      <c r="P195" s="12"/>
      <c r="Q195" s="12"/>
      <c r="R195" s="12"/>
      <c r="S195" s="12"/>
      <c r="T195" s="12"/>
      <c r="U195" s="12"/>
    </row>
    <row r="196" spans="3:24" x14ac:dyDescent="0.25">
      <c r="C196" s="12"/>
      <c r="D196" s="12"/>
      <c r="E196" s="12"/>
      <c r="F196" s="12"/>
      <c r="G196" s="12"/>
      <c r="H196" s="12"/>
      <c r="I196" s="12"/>
      <c r="J196" t="s">
        <v>141</v>
      </c>
      <c r="K196">
        <f>K182/COS((K189-90)/180*3.14)</f>
        <v>200.66758492356786</v>
      </c>
      <c r="N196" s="12"/>
      <c r="O196" s="12"/>
      <c r="P196" s="12"/>
      <c r="Q196" s="12"/>
      <c r="R196" s="12"/>
      <c r="S196" s="12"/>
      <c r="T196" s="12"/>
      <c r="U196" s="12"/>
    </row>
    <row r="197" spans="3:24" x14ac:dyDescent="0.25">
      <c r="C197" s="12"/>
      <c r="D197" s="12"/>
      <c r="E197" s="12"/>
      <c r="F197" s="12"/>
      <c r="G197" s="12"/>
      <c r="H197" s="12"/>
      <c r="I197" s="12"/>
      <c r="J197" t="s">
        <v>88</v>
      </c>
      <c r="K197">
        <f>K182/COS((90-K191)/180*3.14)</f>
        <v>170.38643225010972</v>
      </c>
      <c r="N197" s="12"/>
      <c r="O197" s="12"/>
      <c r="P197" s="12"/>
      <c r="Q197" s="12"/>
      <c r="R197" s="12"/>
      <c r="S197" s="12"/>
      <c r="T197" s="12"/>
      <c r="U197" s="12"/>
    </row>
    <row r="198" spans="3:24" x14ac:dyDescent="0.25">
      <c r="C198" s="12"/>
      <c r="D198" s="12"/>
      <c r="E198" s="12"/>
      <c r="F198" s="12"/>
      <c r="G198" s="12"/>
      <c r="H198" s="12"/>
      <c r="I198" s="12"/>
      <c r="J198" t="s">
        <v>137</v>
      </c>
      <c r="M198">
        <f>K188-K189</f>
        <v>12.333022426795253</v>
      </c>
      <c r="N198" s="12"/>
      <c r="O198" s="12"/>
      <c r="P198" s="12"/>
      <c r="Q198" s="12"/>
      <c r="R198" s="12"/>
      <c r="S198" s="12"/>
      <c r="T198" s="12"/>
      <c r="U198" s="12"/>
    </row>
    <row r="199" spans="3:24" x14ac:dyDescent="0.25">
      <c r="C199" s="12"/>
      <c r="D199" s="12"/>
      <c r="E199" s="12"/>
      <c r="F199" s="12"/>
      <c r="G199" s="12"/>
      <c r="H199" s="12"/>
      <c r="I199" s="12"/>
      <c r="J199" t="s">
        <v>138</v>
      </c>
      <c r="M199">
        <f>COS((K188-90)/180*3.14)/COS((K189-90)/180*3.14)</f>
        <v>0.72674212745618227</v>
      </c>
      <c r="N199" s="12"/>
      <c r="O199" s="12"/>
      <c r="P199" s="12"/>
      <c r="Q199" s="12"/>
      <c r="R199" s="12"/>
      <c r="S199" s="12"/>
      <c r="T199" s="12"/>
      <c r="U199" s="12"/>
    </row>
    <row r="200" spans="3:24" x14ac:dyDescent="0.25">
      <c r="C200" s="12"/>
      <c r="D200" s="12"/>
      <c r="E200" s="12"/>
      <c r="F200" s="12"/>
      <c r="G200" s="12"/>
      <c r="H200" s="12"/>
      <c r="I200" s="12"/>
      <c r="J200" t="s">
        <v>145</v>
      </c>
      <c r="M200">
        <f>K182/(2*K183)*(S183)</f>
        <v>0.75000000000000011</v>
      </c>
      <c r="N200" s="12"/>
      <c r="O200" s="12"/>
      <c r="P200" s="12"/>
      <c r="Q200" s="12"/>
      <c r="R200" s="12"/>
      <c r="S200" s="12"/>
      <c r="T200" s="12"/>
      <c r="U200" s="12"/>
    </row>
    <row r="201" spans="3:24" x14ac:dyDescent="0.25">
      <c r="C201" s="12"/>
      <c r="D201" s="12"/>
      <c r="E201" s="12"/>
      <c r="F201" s="12"/>
      <c r="G201" s="12"/>
      <c r="H201" s="12"/>
      <c r="I201" s="12"/>
      <c r="J201" t="s">
        <v>148</v>
      </c>
      <c r="M201">
        <f>K182*(TAN((90-K190)/180*3.14)-TAN((90-K187)/180*3.14))</f>
        <v>90.81708100672185</v>
      </c>
      <c r="N201" s="12"/>
      <c r="O201" s="12"/>
      <c r="P201" s="12"/>
      <c r="Q201" s="12"/>
      <c r="R201" s="12"/>
      <c r="S201" s="12"/>
      <c r="T201" s="12"/>
      <c r="U201" s="12"/>
    </row>
    <row r="202" spans="3:24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3:24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t="s">
        <v>18</v>
      </c>
      <c r="N203">
        <f>N182-0.5*K197^2/1005</f>
        <v>311.76644960451677</v>
      </c>
      <c r="P203" s="15" t="s">
        <v>144</v>
      </c>
      <c r="Q203" s="15">
        <f>Q162</f>
        <v>1.5584239530875701</v>
      </c>
      <c r="R203" s="12"/>
      <c r="S203" s="12"/>
      <c r="T203" t="s">
        <v>229</v>
      </c>
      <c r="U203">
        <f>N182</f>
        <v>326.20999999999998</v>
      </c>
      <c r="W203" t="s">
        <v>221</v>
      </c>
      <c r="X203">
        <f>U205/(U204*287)</f>
        <v>1.6318148618849131</v>
      </c>
    </row>
    <row r="204" spans="3:24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t="s">
        <v>19</v>
      </c>
      <c r="N204">
        <f>N183-0.5*K195^2/1005</f>
        <v>332.59240311329</v>
      </c>
      <c r="P204" t="s">
        <v>152</v>
      </c>
      <c r="Q204">
        <f>N216/(N204*287)</f>
        <v>1.8644578884307839</v>
      </c>
      <c r="R204" s="12"/>
      <c r="T204" t="s">
        <v>218</v>
      </c>
      <c r="U204">
        <f>U203-0.5*K193^2/$C$30</f>
        <v>317.55831220419907</v>
      </c>
    </row>
    <row r="205" spans="3:24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t="s">
        <v>95</v>
      </c>
      <c r="N205">
        <f>N173</f>
        <v>163393.40159116933</v>
      </c>
      <c r="P205" s="12" t="s">
        <v>153</v>
      </c>
      <c r="Q205" s="12"/>
      <c r="R205" s="12">
        <f>N216+0.5*Q204*K195^2</f>
        <v>205360.16329445437</v>
      </c>
      <c r="S205" s="12"/>
      <c r="T205" t="s">
        <v>220</v>
      </c>
      <c r="U205">
        <f>N205/((N182/U204)^($C$29/($C$29-1)))</f>
        <v>148722.35915716164</v>
      </c>
    </row>
    <row r="206" spans="3:24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R206" s="12"/>
      <c r="S206" s="12"/>
      <c r="T206" t="s">
        <v>219</v>
      </c>
      <c r="U206">
        <f>U205+X203*K193^2/2</f>
        <v>162910.90164636576</v>
      </c>
    </row>
    <row r="207" spans="3:24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t="s">
        <v>26</v>
      </c>
      <c r="R207" s="12"/>
      <c r="S207" s="12"/>
      <c r="T207" s="12"/>
      <c r="U207" s="12"/>
    </row>
    <row r="208" spans="3:24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N208" t="s">
        <v>230</v>
      </c>
      <c r="R208" s="12"/>
      <c r="S208" s="12"/>
      <c r="T208" s="12"/>
      <c r="U208" s="12"/>
    </row>
    <row r="209" spans="3:21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O209" t="s">
        <v>231</v>
      </c>
      <c r="P209">
        <f>Comp_combine!X5</f>
        <v>0.90741659060029256</v>
      </c>
      <c r="R209" s="12"/>
      <c r="S209" s="12"/>
      <c r="T209" s="12"/>
      <c r="U209" s="12"/>
    </row>
    <row r="212" spans="3:21" x14ac:dyDescent="0.25">
      <c r="N212" t="s">
        <v>140</v>
      </c>
      <c r="O212">
        <f>(1+P209*E178/N182)^(1.4/0.4)</f>
        <v>1.2198229313077094</v>
      </c>
    </row>
    <row r="215" spans="3:21" x14ac:dyDescent="0.25">
      <c r="M215" t="s">
        <v>96</v>
      </c>
      <c r="N215">
        <f>N205*O212</f>
        <v>199311.0180852779</v>
      </c>
    </row>
    <row r="216" spans="3:21" x14ac:dyDescent="0.25">
      <c r="M216" t="s">
        <v>146</v>
      </c>
      <c r="N216" s="6">
        <v>177970</v>
      </c>
    </row>
  </sheetData>
  <mergeCells count="1">
    <mergeCell ref="D76:D7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8"/>
  <sheetViews>
    <sheetView topLeftCell="A73" zoomScale="85" zoomScaleNormal="85" workbookViewId="0">
      <selection activeCell="K90" sqref="K90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9.140625" customWidth="1"/>
    <col min="19" max="19" width="12.42578125" customWidth="1"/>
  </cols>
  <sheetData>
    <row r="1" spans="1:6" x14ac:dyDescent="0.25">
      <c r="A1" t="s">
        <v>22</v>
      </c>
    </row>
    <row r="2" spans="1:6" x14ac:dyDescent="0.25">
      <c r="A2" t="s">
        <v>104</v>
      </c>
    </row>
    <row r="3" spans="1:6" x14ac:dyDescent="0.25">
      <c r="B3" t="s">
        <v>24</v>
      </c>
      <c r="C3" t="s">
        <v>9</v>
      </c>
      <c r="D3" t="s">
        <v>30</v>
      </c>
      <c r="E3">
        <v>150</v>
      </c>
      <c r="F3" t="s">
        <v>10</v>
      </c>
    </row>
    <row r="4" spans="1:6" x14ac:dyDescent="0.25">
      <c r="B4" t="s">
        <v>25</v>
      </c>
      <c r="C4" t="s">
        <v>102</v>
      </c>
      <c r="D4" t="s">
        <v>30</v>
      </c>
      <c r="E4">
        <v>177970</v>
      </c>
      <c r="F4" t="s">
        <v>31</v>
      </c>
    </row>
    <row r="5" spans="1:6" x14ac:dyDescent="0.25">
      <c r="B5" t="s">
        <v>105</v>
      </c>
      <c r="C5" t="s">
        <v>103</v>
      </c>
      <c r="D5" t="s">
        <v>30</v>
      </c>
      <c r="E5">
        <v>1.6738999999999999</v>
      </c>
    </row>
    <row r="6" spans="1:6" x14ac:dyDescent="0.25">
      <c r="B6" t="s">
        <v>69</v>
      </c>
      <c r="C6" t="s">
        <v>70</v>
      </c>
      <c r="D6" t="s">
        <v>30</v>
      </c>
      <c r="E6">
        <v>347.02</v>
      </c>
      <c r="F6" t="s">
        <v>33</v>
      </c>
    </row>
    <row r="7" spans="1:6" x14ac:dyDescent="0.25">
      <c r="B7" t="s">
        <v>115</v>
      </c>
      <c r="C7" t="s">
        <v>73</v>
      </c>
      <c r="D7" t="s">
        <v>30</v>
      </c>
      <c r="E7">
        <v>407.51</v>
      </c>
      <c r="F7" t="s">
        <v>33</v>
      </c>
    </row>
    <row r="8" spans="1:6" x14ac:dyDescent="0.25">
      <c r="B8" t="s">
        <v>27</v>
      </c>
      <c r="C8" t="s">
        <v>14</v>
      </c>
      <c r="D8" t="s">
        <v>30</v>
      </c>
      <c r="E8">
        <v>1.1253</v>
      </c>
      <c r="F8" t="s">
        <v>36</v>
      </c>
    </row>
    <row r="9" spans="1:6" x14ac:dyDescent="0.25">
      <c r="B9" t="s">
        <v>28</v>
      </c>
      <c r="C9" t="s">
        <v>37</v>
      </c>
      <c r="D9" t="s">
        <v>30</v>
      </c>
      <c r="E9">
        <v>1.0809</v>
      </c>
      <c r="F9" t="s">
        <v>36</v>
      </c>
    </row>
    <row r="10" spans="1:6" x14ac:dyDescent="0.25">
      <c r="B10" t="s">
        <v>29</v>
      </c>
      <c r="C10" t="s">
        <v>38</v>
      </c>
      <c r="D10" t="s">
        <v>30</v>
      </c>
      <c r="E10">
        <v>469.35</v>
      </c>
      <c r="F10" t="s">
        <v>39</v>
      </c>
    </row>
    <row r="19" spans="1:4" x14ac:dyDescent="0.25">
      <c r="A19">
        <v>1</v>
      </c>
      <c r="B19" t="s">
        <v>40</v>
      </c>
    </row>
    <row r="20" spans="1:4" x14ac:dyDescent="0.25">
      <c r="A20" s="4" t="s">
        <v>161</v>
      </c>
      <c r="B20" t="s">
        <v>41</v>
      </c>
    </row>
    <row r="21" spans="1:4" x14ac:dyDescent="0.25">
      <c r="B21" s="3" t="s">
        <v>47</v>
      </c>
    </row>
    <row r="22" spans="1:4" x14ac:dyDescent="0.25">
      <c r="B22" s="3" t="s">
        <v>51</v>
      </c>
    </row>
    <row r="23" spans="1:4" x14ac:dyDescent="0.25">
      <c r="B23" s="3" t="s">
        <v>155</v>
      </c>
    </row>
    <row r="24" spans="1:4" x14ac:dyDescent="0.25">
      <c r="B24" s="3" t="s">
        <v>156</v>
      </c>
    </row>
    <row r="25" spans="1:4" x14ac:dyDescent="0.25">
      <c r="B25" s="3"/>
    </row>
    <row r="26" spans="1:4" x14ac:dyDescent="0.25">
      <c r="B26" s="4" t="s">
        <v>2</v>
      </c>
      <c r="C26">
        <v>287</v>
      </c>
      <c r="D26" t="s">
        <v>3</v>
      </c>
    </row>
    <row r="27" spans="1:4" x14ac:dyDescent="0.25">
      <c r="B27" s="4" t="s">
        <v>13</v>
      </c>
      <c r="C27">
        <v>1.395</v>
      </c>
    </row>
    <row r="28" spans="1:4" x14ac:dyDescent="0.25">
      <c r="B28" s="4" t="s">
        <v>21</v>
      </c>
      <c r="C28">
        <v>1010</v>
      </c>
      <c r="D28" t="s">
        <v>62</v>
      </c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A32" s="4" t="s">
        <v>160</v>
      </c>
      <c r="B32" t="s">
        <v>106</v>
      </c>
    </row>
    <row r="33" spans="1:19" x14ac:dyDescent="0.25">
      <c r="A33" s="4"/>
      <c r="B33" s="2" t="s">
        <v>142</v>
      </c>
    </row>
    <row r="34" spans="1:19" x14ac:dyDescent="0.25">
      <c r="A34" s="4"/>
      <c r="B34" s="2" t="s">
        <v>145</v>
      </c>
      <c r="C34" s="2" t="s">
        <v>2</v>
      </c>
      <c r="D34" s="2" t="s">
        <v>30</v>
      </c>
      <c r="E34" s="2">
        <v>0.5</v>
      </c>
    </row>
    <row r="35" spans="1:19" x14ac:dyDescent="0.25">
      <c r="A35" s="4"/>
    </row>
    <row r="36" spans="1:19" x14ac:dyDescent="0.25">
      <c r="G36" t="s">
        <v>5</v>
      </c>
      <c r="H36">
        <v>1.1253</v>
      </c>
      <c r="J36" t="s">
        <v>83</v>
      </c>
      <c r="K36">
        <v>130.25</v>
      </c>
      <c r="M36" t="s">
        <v>97</v>
      </c>
      <c r="N36">
        <f>E6</f>
        <v>347.02</v>
      </c>
      <c r="P36" t="s">
        <v>163</v>
      </c>
      <c r="R36" s="14" t="s">
        <v>30</v>
      </c>
      <c r="S36">
        <f>K37/K36</f>
        <v>2.0274838963531669</v>
      </c>
    </row>
    <row r="37" spans="1:19" x14ac:dyDescent="0.25">
      <c r="B37" s="3"/>
      <c r="G37" t="s">
        <v>38</v>
      </c>
      <c r="H37">
        <v>469.35</v>
      </c>
      <c r="J37" t="s">
        <v>20</v>
      </c>
      <c r="K37">
        <f>H37*H36/2</f>
        <v>264.07977749999998</v>
      </c>
      <c r="M37" t="s">
        <v>98</v>
      </c>
      <c r="P37" t="s">
        <v>164</v>
      </c>
      <c r="R37" t="s">
        <v>30</v>
      </c>
      <c r="S37">
        <f>K37/K36</f>
        <v>2.0274838963531669</v>
      </c>
    </row>
    <row r="38" spans="1:19" x14ac:dyDescent="0.25">
      <c r="B38" s="3"/>
      <c r="M38" t="s">
        <v>130</v>
      </c>
      <c r="N38">
        <f>E4</f>
        <v>177970</v>
      </c>
      <c r="P38" t="s">
        <v>132</v>
      </c>
      <c r="R38" t="s">
        <v>30</v>
      </c>
      <c r="S38">
        <f>E34*2*K37/K36</f>
        <v>2.0274838963531669</v>
      </c>
    </row>
    <row r="39" spans="1:19" x14ac:dyDescent="0.25">
      <c r="B39" s="3"/>
    </row>
    <row r="40" spans="1:19" x14ac:dyDescent="0.25">
      <c r="B40" s="3"/>
    </row>
    <row r="41" spans="1:19" x14ac:dyDescent="0.25">
      <c r="I41" s="2" t="s">
        <v>142</v>
      </c>
      <c r="J41" s="2" t="s">
        <v>86</v>
      </c>
      <c r="K41" s="2">
        <v>55</v>
      </c>
    </row>
    <row r="42" spans="1:19" x14ac:dyDescent="0.25">
      <c r="J42" t="s">
        <v>61</v>
      </c>
      <c r="K42">
        <f>90+ATAN(S36-TAN((90-K41)/180*3.14))/3.14*180</f>
        <v>143.04126467275256</v>
      </c>
    </row>
    <row r="43" spans="1:19" x14ac:dyDescent="0.25">
      <c r="J43" t="s">
        <v>55</v>
      </c>
      <c r="K43">
        <f>90+ATAN(S38-TAN((K42-90)/180*3.14))/3.14*180</f>
        <v>124.99999999999996</v>
      </c>
    </row>
    <row r="44" spans="1:19" x14ac:dyDescent="0.25">
      <c r="J44" t="s">
        <v>136</v>
      </c>
      <c r="K44">
        <f>90-ATAN(S37-TAN((K43-90)/180*3.14))/3.14*180</f>
        <v>36.958735327247432</v>
      </c>
    </row>
    <row r="45" spans="1:19" x14ac:dyDescent="0.25">
      <c r="J45" t="s">
        <v>162</v>
      </c>
      <c r="K45">
        <f>'Comp LP'!K190</f>
        <v>49.432545015128468</v>
      </c>
    </row>
    <row r="47" spans="1:19" x14ac:dyDescent="0.25">
      <c r="J47" t="s">
        <v>16</v>
      </c>
      <c r="K47">
        <f>K36/COS((90-K41)/180*3.14)</f>
        <v>158.97142610850733</v>
      </c>
    </row>
    <row r="48" spans="1:19" x14ac:dyDescent="0.25">
      <c r="J48" t="s">
        <v>17</v>
      </c>
      <c r="K48">
        <f>K36/COS((K42-90)/180*3.14)</f>
        <v>216.50071780661111</v>
      </c>
    </row>
    <row r="49" spans="1:17" x14ac:dyDescent="0.25">
      <c r="J49" t="s">
        <v>117</v>
      </c>
      <c r="K49">
        <f>K36/COS((90-K44)/180*3.14)</f>
        <v>216.50071780661111</v>
      </c>
    </row>
    <row r="50" spans="1:17" x14ac:dyDescent="0.25">
      <c r="J50" t="s">
        <v>141</v>
      </c>
      <c r="K50">
        <f>K36/COS((K43-90)/180*3.14)</f>
        <v>158.97142610850725</v>
      </c>
    </row>
    <row r="51" spans="1:17" x14ac:dyDescent="0.25">
      <c r="J51" t="s">
        <v>88</v>
      </c>
      <c r="K51">
        <f>K36/COS((90-K45)/180*3.14)</f>
        <v>171.40994645086116</v>
      </c>
    </row>
    <row r="52" spans="1:17" x14ac:dyDescent="0.25">
      <c r="J52" t="s">
        <v>137</v>
      </c>
      <c r="M52">
        <f>K42-K43</f>
        <v>18.041264672752604</v>
      </c>
    </row>
    <row r="53" spans="1:17" x14ac:dyDescent="0.25">
      <c r="J53" t="s">
        <v>138</v>
      </c>
      <c r="M53">
        <f>COS((K42-90)/180*3.14)/COS((K43-90)/180*3.14)</f>
        <v>0.73427666993006557</v>
      </c>
    </row>
    <row r="54" spans="1:17" x14ac:dyDescent="0.25">
      <c r="J54" t="s">
        <v>145</v>
      </c>
      <c r="M54">
        <f>K36/(2*K37)*(S38)</f>
        <v>0.5</v>
      </c>
    </row>
    <row r="55" spans="1:17" x14ac:dyDescent="0.25">
      <c r="J55" t="s">
        <v>148</v>
      </c>
      <c r="M55">
        <f>K36*(TAN((90-K44)/180*3.14)-TAN((90-K41)/180*3.14))</f>
        <v>81.795912948333324</v>
      </c>
    </row>
    <row r="58" spans="1:17" x14ac:dyDescent="0.25">
      <c r="M58" t="s">
        <v>99</v>
      </c>
      <c r="N58">
        <f>K37*K36/C28*(TAN((K42-90)/180*3.14)-TAN((K43-90)/180*3.14))</f>
        <v>21.386778704757692</v>
      </c>
    </row>
    <row r="60" spans="1:17" x14ac:dyDescent="0.25">
      <c r="A60" s="4" t="s">
        <v>64</v>
      </c>
      <c r="B60" t="s">
        <v>65</v>
      </c>
    </row>
    <row r="61" spans="1:17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25">
      <c r="C62" s="13" t="s">
        <v>129</v>
      </c>
      <c r="D62" s="13" t="s">
        <v>30</v>
      </c>
      <c r="E62" s="13">
        <f>E7-E6</f>
        <v>60.490000000000009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25">
      <c r="A64" s="4" t="s">
        <v>74</v>
      </c>
      <c r="B64" t="s">
        <v>75</v>
      </c>
    </row>
    <row r="66" spans="1:19" x14ac:dyDescent="0.25">
      <c r="C66" t="s">
        <v>76</v>
      </c>
      <c r="D66" t="s">
        <v>30</v>
      </c>
      <c r="E66" t="s">
        <v>77</v>
      </c>
    </row>
    <row r="67" spans="1:19" x14ac:dyDescent="0.25">
      <c r="D67" t="s">
        <v>30</v>
      </c>
      <c r="E67">
        <f>E62/N58</f>
        <v>2.8283829385929651</v>
      </c>
    </row>
    <row r="68" spans="1:19" x14ac:dyDescent="0.25">
      <c r="B68" s="4" t="s">
        <v>78</v>
      </c>
      <c r="C68" t="s">
        <v>76</v>
      </c>
      <c r="D68" t="s">
        <v>30</v>
      </c>
      <c r="E68">
        <v>4</v>
      </c>
    </row>
    <row r="69" spans="1:19" x14ac:dyDescent="0.25">
      <c r="B69" s="4"/>
      <c r="C69" t="s">
        <v>166</v>
      </c>
      <c r="D69" t="s">
        <v>30</v>
      </c>
      <c r="E69">
        <f>E62/E68</f>
        <v>15.122500000000002</v>
      </c>
      <c r="G69" t="s">
        <v>131</v>
      </c>
    </row>
    <row r="70" spans="1:19" x14ac:dyDescent="0.25">
      <c r="B70" s="4" t="s">
        <v>79</v>
      </c>
      <c r="C70" t="s">
        <v>80</v>
      </c>
      <c r="D70" t="s">
        <v>30</v>
      </c>
      <c r="E70">
        <v>15</v>
      </c>
      <c r="F70" t="s">
        <v>33</v>
      </c>
      <c r="G70">
        <v>0.85</v>
      </c>
    </row>
    <row r="71" spans="1:19" x14ac:dyDescent="0.25">
      <c r="C71" t="s">
        <v>81</v>
      </c>
      <c r="D71" t="s">
        <v>30</v>
      </c>
      <c r="E71">
        <v>15</v>
      </c>
      <c r="F71" t="s">
        <v>33</v>
      </c>
      <c r="G71">
        <v>0.85</v>
      </c>
    </row>
    <row r="72" spans="1:19" x14ac:dyDescent="0.25">
      <c r="C72" t="s">
        <v>100</v>
      </c>
      <c r="D72" t="s">
        <v>30</v>
      </c>
      <c r="E72">
        <v>15</v>
      </c>
      <c r="F72" t="s">
        <v>33</v>
      </c>
      <c r="G72">
        <v>0.85</v>
      </c>
    </row>
    <row r="73" spans="1:19" x14ac:dyDescent="0.25">
      <c r="C73" t="s">
        <v>165</v>
      </c>
      <c r="D73" t="s">
        <v>30</v>
      </c>
      <c r="E73">
        <f>E62-SUM(E70:E72)</f>
        <v>15.490000000000009</v>
      </c>
      <c r="F73" t="s">
        <v>33</v>
      </c>
      <c r="G73">
        <v>0.85</v>
      </c>
    </row>
    <row r="75" spans="1:19" x14ac:dyDescent="0.25">
      <c r="A75">
        <v>2</v>
      </c>
      <c r="B75" t="s">
        <v>82</v>
      </c>
    </row>
    <row r="76" spans="1:19" x14ac:dyDescent="0.25">
      <c r="C76" t="s">
        <v>80</v>
      </c>
      <c r="D76" t="s">
        <v>30</v>
      </c>
      <c r="E76">
        <f>E70</f>
        <v>15</v>
      </c>
      <c r="F76" t="s">
        <v>33</v>
      </c>
    </row>
    <row r="77" spans="1:19" x14ac:dyDescent="0.25">
      <c r="C77" t="s">
        <v>149</v>
      </c>
      <c r="D77" t="s">
        <v>30</v>
      </c>
      <c r="E77">
        <f>G70</f>
        <v>0.85</v>
      </c>
    </row>
    <row r="78" spans="1:19" x14ac:dyDescent="0.25">
      <c r="C78" s="2" t="s">
        <v>145</v>
      </c>
      <c r="D78" s="2" t="s">
        <v>30</v>
      </c>
      <c r="E78" s="2">
        <v>0.5</v>
      </c>
    </row>
    <row r="80" spans="1:19" x14ac:dyDescent="0.25">
      <c r="G80" t="s">
        <v>5</v>
      </c>
      <c r="H80">
        <v>1.1253</v>
      </c>
      <c r="J80" t="s">
        <v>83</v>
      </c>
      <c r="K80">
        <v>130.25</v>
      </c>
      <c r="M80" t="s">
        <v>97</v>
      </c>
      <c r="N80">
        <v>347.02</v>
      </c>
      <c r="P80" t="s">
        <v>135</v>
      </c>
      <c r="R80" s="14" t="s">
        <v>30</v>
      </c>
      <c r="S80">
        <f>E76*C28/(E77*K80*K81)</f>
        <v>0.51818021843410744</v>
      </c>
    </row>
    <row r="81" spans="2:23" x14ac:dyDescent="0.25">
      <c r="B81" s="3"/>
      <c r="G81" t="s">
        <v>38</v>
      </c>
      <c r="H81">
        <v>469.35</v>
      </c>
      <c r="J81" t="s">
        <v>20</v>
      </c>
      <c r="K81">
        <f>H81*H80/2</f>
        <v>264.07977749999998</v>
      </c>
      <c r="M81" t="s">
        <v>98</v>
      </c>
      <c r="N81">
        <f>N80+E76</f>
        <v>362.02</v>
      </c>
      <c r="P81" t="s">
        <v>132</v>
      </c>
      <c r="R81" t="s">
        <v>30</v>
      </c>
      <c r="S81">
        <f>E78*2*K81/K80</f>
        <v>2.0274838963531669</v>
      </c>
    </row>
    <row r="82" spans="2:23" x14ac:dyDescent="0.25">
      <c r="B82" s="3"/>
      <c r="M82" t="s">
        <v>130</v>
      </c>
      <c r="N82">
        <f>E4</f>
        <v>177970</v>
      </c>
      <c r="P82" t="s">
        <v>133</v>
      </c>
      <c r="R82" t="s">
        <v>30</v>
      </c>
      <c r="S82">
        <f>(S80+S81)/2</f>
        <v>1.2728320573936371</v>
      </c>
    </row>
    <row r="83" spans="2:23" x14ac:dyDescent="0.25">
      <c r="B83" s="3"/>
      <c r="P83" t="s">
        <v>134</v>
      </c>
      <c r="R83" t="s">
        <v>30</v>
      </c>
      <c r="S83">
        <f>(S81-S80)/2</f>
        <v>0.75465183895952981</v>
      </c>
    </row>
    <row r="84" spans="2:23" x14ac:dyDescent="0.25">
      <c r="B84" s="3"/>
    </row>
    <row r="85" spans="2:23" x14ac:dyDescent="0.25">
      <c r="J85" t="s">
        <v>86</v>
      </c>
      <c r="K85">
        <f>90-ATAN(K81/K80-TAN((K86-90)/180*3.14))/3.14*180</f>
        <v>52.941115942538183</v>
      </c>
    </row>
    <row r="86" spans="2:23" x14ac:dyDescent="0.25">
      <c r="J86" t="s">
        <v>61</v>
      </c>
      <c r="K86">
        <f>ATAN(S82)/3.14*180+90</f>
        <v>141.87136150608546</v>
      </c>
    </row>
    <row r="87" spans="2:23" x14ac:dyDescent="0.25">
      <c r="J87" t="s">
        <v>55</v>
      </c>
      <c r="K87">
        <f>ATAN(S83)/3.14*180+90</f>
        <v>127.05888405746185</v>
      </c>
    </row>
    <row r="88" spans="2:23" x14ac:dyDescent="0.25">
      <c r="J88" t="s">
        <v>136</v>
      </c>
      <c r="K88">
        <f>90-ATAN(K81/K80-TAN((K87-90)/180*3.14))/3.14*180</f>
        <v>38.128638493914551</v>
      </c>
    </row>
    <row r="89" spans="2:23" x14ac:dyDescent="0.25">
      <c r="J89" t="s">
        <v>150</v>
      </c>
      <c r="K89">
        <f>'Comp LP'!K190</f>
        <v>49.432545015128468</v>
      </c>
    </row>
    <row r="91" spans="2:23" x14ac:dyDescent="0.25">
      <c r="J91" t="s">
        <v>16</v>
      </c>
      <c r="K91">
        <f>K80/COS((90-K85)/180*3.14)</f>
        <v>163.17676115656232</v>
      </c>
    </row>
    <row r="92" spans="2:23" x14ac:dyDescent="0.25">
      <c r="J92" t="s">
        <v>17</v>
      </c>
      <c r="K92">
        <f>K80/COS((K86-90)/180*3.14)</f>
        <v>210.83212467105321</v>
      </c>
    </row>
    <row r="93" spans="2:23" x14ac:dyDescent="0.25">
      <c r="J93" t="s">
        <v>117</v>
      </c>
      <c r="K93">
        <f>K80/COS((90-K88)/180*3.14)</f>
        <v>210.83212467105315</v>
      </c>
    </row>
    <row r="94" spans="2:23" x14ac:dyDescent="0.25">
      <c r="J94" t="s">
        <v>141</v>
      </c>
      <c r="K94">
        <f>K80/COS((K87-90)/180*3.14)</f>
        <v>163.17676115656238</v>
      </c>
    </row>
    <row r="95" spans="2:23" x14ac:dyDescent="0.25">
      <c r="J95" t="s">
        <v>88</v>
      </c>
      <c r="K95">
        <f>K80/COS((90-K89)/180*3.14)</f>
        <v>171.40994645086116</v>
      </c>
    </row>
    <row r="96" spans="2:23" x14ac:dyDescent="0.25">
      <c r="J96" t="s">
        <v>137</v>
      </c>
      <c r="M96">
        <f>K86-K87</f>
        <v>14.812477448623611</v>
      </c>
      <c r="T96" s="12"/>
      <c r="U96" s="12"/>
      <c r="V96" s="12"/>
      <c r="W96" s="12"/>
    </row>
    <row r="97" spans="10:24" x14ac:dyDescent="0.25">
      <c r="J97" t="s">
        <v>138</v>
      </c>
      <c r="M97">
        <f>COS((K86-90)/180*3.14)/COS((K87-90)/180*3.14)</f>
        <v>0.77396535945912326</v>
      </c>
      <c r="T97" s="12"/>
      <c r="U97" s="12"/>
      <c r="V97" s="12"/>
      <c r="W97" s="12"/>
    </row>
    <row r="98" spans="10:24" x14ac:dyDescent="0.25">
      <c r="J98" t="s">
        <v>145</v>
      </c>
      <c r="M98">
        <f>K80/(2*K81)*(S81)</f>
        <v>0.5</v>
      </c>
      <c r="T98" s="12"/>
      <c r="U98" s="12"/>
      <c r="V98" s="12"/>
      <c r="W98" s="12"/>
    </row>
    <row r="99" spans="10:24" x14ac:dyDescent="0.25">
      <c r="J99" t="s">
        <v>148</v>
      </c>
      <c r="M99">
        <f>K80*(TAN((90-K88)/180*3.14)-TAN((90-K85)/180*3.14))</f>
        <v>67.492973451042573</v>
      </c>
      <c r="T99" s="12"/>
      <c r="U99" s="12"/>
      <c r="V99" s="12"/>
      <c r="W99" s="12"/>
    </row>
    <row r="100" spans="10:24" x14ac:dyDescent="0.25">
      <c r="T100" s="12"/>
      <c r="U100" s="12"/>
      <c r="V100" s="12"/>
      <c r="W100" s="12"/>
    </row>
    <row r="101" spans="10:24" x14ac:dyDescent="0.25">
      <c r="M101" t="s">
        <v>18</v>
      </c>
      <c r="N101">
        <f>N80-0.5*K95^2/1005</f>
        <v>332.40240311329001</v>
      </c>
      <c r="P101" t="s">
        <v>144</v>
      </c>
      <c r="Q101">
        <f>N82/(N101*287)</f>
        <v>1.8655236057525719</v>
      </c>
      <c r="T101" t="s">
        <v>229</v>
      </c>
      <c r="U101">
        <f>N80</f>
        <v>347.02</v>
      </c>
      <c r="W101" t="s">
        <v>221</v>
      </c>
      <c r="X101">
        <f>U103/(U102*287)</f>
        <v>1.86954289872664</v>
      </c>
    </row>
    <row r="102" spans="10:24" x14ac:dyDescent="0.25">
      <c r="M102" t="s">
        <v>19</v>
      </c>
      <c r="N102">
        <f>N81-0.5*K93^2/1005</f>
        <v>339.90548020233308</v>
      </c>
      <c r="P102" s="15" t="s">
        <v>152</v>
      </c>
      <c r="Q102" s="15">
        <f>N114/(N102*287)</f>
        <v>1.9452331328825947</v>
      </c>
      <c r="T102" t="s">
        <v>218</v>
      </c>
      <c r="U102">
        <f>U101-0.5*K91^2/$C$28</f>
        <v>333.83848743487829</v>
      </c>
    </row>
    <row r="103" spans="10:24" x14ac:dyDescent="0.25">
      <c r="M103" t="s">
        <v>95</v>
      </c>
      <c r="N103">
        <f>N82+0.5*Q101*K95^2</f>
        <v>205375.81941179046</v>
      </c>
      <c r="T103" t="s">
        <v>220</v>
      </c>
      <c r="U103">
        <f>N103/((N80/U102)^($C$27/($C$27-1)))</f>
        <v>179123.98219608405</v>
      </c>
    </row>
    <row r="104" spans="10:24" x14ac:dyDescent="0.25">
      <c r="T104" t="s">
        <v>219</v>
      </c>
      <c r="U104">
        <f>U103+X101*K91^2/2</f>
        <v>204013.81943878924</v>
      </c>
    </row>
    <row r="105" spans="10:24" x14ac:dyDescent="0.25">
      <c r="M105" t="s">
        <v>26</v>
      </c>
      <c r="T105" s="12"/>
      <c r="U105" s="12"/>
      <c r="V105" s="12"/>
      <c r="W105" s="12"/>
    </row>
    <row r="106" spans="10:24" x14ac:dyDescent="0.25">
      <c r="N106" t="s">
        <v>230</v>
      </c>
      <c r="T106" s="12"/>
      <c r="U106" s="12"/>
      <c r="V106" s="12"/>
      <c r="W106" s="12"/>
    </row>
    <row r="107" spans="10:24" x14ac:dyDescent="0.25">
      <c r="O107" t="s">
        <v>231</v>
      </c>
      <c r="P107">
        <f>Comp_combine!Y5</f>
        <v>0.95966112034700823</v>
      </c>
      <c r="T107" s="12"/>
      <c r="U107" s="12"/>
      <c r="V107" s="12"/>
      <c r="W107" s="12"/>
    </row>
    <row r="108" spans="10:24" x14ac:dyDescent="0.25">
      <c r="T108" s="12"/>
      <c r="U108" s="12"/>
      <c r="V108" s="12"/>
      <c r="W108" s="12"/>
    </row>
    <row r="109" spans="10:24" x14ac:dyDescent="0.25">
      <c r="T109" s="12"/>
      <c r="U109" s="12"/>
      <c r="V109" s="12"/>
      <c r="W109" s="12"/>
    </row>
    <row r="110" spans="10:24" x14ac:dyDescent="0.25">
      <c r="N110" t="s">
        <v>140</v>
      </c>
      <c r="O110">
        <f>(1+P107*E76/N80)^($C$27/($C$27-1))</f>
        <v>1.1543541847594407</v>
      </c>
      <c r="T110" s="12"/>
      <c r="U110" s="12"/>
      <c r="V110" s="12"/>
      <c r="W110" s="12"/>
    </row>
    <row r="111" spans="10:24" x14ac:dyDescent="0.25">
      <c r="T111" s="12"/>
      <c r="U111" s="12"/>
      <c r="V111" s="12"/>
      <c r="W111" s="12"/>
    </row>
    <row r="112" spans="10:24" x14ac:dyDescent="0.25">
      <c r="T112" s="12"/>
      <c r="U112" s="12"/>
      <c r="V112" s="12"/>
      <c r="W112" s="12"/>
    </row>
    <row r="113" spans="1:24" x14ac:dyDescent="0.25">
      <c r="M113" t="s">
        <v>96</v>
      </c>
      <c r="N113">
        <f>O110*N103</f>
        <v>237076.4365863995</v>
      </c>
    </row>
    <row r="114" spans="1:24" x14ac:dyDescent="0.25">
      <c r="M114" s="15" t="s">
        <v>146</v>
      </c>
      <c r="N114" s="15">
        <f>N113*(N102/N81)^($C$27/($C$27-1))</f>
        <v>189763.08041359083</v>
      </c>
    </row>
    <row r="115" spans="1:24" x14ac:dyDescent="0.25">
      <c r="A115">
        <v>3</v>
      </c>
      <c r="B115" t="s">
        <v>147</v>
      </c>
    </row>
    <row r="116" spans="1:24" x14ac:dyDescent="0.25">
      <c r="C116" t="s">
        <v>81</v>
      </c>
      <c r="D116" t="s">
        <v>30</v>
      </c>
      <c r="E116">
        <f>E71</f>
        <v>15</v>
      </c>
      <c r="F116" t="s">
        <v>33</v>
      </c>
    </row>
    <row r="117" spans="1:24" x14ac:dyDescent="0.25">
      <c r="C117" t="s">
        <v>149</v>
      </c>
      <c r="D117" t="s">
        <v>30</v>
      </c>
      <c r="E117">
        <f>G71</f>
        <v>0.85</v>
      </c>
    </row>
    <row r="118" spans="1:24" x14ac:dyDescent="0.25">
      <c r="C118" s="2" t="s">
        <v>145</v>
      </c>
      <c r="D118" s="2" t="s">
        <v>30</v>
      </c>
      <c r="E118" s="2">
        <v>0.5</v>
      </c>
    </row>
    <row r="120" spans="1:24" x14ac:dyDescent="0.25">
      <c r="G120" t="s">
        <v>5</v>
      </c>
      <c r="H120">
        <f>H80-($E$8-$E$9)/3</f>
        <v>1.1105</v>
      </c>
      <c r="J120" t="s">
        <v>83</v>
      </c>
      <c r="K120">
        <v>130.25</v>
      </c>
      <c r="M120" t="s">
        <v>97</v>
      </c>
      <c r="N120">
        <f>N81</f>
        <v>362.02</v>
      </c>
      <c r="P120" t="s">
        <v>135</v>
      </c>
      <c r="R120" s="14" t="s">
        <v>30</v>
      </c>
      <c r="S120">
        <f>E116*1005/(E117*K120*K121)</f>
        <v>0.52248674070008638</v>
      </c>
      <c r="T120" s="12"/>
      <c r="U120" s="12"/>
      <c r="V120" s="12"/>
      <c r="W120" s="12"/>
      <c r="X120" s="12"/>
    </row>
    <row r="121" spans="1:24" x14ac:dyDescent="0.25">
      <c r="G121" t="s">
        <v>38</v>
      </c>
      <c r="H121">
        <v>469.35</v>
      </c>
      <c r="J121" t="s">
        <v>20</v>
      </c>
      <c r="K121">
        <f>H121*H120/2</f>
        <v>260.60658750000005</v>
      </c>
      <c r="M121" t="s">
        <v>98</v>
      </c>
      <c r="N121">
        <f>N120+E116</f>
        <v>377.02</v>
      </c>
      <c r="P121" t="s">
        <v>132</v>
      </c>
      <c r="R121" t="s">
        <v>30</v>
      </c>
      <c r="S121">
        <f>E118*2*K121/K120</f>
        <v>2.0008183301343574</v>
      </c>
      <c r="T121" s="12"/>
      <c r="U121" s="12"/>
      <c r="V121" s="12"/>
      <c r="W121" s="12"/>
      <c r="X121" s="12"/>
    </row>
    <row r="122" spans="1:24" x14ac:dyDescent="0.25">
      <c r="M122" s="15" t="s">
        <v>130</v>
      </c>
      <c r="N122" s="15">
        <f>N114</f>
        <v>189763.08041359083</v>
      </c>
      <c r="P122" t="s">
        <v>133</v>
      </c>
      <c r="R122" t="s">
        <v>30</v>
      </c>
      <c r="S122">
        <f>(S120+S121)/2</f>
        <v>1.2616525354172219</v>
      </c>
      <c r="T122" s="12"/>
      <c r="U122" s="12"/>
      <c r="V122" s="12"/>
      <c r="W122" s="12"/>
      <c r="X122" s="12"/>
    </row>
    <row r="123" spans="1:24" x14ac:dyDescent="0.25">
      <c r="P123" t="s">
        <v>134</v>
      </c>
      <c r="R123" t="s">
        <v>30</v>
      </c>
      <c r="S123">
        <f>(S121-S120)/2</f>
        <v>0.7391657947171355</v>
      </c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J125" t="s">
        <v>86</v>
      </c>
      <c r="K125">
        <f>90-ATAN(K121/K120-TAN((K126-90)/180*3.14))/3.14*180</f>
        <v>53.510957045817882</v>
      </c>
      <c r="V125" s="12"/>
      <c r="W125" s="12"/>
      <c r="X125" s="12"/>
    </row>
    <row r="126" spans="1:24" x14ac:dyDescent="0.25">
      <c r="J126" t="s">
        <v>61</v>
      </c>
      <c r="K126">
        <f>ATAN(S122)/3.14*180+90</f>
        <v>141.6254321448271</v>
      </c>
      <c r="V126" s="12"/>
      <c r="W126" s="12"/>
      <c r="X126" s="12"/>
    </row>
    <row r="127" spans="1:24" x14ac:dyDescent="0.25">
      <c r="J127" t="s">
        <v>55</v>
      </c>
      <c r="K127">
        <f>ATAN(S123)/3.14*180+90</f>
        <v>126.48904295418208</v>
      </c>
      <c r="V127" s="12"/>
      <c r="W127" s="12"/>
      <c r="X127" s="12"/>
    </row>
    <row r="128" spans="1:24" x14ac:dyDescent="0.25">
      <c r="J128" t="s">
        <v>136</v>
      </c>
      <c r="K128">
        <f>90-ATAN(K121/K120-TAN((K127-90)/180*3.14))/3.14*180</f>
        <v>38.374567855172891</v>
      </c>
      <c r="V128" s="12"/>
      <c r="W128" s="12"/>
      <c r="X128" s="12"/>
    </row>
    <row r="129" spans="1:24" x14ac:dyDescent="0.25">
      <c r="J129" t="s">
        <v>150</v>
      </c>
      <c r="K129">
        <f>K88</f>
        <v>38.128638493914551</v>
      </c>
      <c r="V129" s="12"/>
      <c r="W129" s="12"/>
      <c r="X129" s="12"/>
    </row>
    <row r="130" spans="1:24" x14ac:dyDescent="0.25">
      <c r="V130" s="12"/>
      <c r="W130" s="12"/>
      <c r="X130" s="12"/>
    </row>
    <row r="131" spans="1:2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t="s">
        <v>16</v>
      </c>
      <c r="K131">
        <f>K120/COS((90-K125)/180*3.14)</f>
        <v>161.96974118863554</v>
      </c>
      <c r="N131" s="12"/>
      <c r="O131" s="12"/>
      <c r="P131" s="12"/>
      <c r="Q131" s="12"/>
      <c r="R131" s="12"/>
      <c r="S131" s="12"/>
      <c r="V131" s="12"/>
      <c r="W131" s="12"/>
      <c r="X131" s="12"/>
    </row>
    <row r="132" spans="1:2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t="s">
        <v>17</v>
      </c>
      <c r="K132">
        <f>K120/COS((K126-90)/180*3.14)</f>
        <v>209.68903447333767</v>
      </c>
      <c r="N132" s="12"/>
      <c r="O132" s="12"/>
      <c r="P132" s="12"/>
      <c r="Q132" s="12"/>
      <c r="R132" s="12"/>
      <c r="S132" s="12"/>
      <c r="V132" s="12"/>
      <c r="W132" s="12"/>
      <c r="X132" s="12"/>
    </row>
    <row r="133" spans="1:2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t="s">
        <v>117</v>
      </c>
      <c r="K133">
        <f>K120/COS((90-K128)/180*3.14)</f>
        <v>209.68903447333773</v>
      </c>
      <c r="N133" s="12"/>
      <c r="O133" s="12"/>
      <c r="P133" s="12"/>
      <c r="Q133" s="12"/>
      <c r="R133" s="12"/>
      <c r="S133" s="12"/>
    </row>
    <row r="134" spans="1:2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t="s">
        <v>141</v>
      </c>
      <c r="K134">
        <f>K120/COS((K127-90)/180*3.14)</f>
        <v>161.96974118863548</v>
      </c>
      <c r="N134" s="12"/>
      <c r="O134" s="12"/>
      <c r="P134" s="12"/>
      <c r="Q134" s="12"/>
      <c r="R134" s="12"/>
      <c r="S134" s="12"/>
    </row>
    <row r="135" spans="1:2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t="s">
        <v>88</v>
      </c>
      <c r="K135">
        <f>K120/COS((90-K129)/180*3.14)</f>
        <v>210.83212467105315</v>
      </c>
      <c r="N135" s="12"/>
      <c r="O135" s="12"/>
      <c r="P135" s="12"/>
      <c r="Q135" s="12"/>
      <c r="R135" s="12"/>
      <c r="S135" s="12"/>
    </row>
    <row r="136" spans="1:2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t="s">
        <v>137</v>
      </c>
      <c r="M136">
        <f>K126-K127</f>
        <v>15.136389190645019</v>
      </c>
      <c r="N136" s="12"/>
      <c r="O136" s="12"/>
      <c r="P136" s="12"/>
      <c r="Q136" s="12"/>
      <c r="R136" s="12"/>
      <c r="S136" s="12"/>
    </row>
    <row r="137" spans="1:2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t="s">
        <v>138</v>
      </c>
      <c r="M137">
        <f>COS((K126-90)/180*3.14)/COS((K127-90)/180*3.14)</f>
        <v>0.77242828455691237</v>
      </c>
      <c r="N137" s="12"/>
      <c r="O137" s="12"/>
      <c r="P137" s="12"/>
      <c r="Q137" s="12"/>
      <c r="R137" s="12"/>
      <c r="S137" s="12"/>
    </row>
    <row r="138" spans="1:2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t="s">
        <v>145</v>
      </c>
      <c r="M138">
        <f>K120/(2*K121)*(S121)</f>
        <v>0.5</v>
      </c>
      <c r="N138" s="12"/>
      <c r="O138" s="12"/>
      <c r="P138" s="12"/>
      <c r="Q138" s="12"/>
      <c r="R138" s="12"/>
      <c r="S138" s="12"/>
      <c r="T138" s="12"/>
      <c r="U138" s="12"/>
    </row>
    <row r="139" spans="1:2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t="s">
        <v>148</v>
      </c>
      <c r="M139">
        <f>K120*(TAN((90-K128)/180*3.14)-TAN((90-K125)/180*3.14))</f>
        <v>68.053897976186136</v>
      </c>
      <c r="N139" s="12"/>
      <c r="O139" s="12"/>
      <c r="P139" s="12"/>
      <c r="Q139" s="12"/>
      <c r="R139" s="12"/>
      <c r="S139" s="12"/>
      <c r="T139" s="12"/>
      <c r="U139" s="12"/>
    </row>
    <row r="140" spans="1:2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t="s">
        <v>18</v>
      </c>
      <c r="N141">
        <f>N120-0.5*K135^2/C28</f>
        <v>340.01495802311359</v>
      </c>
      <c r="P141" s="15" t="s">
        <v>144</v>
      </c>
      <c r="Q141" s="15">
        <f>N122/(N141*287)</f>
        <v>1.9446068078363783</v>
      </c>
      <c r="R141" s="12"/>
      <c r="S141" s="12"/>
      <c r="T141" t="s">
        <v>229</v>
      </c>
      <c r="U141">
        <f>N120</f>
        <v>362.02</v>
      </c>
      <c r="W141" t="s">
        <v>221</v>
      </c>
      <c r="X141">
        <f>U143/(U142*287)</f>
        <v>2.0802040691781216</v>
      </c>
    </row>
    <row r="142" spans="1:2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t="s">
        <v>19</v>
      </c>
      <c r="N142">
        <f>N121-0.5*K133^2/$C$28</f>
        <v>355.2529251592274</v>
      </c>
      <c r="P142" s="15" t="s">
        <v>152</v>
      </c>
      <c r="Q142" s="15">
        <f>N154/(N142*287)</f>
        <v>2.1540592811129575</v>
      </c>
      <c r="R142" s="12"/>
      <c r="S142" s="12"/>
      <c r="T142" t="s">
        <v>218</v>
      </c>
      <c r="U142">
        <f>U141-0.5*K131^2/$C$28</f>
        <v>349.03277373231998</v>
      </c>
    </row>
    <row r="143" spans="1:2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t="s">
        <v>95</v>
      </c>
      <c r="N143">
        <f>N113</f>
        <v>237076.4365863995</v>
      </c>
      <c r="R143" s="12"/>
      <c r="S143" s="12"/>
      <c r="T143" t="s">
        <v>220</v>
      </c>
      <c r="U143">
        <f>N143/((N120/U142)^($C$27/($C$27-1)))</f>
        <v>208379.04670782108</v>
      </c>
    </row>
    <row r="144" spans="1:24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R144" s="12"/>
      <c r="S144" s="12"/>
      <c r="T144" t="s">
        <v>219</v>
      </c>
      <c r="U144">
        <f>U143+X141*K131^2/2</f>
        <v>235665.28844647962</v>
      </c>
    </row>
    <row r="145" spans="1:2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t="s">
        <v>26</v>
      </c>
      <c r="R145" s="12"/>
      <c r="S145" s="12"/>
      <c r="T145" s="12"/>
      <c r="U145" s="12"/>
    </row>
    <row r="146" spans="1:2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t="s">
        <v>230</v>
      </c>
      <c r="R146" s="12"/>
      <c r="S146" s="12"/>
      <c r="T146" s="12"/>
      <c r="U146" s="12"/>
    </row>
    <row r="147" spans="1:2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O147" t="s">
        <v>231</v>
      </c>
      <c r="P147">
        <f>Comp_combine!Z5</f>
        <v>0.93012786624515553</v>
      </c>
      <c r="R147" s="12"/>
      <c r="S147" s="12"/>
      <c r="T147" s="12"/>
      <c r="U147" s="12"/>
    </row>
    <row r="148" spans="1:21" x14ac:dyDescent="0.25">
      <c r="T148" s="12"/>
      <c r="U148" s="12"/>
    </row>
    <row r="149" spans="1:21" x14ac:dyDescent="0.25">
      <c r="T149" s="12"/>
      <c r="U149" s="12"/>
    </row>
    <row r="150" spans="1:21" x14ac:dyDescent="0.25">
      <c r="N150" t="s">
        <v>140</v>
      </c>
      <c r="O150">
        <f>(1+P147*E116/N120)^($C$27/($C$27-1))</f>
        <v>1.1428774501023458</v>
      </c>
      <c r="T150" s="12"/>
      <c r="U150" s="12"/>
    </row>
    <row r="151" spans="1:21" x14ac:dyDescent="0.25">
      <c r="T151" s="12"/>
      <c r="U151" s="12"/>
    </row>
    <row r="152" spans="1:21" x14ac:dyDescent="0.25">
      <c r="T152" s="12"/>
      <c r="U152" s="12"/>
    </row>
    <row r="153" spans="1:21" x14ac:dyDescent="0.25">
      <c r="M153" t="s">
        <v>96</v>
      </c>
      <c r="N153">
        <f>N143*O150</f>
        <v>270949.31332521472</v>
      </c>
      <c r="T153" s="12"/>
      <c r="U153" s="12"/>
    </row>
    <row r="154" spans="1:21" x14ac:dyDescent="0.25">
      <c r="M154" s="15" t="s">
        <v>146</v>
      </c>
      <c r="N154" s="15">
        <f>N153*(N142/N121)^($C$27/($C$27-1))</f>
        <v>219622.69198696531</v>
      </c>
      <c r="T154" s="12"/>
      <c r="U154" s="12"/>
    </row>
    <row r="155" spans="1:2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2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21" x14ac:dyDescent="0.25">
      <c r="A157">
        <v>4</v>
      </c>
      <c r="B157" t="s">
        <v>167</v>
      </c>
    </row>
    <row r="158" spans="1:21" x14ac:dyDescent="0.25">
      <c r="C158" t="s">
        <v>81</v>
      </c>
      <c r="D158" t="s">
        <v>30</v>
      </c>
      <c r="E158">
        <f>E72</f>
        <v>15</v>
      </c>
      <c r="F158" t="s">
        <v>33</v>
      </c>
    </row>
    <row r="159" spans="1:21" x14ac:dyDescent="0.25">
      <c r="C159" t="s">
        <v>149</v>
      </c>
      <c r="D159" t="s">
        <v>30</v>
      </c>
      <c r="E159">
        <f>G72</f>
        <v>0.85</v>
      </c>
    </row>
    <row r="160" spans="1:21" x14ac:dyDescent="0.25">
      <c r="C160" s="2" t="s">
        <v>145</v>
      </c>
      <c r="D160" s="2" t="s">
        <v>30</v>
      </c>
      <c r="E160" s="2">
        <v>0.5</v>
      </c>
    </row>
    <row r="162" spans="1:20" x14ac:dyDescent="0.25">
      <c r="G162" t="s">
        <v>5</v>
      </c>
      <c r="H162">
        <f>H120-($E$8-$E$9)/3</f>
        <v>1.0957000000000001</v>
      </c>
      <c r="J162" t="s">
        <v>83</v>
      </c>
      <c r="K162">
        <v>130.25</v>
      </c>
      <c r="M162" t="s">
        <v>97</v>
      </c>
      <c r="N162">
        <f>N121</f>
        <v>377.02</v>
      </c>
      <c r="P162" t="s">
        <v>135</v>
      </c>
      <c r="R162" s="14" t="s">
        <v>30</v>
      </c>
      <c r="S162">
        <f>E158*1005/(E159*K162*K163)</f>
        <v>0.52954415035816915</v>
      </c>
      <c r="T162" s="12"/>
    </row>
    <row r="163" spans="1:20" x14ac:dyDescent="0.25">
      <c r="G163" t="s">
        <v>38</v>
      </c>
      <c r="H163">
        <v>469.35</v>
      </c>
      <c r="J163" t="s">
        <v>20</v>
      </c>
      <c r="K163">
        <f>H163*H162/2</f>
        <v>257.13339750000006</v>
      </c>
      <c r="M163" t="s">
        <v>98</v>
      </c>
      <c r="N163">
        <f>N162+E158</f>
        <v>392.02</v>
      </c>
      <c r="P163" t="s">
        <v>132</v>
      </c>
      <c r="R163" t="s">
        <v>30</v>
      </c>
      <c r="S163">
        <f>E160*2*K163/K162</f>
        <v>1.9741527639155474</v>
      </c>
      <c r="T163" s="12"/>
    </row>
    <row r="164" spans="1:20" x14ac:dyDescent="0.25">
      <c r="M164" s="15" t="s">
        <v>130</v>
      </c>
      <c r="N164" s="15">
        <f>N154</f>
        <v>219622.69198696531</v>
      </c>
      <c r="P164" t="s">
        <v>133</v>
      </c>
      <c r="R164" t="s">
        <v>30</v>
      </c>
      <c r="S164">
        <f>(S162+S163)/2</f>
        <v>1.2518484571368582</v>
      </c>
      <c r="T164" s="12"/>
    </row>
    <row r="165" spans="1:20" x14ac:dyDescent="0.25">
      <c r="P165" t="s">
        <v>134</v>
      </c>
      <c r="R165" t="s">
        <v>30</v>
      </c>
      <c r="S165">
        <f>(S163-S162)/2</f>
        <v>0.72230430677868918</v>
      </c>
    </row>
    <row r="167" spans="1:20" x14ac:dyDescent="0.25">
      <c r="J167" t="s">
        <v>86</v>
      </c>
      <c r="K167">
        <f>90-ATAN(K163/K162-TAN((K168-90)/180*3.14))/3.14*180</f>
        <v>54.141077340310936</v>
      </c>
    </row>
    <row r="168" spans="1:20" x14ac:dyDescent="0.25">
      <c r="J168" t="s">
        <v>61</v>
      </c>
      <c r="K168">
        <f>ATAN(S164)/3.14*180+90</f>
        <v>141.40754620099091</v>
      </c>
    </row>
    <row r="169" spans="1:20" x14ac:dyDescent="0.25">
      <c r="J169" t="s">
        <v>55</v>
      </c>
      <c r="K169">
        <f>ATAN(S165)/3.14*180+90</f>
        <v>125.85892265968906</v>
      </c>
    </row>
    <row r="170" spans="1:20" x14ac:dyDescent="0.25">
      <c r="J170" t="s">
        <v>136</v>
      </c>
      <c r="K170">
        <f>90-ATAN(K163/K162-TAN((K169-90)/180*3.14))/3.14*180</f>
        <v>38.592453799009085</v>
      </c>
    </row>
    <row r="171" spans="1:20" x14ac:dyDescent="0.25">
      <c r="J171" t="s">
        <v>150</v>
      </c>
      <c r="K171">
        <f>K128</f>
        <v>38.374567855172891</v>
      </c>
    </row>
    <row r="173" spans="1:20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t="s">
        <v>16</v>
      </c>
      <c r="K173">
        <f>K162/COS((90-K167)/180*3.14)</f>
        <v>160.67400064061866</v>
      </c>
      <c r="N173" s="12"/>
      <c r="O173" s="12"/>
      <c r="P173" s="12"/>
      <c r="Q173" s="12"/>
      <c r="R173" s="12"/>
      <c r="S173" s="12"/>
    </row>
    <row r="174" spans="1:20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t="s">
        <v>17</v>
      </c>
      <c r="K174">
        <f>K162/COS((K168-90)/180*3.14)</f>
        <v>208.6897903576228</v>
      </c>
      <c r="N174" s="12"/>
      <c r="O174" s="12"/>
      <c r="P174" s="12"/>
      <c r="Q174" s="12"/>
      <c r="R174" s="12"/>
      <c r="S174" s="12"/>
    </row>
    <row r="175" spans="1:20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t="s">
        <v>117</v>
      </c>
      <c r="K175">
        <f>K162/COS((90-K170)/180*3.14)</f>
        <v>208.68979035762283</v>
      </c>
      <c r="N175" s="12"/>
      <c r="O175" s="12"/>
      <c r="P175" s="12"/>
      <c r="Q175" s="12"/>
      <c r="R175" s="12"/>
      <c r="S175" s="12"/>
    </row>
    <row r="176" spans="1:20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t="s">
        <v>141</v>
      </c>
      <c r="K176">
        <f>K162/COS((K169-90)/180*3.14)</f>
        <v>160.67400064061863</v>
      </c>
      <c r="N176" s="12"/>
      <c r="O176" s="12"/>
      <c r="P176" s="12"/>
      <c r="Q176" s="12"/>
      <c r="R176" s="12"/>
      <c r="S176" s="12"/>
    </row>
    <row r="177" spans="1:24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t="s">
        <v>88</v>
      </c>
      <c r="K177">
        <f>K162/COS((90-K171)/180*3.14)</f>
        <v>209.68903447333773</v>
      </c>
      <c r="N177" s="12"/>
      <c r="O177" s="12"/>
      <c r="P177" s="12"/>
      <c r="Q177" s="12"/>
      <c r="R177" s="12"/>
      <c r="S177" s="12"/>
    </row>
    <row r="178" spans="1:24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t="s">
        <v>137</v>
      </c>
      <c r="M178">
        <f>K168-K169</f>
        <v>15.548623541301851</v>
      </c>
      <c r="N178" s="12"/>
      <c r="O178" s="12"/>
      <c r="P178" s="12"/>
      <c r="Q178" s="12"/>
      <c r="R178" s="12"/>
      <c r="S178" s="12"/>
    </row>
    <row r="179" spans="1:24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t="s">
        <v>138</v>
      </c>
      <c r="M179">
        <f>COS((K168-90)/180*3.14)/COS((K169-90)/180*3.14)</f>
        <v>0.76991787842269832</v>
      </c>
      <c r="N179" s="12"/>
      <c r="O179" s="12"/>
      <c r="P179" s="12"/>
      <c r="Q179" s="12"/>
      <c r="R179" s="12"/>
      <c r="S179" s="12"/>
    </row>
    <row r="180" spans="1:24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t="s">
        <v>145</v>
      </c>
      <c r="M180">
        <f>K162/(2*K163)*(S163)</f>
        <v>0.5</v>
      </c>
      <c r="N180" s="12"/>
      <c r="O180" s="12"/>
      <c r="P180" s="12"/>
      <c r="Q180" s="12"/>
      <c r="R180" s="12"/>
      <c r="S180" s="12"/>
      <c r="T180" s="12"/>
    </row>
    <row r="181" spans="1:2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t="s">
        <v>148</v>
      </c>
      <c r="M181">
        <f>K162*(TAN((90-K170)/180*3.14)-TAN((90-K167)/180*3.14))</f>
        <v>68.973125584151489</v>
      </c>
      <c r="N181" s="12"/>
      <c r="O181" s="12"/>
      <c r="P181" s="12"/>
      <c r="Q181" s="12"/>
      <c r="R181" s="12"/>
      <c r="S181" s="12"/>
      <c r="T181" s="12"/>
    </row>
    <row r="182" spans="1:2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4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t="s">
        <v>18</v>
      </c>
      <c r="N183">
        <f>N162-0.5*K177^2/$C$28</f>
        <v>355.2529251592274</v>
      </c>
      <c r="P183" s="15" t="s">
        <v>144</v>
      </c>
      <c r="Q183" s="15">
        <f>N164/(N183*287)</f>
        <v>2.1540592811129575</v>
      </c>
      <c r="R183" s="12"/>
      <c r="S183" s="12"/>
      <c r="T183" t="s">
        <v>229</v>
      </c>
      <c r="U183">
        <f>N162</f>
        <v>377.02</v>
      </c>
      <c r="W183" t="s">
        <v>221</v>
      </c>
      <c r="X183">
        <f>U185/(U184*287)</f>
        <v>2.2946959168742169</v>
      </c>
    </row>
    <row r="184" spans="1:24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t="s">
        <v>19</v>
      </c>
      <c r="N184">
        <f>N163-0.5*K175^2/$C$28</f>
        <v>370.45988683192644</v>
      </c>
      <c r="P184" s="15" t="s">
        <v>152</v>
      </c>
      <c r="Q184" s="15">
        <f>N196/(N184*287)</f>
        <v>2.3726926178131933</v>
      </c>
      <c r="R184" s="12"/>
      <c r="S184" s="12"/>
      <c r="T184" t="s">
        <v>218</v>
      </c>
      <c r="U184">
        <f>U183-0.5*K173^2/$C$28</f>
        <v>364.23973540501902</v>
      </c>
    </row>
    <row r="185" spans="1:24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t="s">
        <v>95</v>
      </c>
      <c r="N185">
        <f>N153</f>
        <v>270949.31332521472</v>
      </c>
      <c r="R185" s="12"/>
      <c r="S185" s="12"/>
      <c r="T185" t="s">
        <v>220</v>
      </c>
      <c r="U185">
        <f>N185/((N162/U184)^($C$27/($C$27-1)))</f>
        <v>239880.17744240852</v>
      </c>
    </row>
    <row r="186" spans="1:24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R186" s="12"/>
      <c r="S186" s="12"/>
      <c r="T186" t="s">
        <v>219</v>
      </c>
      <c r="U186">
        <f>U185+X183*K173^2/2</f>
        <v>269500.26663491019</v>
      </c>
    </row>
    <row r="187" spans="1:24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t="s">
        <v>26</v>
      </c>
      <c r="R187" s="12"/>
      <c r="S187" s="12"/>
      <c r="T187" s="12"/>
    </row>
    <row r="188" spans="1:24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N188" t="s">
        <v>230</v>
      </c>
      <c r="R188" s="12"/>
      <c r="S188" s="12"/>
      <c r="T188" s="12"/>
    </row>
    <row r="189" spans="1:24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O189" t="s">
        <v>231</v>
      </c>
      <c r="P189">
        <f>Comp_combine!AA5</f>
        <v>0.9302136924112937</v>
      </c>
      <c r="R189" s="12"/>
      <c r="S189" s="12"/>
      <c r="T189" s="12"/>
    </row>
    <row r="190" spans="1:24" x14ac:dyDescent="0.25">
      <c r="T190" s="12"/>
    </row>
    <row r="191" spans="1:24" x14ac:dyDescent="0.25">
      <c r="T191" s="12"/>
    </row>
    <row r="192" spans="1:24" x14ac:dyDescent="0.25">
      <c r="N192" t="s">
        <v>140</v>
      </c>
      <c r="O192">
        <f>(1+P189*E158/N162)^($C$27/($C$27-1))</f>
        <v>1.136942679623397</v>
      </c>
      <c r="T192" s="12"/>
    </row>
    <row r="193" spans="1:22" x14ac:dyDescent="0.25">
      <c r="T193" s="12"/>
    </row>
    <row r="194" spans="1:22" x14ac:dyDescent="0.25">
      <c r="T194" s="12"/>
    </row>
    <row r="195" spans="1:22" x14ac:dyDescent="0.25">
      <c r="M195" t="s">
        <v>96</v>
      </c>
      <c r="N195">
        <f>N185*O192</f>
        <v>308053.83833408903</v>
      </c>
      <c r="T195" s="12"/>
    </row>
    <row r="196" spans="1:22" x14ac:dyDescent="0.25">
      <c r="M196" s="15" t="s">
        <v>146</v>
      </c>
      <c r="N196" s="15">
        <f>N195*(N184/N163)^($C$27/($C$27-1))</f>
        <v>252269.3949017406</v>
      </c>
      <c r="T196" s="12"/>
    </row>
    <row r="197" spans="1:22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22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22" x14ac:dyDescent="0.25">
      <c r="A199" s="12">
        <v>5</v>
      </c>
      <c r="B199" s="12" t="s">
        <v>168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x14ac:dyDescent="0.25">
      <c r="A200" s="12"/>
      <c r="B200" s="12"/>
      <c r="C200" t="s">
        <v>81</v>
      </c>
      <c r="D200" t="s">
        <v>30</v>
      </c>
      <c r="E200">
        <f>E73</f>
        <v>15.490000000000009</v>
      </c>
      <c r="F200" t="s">
        <v>33</v>
      </c>
      <c r="V200" s="12"/>
    </row>
    <row r="201" spans="1:22" x14ac:dyDescent="0.25">
      <c r="A201" s="12"/>
      <c r="B201" s="12"/>
      <c r="C201" t="s">
        <v>149</v>
      </c>
      <c r="D201" t="s">
        <v>30</v>
      </c>
      <c r="E201">
        <f>G73</f>
        <v>0.85</v>
      </c>
      <c r="V201" s="12"/>
    </row>
    <row r="202" spans="1:22" x14ac:dyDescent="0.25">
      <c r="A202" s="12"/>
      <c r="B202" s="12"/>
      <c r="C202" s="2" t="s">
        <v>145</v>
      </c>
      <c r="D202" s="2" t="s">
        <v>30</v>
      </c>
      <c r="E202" s="2">
        <v>0.62</v>
      </c>
      <c r="F202" s="2" t="s">
        <v>154</v>
      </c>
      <c r="V202" s="12"/>
    </row>
    <row r="203" spans="1:22" x14ac:dyDescent="0.25">
      <c r="A203" s="12"/>
      <c r="B203" s="12"/>
      <c r="V203" s="12"/>
    </row>
    <row r="204" spans="1:22" x14ac:dyDescent="0.25">
      <c r="A204" s="12"/>
      <c r="B204" s="12"/>
      <c r="G204" t="s">
        <v>5</v>
      </c>
      <c r="H204">
        <f>H162-($E$8-$E$9)/3</f>
        <v>1.0809000000000002</v>
      </c>
      <c r="J204" t="s">
        <v>83</v>
      </c>
      <c r="K204">
        <v>130.25</v>
      </c>
      <c r="M204" t="s">
        <v>97</v>
      </c>
      <c r="N204">
        <f>N163</f>
        <v>392.02</v>
      </c>
      <c r="P204" t="s">
        <v>135</v>
      </c>
      <c r="R204" s="14" t="s">
        <v>30</v>
      </c>
      <c r="S204">
        <f>E200*1005/(E201*K204*K205)</f>
        <v>0.55433012185709085</v>
      </c>
      <c r="V204" s="12"/>
    </row>
    <row r="205" spans="1:22" x14ac:dyDescent="0.25">
      <c r="A205" s="12"/>
      <c r="B205" s="12"/>
      <c r="G205" t="s">
        <v>38</v>
      </c>
      <c r="H205">
        <v>469.35</v>
      </c>
      <c r="J205" t="s">
        <v>20</v>
      </c>
      <c r="K205">
        <f>H205*H204/2</f>
        <v>253.66020750000007</v>
      </c>
      <c r="M205" t="s">
        <v>98</v>
      </c>
      <c r="N205">
        <f>N204+E200</f>
        <v>407.51</v>
      </c>
      <c r="P205" t="s">
        <v>132</v>
      </c>
      <c r="R205" t="s">
        <v>30</v>
      </c>
      <c r="S205">
        <f>E202*2*K205/K204</f>
        <v>2.4148841251439546</v>
      </c>
      <c r="V205" s="12"/>
    </row>
    <row r="206" spans="1:22" x14ac:dyDescent="0.25">
      <c r="A206" s="12"/>
      <c r="B206" s="12"/>
      <c r="M206" s="15" t="s">
        <v>130</v>
      </c>
      <c r="N206" s="15">
        <f>N196</f>
        <v>252269.3949017406</v>
      </c>
      <c r="P206" t="s">
        <v>133</v>
      </c>
      <c r="R206" t="s">
        <v>30</v>
      </c>
      <c r="S206">
        <f>(S204+S205)/2</f>
        <v>1.4846071235005227</v>
      </c>
      <c r="V206" s="12"/>
    </row>
    <row r="207" spans="1:22" x14ac:dyDescent="0.25">
      <c r="A207" s="12"/>
      <c r="B207" s="12"/>
      <c r="P207" t="s">
        <v>134</v>
      </c>
      <c r="R207" t="s">
        <v>30</v>
      </c>
      <c r="S207">
        <f>(S205-S204)/2</f>
        <v>0.93027700164343186</v>
      </c>
      <c r="V207" s="12"/>
    </row>
    <row r="208" spans="1:22" x14ac:dyDescent="0.25">
      <c r="A208" s="12"/>
      <c r="B208" s="12"/>
      <c r="V208" s="12"/>
    </row>
    <row r="209" spans="1:22" x14ac:dyDescent="0.25">
      <c r="A209" s="12"/>
      <c r="B209" s="12"/>
      <c r="J209" t="s">
        <v>86</v>
      </c>
      <c r="K209">
        <f>90-ATAN(K205/K204-TAN((K210-90)/180*3.14))/3.14*180</f>
        <v>65.14892351017788</v>
      </c>
      <c r="V209" s="12"/>
    </row>
    <row r="210" spans="1:22" x14ac:dyDescent="0.25">
      <c r="J210" t="s">
        <v>61</v>
      </c>
      <c r="K210">
        <f>ATAN(S206)/3.14*180+90</f>
        <v>146.06504716800222</v>
      </c>
    </row>
    <row r="211" spans="1:22" x14ac:dyDescent="0.25">
      <c r="J211" t="s">
        <v>55</v>
      </c>
      <c r="K211">
        <f>ATAN(S207)/3.14*180+90</f>
        <v>132.95310984483589</v>
      </c>
    </row>
    <row r="212" spans="1:22" x14ac:dyDescent="0.25">
      <c r="J212" t="s">
        <v>136</v>
      </c>
      <c r="K212">
        <f>90-ATAN(K205/K204-TAN((K211-90)/180*3.14))/3.14*180</f>
        <v>44.488109896811942</v>
      </c>
    </row>
    <row r="213" spans="1:22" x14ac:dyDescent="0.25">
      <c r="J213" t="s">
        <v>150</v>
      </c>
      <c r="K213">
        <f>K170</f>
        <v>38.592453799009085</v>
      </c>
    </row>
    <row r="215" spans="1:22" x14ac:dyDescent="0.25">
      <c r="C215" s="12"/>
      <c r="D215" s="12"/>
      <c r="E215" s="12"/>
      <c r="F215" s="12"/>
      <c r="G215" s="12"/>
      <c r="H215" s="12"/>
      <c r="I215" s="12"/>
      <c r="J215" t="s">
        <v>16</v>
      </c>
      <c r="K215">
        <f>K204/COS((90-K209)/180*3.14)</f>
        <v>143.52686938308381</v>
      </c>
      <c r="N215" s="12"/>
      <c r="O215" s="12"/>
      <c r="P215" s="12"/>
      <c r="Q215" s="12"/>
      <c r="R215" s="12"/>
      <c r="S215" s="12"/>
      <c r="T215" s="12"/>
      <c r="U215" s="12"/>
    </row>
    <row r="216" spans="1:22" x14ac:dyDescent="0.25">
      <c r="C216" s="12"/>
      <c r="D216" s="12"/>
      <c r="E216" s="12"/>
      <c r="F216" s="12"/>
      <c r="G216" s="12"/>
      <c r="H216" s="12"/>
      <c r="I216" s="12"/>
      <c r="J216" t="s">
        <v>17</v>
      </c>
      <c r="K216">
        <f>K204/COS((K210-90)/180*3.14)</f>
        <v>233.14598324285731</v>
      </c>
      <c r="N216" s="12"/>
      <c r="O216" s="12"/>
      <c r="P216" s="12"/>
      <c r="Q216" s="12"/>
      <c r="R216" s="12"/>
      <c r="S216" s="12"/>
      <c r="T216" s="12"/>
      <c r="U216" s="12"/>
    </row>
    <row r="217" spans="1:22" x14ac:dyDescent="0.25">
      <c r="C217" s="12"/>
      <c r="D217" s="12"/>
      <c r="E217" s="12"/>
      <c r="F217" s="12"/>
      <c r="G217" s="12"/>
      <c r="H217" s="12"/>
      <c r="I217" s="12"/>
      <c r="J217" t="s">
        <v>117</v>
      </c>
      <c r="K217">
        <f>K204/COS((90-K212)/180*3.14)</f>
        <v>185.79314841945788</v>
      </c>
      <c r="N217" s="12"/>
      <c r="O217" s="12"/>
      <c r="P217" s="12"/>
      <c r="Q217" s="12"/>
      <c r="R217" s="12"/>
      <c r="S217" s="12"/>
      <c r="T217" s="12"/>
      <c r="U217" s="12"/>
    </row>
    <row r="218" spans="1:22" x14ac:dyDescent="0.25">
      <c r="C218" s="12"/>
      <c r="D218" s="12"/>
      <c r="E218" s="12"/>
      <c r="F218" s="12"/>
      <c r="G218" s="12"/>
      <c r="H218" s="12"/>
      <c r="I218" s="12"/>
      <c r="J218" t="s">
        <v>141</v>
      </c>
      <c r="K218">
        <f>K204/COS((K211-90)/180*3.14)</f>
        <v>177.89571987357508</v>
      </c>
      <c r="N218" s="12"/>
      <c r="O218" s="12"/>
      <c r="P218" s="12"/>
      <c r="Q218" s="12"/>
      <c r="R218" s="12"/>
      <c r="S218" s="12"/>
      <c r="T218" s="12"/>
      <c r="U218" s="12"/>
    </row>
    <row r="219" spans="1:22" x14ac:dyDescent="0.25">
      <c r="C219" s="12"/>
      <c r="D219" s="12"/>
      <c r="E219" s="12"/>
      <c r="F219" s="12"/>
      <c r="G219" s="12"/>
      <c r="H219" s="12"/>
      <c r="I219" s="12"/>
      <c r="J219" t="s">
        <v>88</v>
      </c>
      <c r="K219">
        <f>K204/COS((90-K213)/180*3.14)</f>
        <v>208.68979035762283</v>
      </c>
      <c r="N219" s="12"/>
      <c r="O219" s="12"/>
      <c r="P219" s="12"/>
      <c r="Q219" s="12"/>
      <c r="R219" s="12"/>
      <c r="S219" s="12"/>
      <c r="T219" s="12"/>
      <c r="U219" s="12"/>
    </row>
    <row r="220" spans="1:22" x14ac:dyDescent="0.25">
      <c r="C220" s="12"/>
      <c r="D220" s="12"/>
      <c r="E220" s="12"/>
      <c r="F220" s="12"/>
      <c r="G220" s="12"/>
      <c r="H220" s="12"/>
      <c r="I220" s="12"/>
      <c r="J220" t="s">
        <v>137</v>
      </c>
      <c r="M220">
        <f>K210-K211</f>
        <v>13.11193732316633</v>
      </c>
      <c r="N220" s="12"/>
      <c r="O220" s="12"/>
      <c r="P220" s="12"/>
      <c r="Q220" s="12"/>
      <c r="R220" s="12"/>
      <c r="S220" s="12"/>
      <c r="T220" s="12"/>
      <c r="U220" s="12"/>
    </row>
    <row r="221" spans="1:22" x14ac:dyDescent="0.25">
      <c r="C221" s="12"/>
      <c r="D221" s="12"/>
      <c r="E221" s="12"/>
      <c r="F221" s="12"/>
      <c r="G221" s="12"/>
      <c r="H221" s="12"/>
      <c r="I221" s="12"/>
      <c r="J221" t="s">
        <v>138</v>
      </c>
      <c r="M221">
        <f>COS((K210-90)/180*3.14)/COS((K211-90)/180*3.14)</f>
        <v>0.76302288119743999</v>
      </c>
      <c r="N221" s="12"/>
      <c r="O221" s="12"/>
      <c r="P221" s="12"/>
      <c r="Q221" s="12"/>
      <c r="R221" s="12"/>
      <c r="S221" s="12"/>
      <c r="T221" s="12"/>
      <c r="U221" s="12"/>
    </row>
    <row r="222" spans="1:22" x14ac:dyDescent="0.25">
      <c r="C222" s="12"/>
      <c r="D222" s="12"/>
      <c r="E222" s="12"/>
      <c r="F222" s="12"/>
      <c r="G222" s="12"/>
      <c r="H222" s="12"/>
      <c r="I222" s="12"/>
      <c r="J222" t="s">
        <v>145</v>
      </c>
      <c r="M222">
        <f>K204/(2*K205)*(S205)</f>
        <v>0.62</v>
      </c>
      <c r="N222" s="12"/>
      <c r="O222" s="12"/>
      <c r="P222" s="12"/>
      <c r="Q222" s="12"/>
      <c r="R222" s="12"/>
      <c r="S222" s="12"/>
      <c r="T222" s="12"/>
      <c r="U222" s="12"/>
    </row>
    <row r="223" spans="1:22" x14ac:dyDescent="0.25">
      <c r="C223" s="12"/>
      <c r="D223" s="12"/>
      <c r="E223" s="12"/>
      <c r="F223" s="12"/>
      <c r="G223" s="12"/>
      <c r="H223" s="12"/>
      <c r="I223" s="12"/>
      <c r="J223" t="s">
        <v>148</v>
      </c>
      <c r="M223">
        <f>K204*(TAN((90-K212)/180*3.14)-TAN((90-K209)/180*3.14))</f>
        <v>72.20149837188616</v>
      </c>
      <c r="N223" s="12"/>
      <c r="O223" s="12"/>
      <c r="P223" s="12"/>
      <c r="Q223" s="12"/>
      <c r="R223" s="12"/>
      <c r="S223" s="12"/>
      <c r="T223" s="12"/>
      <c r="U223" s="12"/>
    </row>
    <row r="224" spans="1:2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3:24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t="s">
        <v>18</v>
      </c>
      <c r="N225">
        <f>N204-0.5*K219^2/C28</f>
        <v>370.45988683192644</v>
      </c>
      <c r="P225" s="15" t="s">
        <v>144</v>
      </c>
      <c r="Q225" s="15">
        <f>N206/(N225*287)</f>
        <v>2.3726926178131933</v>
      </c>
      <c r="R225" s="12"/>
      <c r="S225" s="12"/>
      <c r="T225" t="s">
        <v>229</v>
      </c>
      <c r="U225">
        <f>N204</f>
        <v>392.02</v>
      </c>
      <c r="W225" t="s">
        <v>221</v>
      </c>
      <c r="X225">
        <f>U227/(U226*287)</f>
        <v>2.5612740782456234</v>
      </c>
    </row>
    <row r="226" spans="3:24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t="s">
        <v>19</v>
      </c>
      <c r="N226">
        <f>N205-0.5*K217^2/C28</f>
        <v>390.42133960415111</v>
      </c>
      <c r="P226" t="s">
        <v>152</v>
      </c>
      <c r="Q226">
        <f>N238/(N226*287)</f>
        <v>2.6506697862103348</v>
      </c>
      <c r="R226" s="12"/>
      <c r="T226" t="s">
        <v>218</v>
      </c>
      <c r="U226">
        <f>U225-0.5*K215^2/$C$28</f>
        <v>381.82199889360948</v>
      </c>
    </row>
    <row r="227" spans="3:24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t="s">
        <v>95</v>
      </c>
      <c r="N227">
        <f>N195</f>
        <v>308053.83833408903</v>
      </c>
      <c r="P227" s="12" t="s">
        <v>153</v>
      </c>
      <c r="Q227" s="12"/>
      <c r="R227" s="12">
        <f>N238+0.5*Q226*K217^2</f>
        <v>342759.35975606658</v>
      </c>
      <c r="S227" s="12"/>
      <c r="T227" t="s">
        <v>220</v>
      </c>
      <c r="U227">
        <f>N227/((N204/U226)^($C$27/($C$27-1)))</f>
        <v>280671.87623352761</v>
      </c>
    </row>
    <row r="228" spans="3:24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R228" s="12"/>
      <c r="S228" s="12"/>
      <c r="T228" t="s">
        <v>219</v>
      </c>
      <c r="U228">
        <f>U227+X225*K215^2/2</f>
        <v>307052.95087608293</v>
      </c>
    </row>
    <row r="229" spans="3:24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t="s">
        <v>26</v>
      </c>
      <c r="R229" s="12"/>
      <c r="S229" s="12"/>
      <c r="T229" s="12"/>
      <c r="U229" s="12"/>
    </row>
    <row r="230" spans="3:24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N230" t="s">
        <v>230</v>
      </c>
      <c r="R230" s="12"/>
      <c r="S230" s="12"/>
      <c r="T230" s="12"/>
      <c r="U230" s="12"/>
    </row>
    <row r="231" spans="3:24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O231" t="s">
        <v>231</v>
      </c>
      <c r="P231">
        <f>Comp_combine!AB5</f>
        <v>0.89831832920842269</v>
      </c>
      <c r="R231" s="12"/>
      <c r="S231" s="12"/>
      <c r="T231" s="12"/>
      <c r="U231" s="12"/>
    </row>
    <row r="234" spans="3:24" x14ac:dyDescent="0.25">
      <c r="N234" t="s">
        <v>140</v>
      </c>
      <c r="O234">
        <f>(1+P231*E200/N204)^($C$27/($C$27-1))</f>
        <v>1.1310925672066643</v>
      </c>
    </row>
    <row r="237" spans="3:24" x14ac:dyDescent="0.25">
      <c r="M237" t="s">
        <v>96</v>
      </c>
      <c r="N237">
        <f>N227*O234</f>
        <v>348437.40683917148</v>
      </c>
    </row>
    <row r="238" spans="3:24" x14ac:dyDescent="0.25">
      <c r="M238" t="s">
        <v>146</v>
      </c>
      <c r="N238" s="6">
        <f>297010</f>
        <v>297010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6"/>
  <sheetViews>
    <sheetView topLeftCell="A76" zoomScale="70" zoomScaleNormal="70" workbookViewId="0">
      <selection activeCell="K96" sqref="K96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9.140625" customWidth="1"/>
    <col min="19" max="19" width="12.42578125" customWidth="1"/>
  </cols>
  <sheetData>
    <row r="1" spans="1:6" x14ac:dyDescent="0.25">
      <c r="A1" t="s">
        <v>22</v>
      </c>
    </row>
    <row r="2" spans="1:6" x14ac:dyDescent="0.25">
      <c r="A2" t="s">
        <v>169</v>
      </c>
    </row>
    <row r="3" spans="1:6" x14ac:dyDescent="0.25">
      <c r="B3" t="s">
        <v>24</v>
      </c>
      <c r="C3" t="s">
        <v>9</v>
      </c>
      <c r="D3" t="s">
        <v>30</v>
      </c>
      <c r="E3">
        <v>150</v>
      </c>
      <c r="F3" t="s">
        <v>10</v>
      </c>
    </row>
    <row r="4" spans="1:6" x14ac:dyDescent="0.25">
      <c r="B4" t="s">
        <v>25</v>
      </c>
      <c r="C4" t="s">
        <v>102</v>
      </c>
      <c r="D4" t="s">
        <v>30</v>
      </c>
      <c r="E4">
        <v>297010</v>
      </c>
      <c r="F4" t="s">
        <v>31</v>
      </c>
    </row>
    <row r="5" spans="1:6" x14ac:dyDescent="0.25">
      <c r="B5" t="s">
        <v>105</v>
      </c>
      <c r="C5" t="s">
        <v>181</v>
      </c>
      <c r="D5" t="s">
        <v>30</v>
      </c>
      <c r="E5">
        <v>3.0629</v>
      </c>
    </row>
    <row r="6" spans="1:6" x14ac:dyDescent="0.25">
      <c r="B6" t="s">
        <v>69</v>
      </c>
      <c r="C6" t="s">
        <v>70</v>
      </c>
      <c r="D6" t="s">
        <v>30</v>
      </c>
      <c r="E6">
        <v>407.51</v>
      </c>
      <c r="F6" t="s">
        <v>33</v>
      </c>
    </row>
    <row r="7" spans="1:6" x14ac:dyDescent="0.25">
      <c r="B7" t="s">
        <v>115</v>
      </c>
      <c r="C7" t="s">
        <v>73</v>
      </c>
      <c r="D7" t="s">
        <v>30</v>
      </c>
      <c r="E7">
        <v>576.89</v>
      </c>
      <c r="F7" t="s">
        <v>33</v>
      </c>
    </row>
    <row r="8" spans="1:6" x14ac:dyDescent="0.25">
      <c r="B8" t="s">
        <v>27</v>
      </c>
      <c r="C8" t="s">
        <v>14</v>
      </c>
      <c r="D8" t="s">
        <v>30</v>
      </c>
      <c r="E8">
        <v>1.0809</v>
      </c>
      <c r="F8" t="s">
        <v>36</v>
      </c>
    </row>
    <row r="9" spans="1:6" x14ac:dyDescent="0.25">
      <c r="B9" t="s">
        <v>28</v>
      </c>
      <c r="C9" t="s">
        <v>37</v>
      </c>
      <c r="D9" t="s">
        <v>30</v>
      </c>
      <c r="E9">
        <v>1.0129999999999999</v>
      </c>
      <c r="F9" t="s">
        <v>36</v>
      </c>
    </row>
    <row r="10" spans="1:6" x14ac:dyDescent="0.25">
      <c r="B10" t="s">
        <v>29</v>
      </c>
      <c r="C10" t="s">
        <v>38</v>
      </c>
      <c r="D10" t="s">
        <v>30</v>
      </c>
      <c r="E10">
        <v>469.35</v>
      </c>
      <c r="F10" t="s">
        <v>39</v>
      </c>
    </row>
    <row r="19" spans="1:4" x14ac:dyDescent="0.25">
      <c r="A19">
        <v>1</v>
      </c>
      <c r="B19" t="s">
        <v>40</v>
      </c>
    </row>
    <row r="20" spans="1:4" x14ac:dyDescent="0.25">
      <c r="A20" s="4" t="s">
        <v>161</v>
      </c>
      <c r="B20" t="s">
        <v>41</v>
      </c>
    </row>
    <row r="21" spans="1:4" x14ac:dyDescent="0.25">
      <c r="B21" s="3" t="s">
        <v>47</v>
      </c>
    </row>
    <row r="22" spans="1:4" x14ac:dyDescent="0.25">
      <c r="B22" s="3" t="s">
        <v>51</v>
      </c>
    </row>
    <row r="23" spans="1:4" x14ac:dyDescent="0.25">
      <c r="B23" s="3" t="s">
        <v>155</v>
      </c>
    </row>
    <row r="24" spans="1:4" x14ac:dyDescent="0.25">
      <c r="B24" s="3" t="s">
        <v>156</v>
      </c>
    </row>
    <row r="25" spans="1:4" x14ac:dyDescent="0.25">
      <c r="B25" s="3"/>
    </row>
    <row r="26" spans="1:4" x14ac:dyDescent="0.25">
      <c r="B26" s="4" t="s">
        <v>2</v>
      </c>
      <c r="C26">
        <v>287</v>
      </c>
      <c r="D26" t="s">
        <v>3</v>
      </c>
    </row>
    <row r="27" spans="1:4" x14ac:dyDescent="0.25">
      <c r="B27" s="4" t="s">
        <v>13</v>
      </c>
      <c r="C27">
        <v>1.39</v>
      </c>
    </row>
    <row r="28" spans="1:4" x14ac:dyDescent="0.25">
      <c r="B28" s="4" t="s">
        <v>21</v>
      </c>
      <c r="C28">
        <v>1030</v>
      </c>
      <c r="D28" t="s">
        <v>62</v>
      </c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A32" s="4" t="s">
        <v>160</v>
      </c>
      <c r="B32" t="s">
        <v>106</v>
      </c>
    </row>
    <row r="33" spans="1:19" x14ac:dyDescent="0.25">
      <c r="A33" s="4"/>
      <c r="B33" s="2" t="s">
        <v>142</v>
      </c>
    </row>
    <row r="34" spans="1:19" x14ac:dyDescent="0.25">
      <c r="A34" s="4"/>
      <c r="B34" s="2" t="s">
        <v>145</v>
      </c>
      <c r="C34" s="2" t="s">
        <v>2</v>
      </c>
      <c r="D34" s="2" t="s">
        <v>30</v>
      </c>
      <c r="E34" s="2">
        <v>0.5</v>
      </c>
    </row>
    <row r="35" spans="1:19" x14ac:dyDescent="0.25">
      <c r="A35" s="4"/>
    </row>
    <row r="36" spans="1:19" x14ac:dyDescent="0.25">
      <c r="G36" t="s">
        <v>5</v>
      </c>
      <c r="H36">
        <f>E8</f>
        <v>1.0809</v>
      </c>
      <c r="J36" t="s">
        <v>83</v>
      </c>
      <c r="K36">
        <v>130.25</v>
      </c>
      <c r="M36" t="s">
        <v>97</v>
      </c>
      <c r="N36">
        <f>E6</f>
        <v>407.51</v>
      </c>
      <c r="P36" t="s">
        <v>163</v>
      </c>
      <c r="R36" s="14" t="s">
        <v>30</v>
      </c>
      <c r="S36">
        <f>K37/K36</f>
        <v>1.9474871976967372</v>
      </c>
    </row>
    <row r="37" spans="1:19" x14ac:dyDescent="0.25">
      <c r="B37" s="3"/>
      <c r="G37" t="s">
        <v>38</v>
      </c>
      <c r="H37">
        <v>469.35</v>
      </c>
      <c r="J37" t="s">
        <v>20</v>
      </c>
      <c r="K37">
        <f>H37*H36/2</f>
        <v>253.66020750000001</v>
      </c>
      <c r="M37" t="s">
        <v>98</v>
      </c>
      <c r="P37" t="s">
        <v>164</v>
      </c>
      <c r="R37" t="s">
        <v>30</v>
      </c>
      <c r="S37">
        <f>K37/K36</f>
        <v>1.9474871976967372</v>
      </c>
    </row>
    <row r="38" spans="1:19" x14ac:dyDescent="0.25">
      <c r="B38" s="3"/>
      <c r="M38" t="s">
        <v>130</v>
      </c>
      <c r="N38">
        <f>E4</f>
        <v>297010</v>
      </c>
      <c r="P38" t="s">
        <v>132</v>
      </c>
      <c r="R38" t="s">
        <v>30</v>
      </c>
      <c r="S38">
        <f>E34*2*K37/K36</f>
        <v>1.9474871976967372</v>
      </c>
    </row>
    <row r="39" spans="1:19" x14ac:dyDescent="0.25">
      <c r="B39" s="3"/>
    </row>
    <row r="40" spans="1:19" x14ac:dyDescent="0.25">
      <c r="B40" s="3"/>
    </row>
    <row r="41" spans="1:19" x14ac:dyDescent="0.25">
      <c r="I41" s="2" t="s">
        <v>142</v>
      </c>
      <c r="J41" s="2" t="s">
        <v>86</v>
      </c>
      <c r="K41" s="2">
        <v>57</v>
      </c>
    </row>
    <row r="42" spans="1:19" x14ac:dyDescent="0.25">
      <c r="J42" t="s">
        <v>61</v>
      </c>
      <c r="K42">
        <f>90+ATAN(S36-TAN((90-K41)/180*3.14))/3.14*180</f>
        <v>142.42589909538222</v>
      </c>
    </row>
    <row r="43" spans="1:19" x14ac:dyDescent="0.25">
      <c r="J43" t="s">
        <v>55</v>
      </c>
      <c r="K43">
        <f>90+ATAN(S38-TAN((K42-90)/180*3.14))/3.14*180</f>
        <v>123</v>
      </c>
    </row>
    <row r="44" spans="1:19" x14ac:dyDescent="0.25">
      <c r="J44" t="s">
        <v>136</v>
      </c>
      <c r="K44">
        <f>90-ATAN(S37-TAN((K43-90)/180*3.14))/3.14*180</f>
        <v>37.574100904617787</v>
      </c>
    </row>
    <row r="45" spans="1:19" x14ac:dyDescent="0.25">
      <c r="J45" t="s">
        <v>162</v>
      </c>
      <c r="K45">
        <f>'Comp IP'!K212</f>
        <v>44.488109896811942</v>
      </c>
    </row>
    <row r="47" spans="1:19" x14ac:dyDescent="0.25">
      <c r="J47" t="s">
        <v>16</v>
      </c>
      <c r="K47">
        <f>K36/COS((90-K41)/180*3.14)</f>
        <v>155.27588237115515</v>
      </c>
    </row>
    <row r="48" spans="1:19" x14ac:dyDescent="0.25">
      <c r="J48" t="s">
        <v>17</v>
      </c>
      <c r="K48">
        <f>K36/COS((K42-90)/180*3.14)</f>
        <v>213.47050597685623</v>
      </c>
    </row>
    <row r="49" spans="1:17" x14ac:dyDescent="0.25">
      <c r="J49" t="s">
        <v>117</v>
      </c>
      <c r="K49">
        <f>K36/COS((90-K44)/180*3.14)</f>
        <v>213.47050597685623</v>
      </c>
    </row>
    <row r="50" spans="1:17" x14ac:dyDescent="0.25">
      <c r="J50" t="s">
        <v>141</v>
      </c>
      <c r="K50">
        <f>K36/COS((K43-90)/180*3.14)</f>
        <v>155.27588237115515</v>
      </c>
    </row>
    <row r="51" spans="1:17" x14ac:dyDescent="0.25">
      <c r="J51" t="s">
        <v>88</v>
      </c>
      <c r="K51">
        <f>K36/COS((90-K45)/180*3.14)</f>
        <v>185.79314841945788</v>
      </c>
    </row>
    <row r="52" spans="1:17" x14ac:dyDescent="0.25">
      <c r="J52" t="s">
        <v>137</v>
      </c>
      <c r="M52">
        <f>K42-K43</f>
        <v>19.425899095382221</v>
      </c>
    </row>
    <row r="53" spans="1:17" x14ac:dyDescent="0.25">
      <c r="J53" t="s">
        <v>138</v>
      </c>
      <c r="M53">
        <f>COS((K42-90)/180*3.14)/COS((K43-90)/180*3.14)</f>
        <v>0.72738799048890457</v>
      </c>
    </row>
    <row r="54" spans="1:17" x14ac:dyDescent="0.25">
      <c r="J54" t="s">
        <v>145</v>
      </c>
      <c r="M54">
        <f>K36/(2*K37)*(S38)</f>
        <v>0.5</v>
      </c>
    </row>
    <row r="55" spans="1:17" x14ac:dyDescent="0.25">
      <c r="J55" t="s">
        <v>148</v>
      </c>
      <c r="M55">
        <f>K36*(TAN((90-K44)/180*3.14)-TAN((90-K41)/180*3.14))</f>
        <v>84.597649301671424</v>
      </c>
    </row>
    <row r="58" spans="1:17" x14ac:dyDescent="0.25">
      <c r="M58" t="s">
        <v>99</v>
      </c>
      <c r="N58">
        <f>K37*K36/C28*(TAN((K42-90)/180*3.14)-TAN((K43-90)/180*3.14))</f>
        <v>20.83403619016913</v>
      </c>
    </row>
    <row r="60" spans="1:17" x14ac:dyDescent="0.25">
      <c r="A60" s="4" t="s">
        <v>64</v>
      </c>
      <c r="B60" t="s">
        <v>65</v>
      </c>
    </row>
    <row r="61" spans="1:17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25">
      <c r="C62" s="13" t="s">
        <v>129</v>
      </c>
      <c r="D62" s="13" t="s">
        <v>30</v>
      </c>
      <c r="E62" s="13">
        <f>E7-E6</f>
        <v>169.38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25">
      <c r="A64" s="4" t="s">
        <v>74</v>
      </c>
      <c r="B64" t="s">
        <v>75</v>
      </c>
    </row>
    <row r="66" spans="2:7" x14ac:dyDescent="0.25">
      <c r="C66" t="s">
        <v>76</v>
      </c>
      <c r="D66" t="s">
        <v>30</v>
      </c>
      <c r="E66" t="s">
        <v>77</v>
      </c>
    </row>
    <row r="67" spans="2:7" x14ac:dyDescent="0.25">
      <c r="D67" t="s">
        <v>30</v>
      </c>
      <c r="E67">
        <f>E62/N58</f>
        <v>8.1299657183049643</v>
      </c>
    </row>
    <row r="68" spans="2:7" x14ac:dyDescent="0.25">
      <c r="B68" s="4" t="s">
        <v>78</v>
      </c>
      <c r="C68" t="s">
        <v>76</v>
      </c>
      <c r="D68" t="s">
        <v>30</v>
      </c>
      <c r="E68">
        <v>9</v>
      </c>
    </row>
    <row r="69" spans="2:7" x14ac:dyDescent="0.25">
      <c r="B69" s="4"/>
      <c r="C69" t="s">
        <v>166</v>
      </c>
      <c r="D69" t="s">
        <v>30</v>
      </c>
      <c r="E69">
        <f>E62/E68</f>
        <v>18.82</v>
      </c>
      <c r="G69" t="s">
        <v>131</v>
      </c>
    </row>
    <row r="70" spans="2:7" x14ac:dyDescent="0.25">
      <c r="B70" s="4" t="s">
        <v>79</v>
      </c>
      <c r="C70" t="s">
        <v>80</v>
      </c>
      <c r="D70" t="s">
        <v>30</v>
      </c>
      <c r="E70">
        <v>19</v>
      </c>
      <c r="F70" t="s">
        <v>33</v>
      </c>
      <c r="G70">
        <v>0.83</v>
      </c>
    </row>
    <row r="71" spans="2:7" x14ac:dyDescent="0.25">
      <c r="C71" t="s">
        <v>81</v>
      </c>
      <c r="D71" t="s">
        <v>30</v>
      </c>
      <c r="E71">
        <v>19</v>
      </c>
      <c r="F71" t="s">
        <v>33</v>
      </c>
      <c r="G71">
        <v>0.83</v>
      </c>
    </row>
    <row r="72" spans="2:7" x14ac:dyDescent="0.25">
      <c r="C72" t="s">
        <v>100</v>
      </c>
      <c r="D72" t="s">
        <v>30</v>
      </c>
      <c r="E72">
        <v>19</v>
      </c>
      <c r="F72" t="s">
        <v>33</v>
      </c>
      <c r="G72">
        <v>0.83</v>
      </c>
    </row>
    <row r="73" spans="2:7" x14ac:dyDescent="0.25">
      <c r="C73" t="s">
        <v>165</v>
      </c>
      <c r="D73" t="s">
        <v>30</v>
      </c>
      <c r="E73">
        <v>19</v>
      </c>
      <c r="F73" t="s">
        <v>33</v>
      </c>
      <c r="G73">
        <v>0.83</v>
      </c>
    </row>
    <row r="74" spans="2:7" x14ac:dyDescent="0.25">
      <c r="C74" t="s">
        <v>170</v>
      </c>
      <c r="D74" t="s">
        <v>30</v>
      </c>
      <c r="E74">
        <v>19</v>
      </c>
      <c r="F74" t="s">
        <v>33</v>
      </c>
      <c r="G74">
        <v>0.83</v>
      </c>
    </row>
    <row r="75" spans="2:7" x14ac:dyDescent="0.25">
      <c r="C75" t="s">
        <v>171</v>
      </c>
      <c r="D75" t="s">
        <v>30</v>
      </c>
      <c r="E75">
        <v>19</v>
      </c>
      <c r="F75" t="s">
        <v>33</v>
      </c>
      <c r="G75">
        <v>0.83</v>
      </c>
    </row>
    <row r="76" spans="2:7" x14ac:dyDescent="0.25">
      <c r="C76" t="s">
        <v>172</v>
      </c>
      <c r="D76" t="s">
        <v>30</v>
      </c>
      <c r="E76">
        <v>19</v>
      </c>
      <c r="F76" t="s">
        <v>33</v>
      </c>
      <c r="G76">
        <v>0.83</v>
      </c>
    </row>
    <row r="77" spans="2:7" x14ac:dyDescent="0.25">
      <c r="C77" t="s">
        <v>173</v>
      </c>
      <c r="D77" t="s">
        <v>30</v>
      </c>
      <c r="E77">
        <v>19</v>
      </c>
      <c r="F77" t="s">
        <v>33</v>
      </c>
      <c r="G77">
        <v>0.83</v>
      </c>
    </row>
    <row r="78" spans="2:7" x14ac:dyDescent="0.25">
      <c r="C78" t="s">
        <v>174</v>
      </c>
      <c r="D78" t="s">
        <v>30</v>
      </c>
      <c r="E78">
        <f>E62-SUM(E70:E77)</f>
        <v>17.379999999999995</v>
      </c>
      <c r="F78" t="s">
        <v>33</v>
      </c>
      <c r="G78">
        <v>0.83</v>
      </c>
    </row>
    <row r="81" spans="1:19" x14ac:dyDescent="0.25">
      <c r="A81">
        <v>2</v>
      </c>
      <c r="B81" t="s">
        <v>82</v>
      </c>
    </row>
    <row r="82" spans="1:19" x14ac:dyDescent="0.25">
      <c r="C82" t="s">
        <v>80</v>
      </c>
      <c r="D82" t="s">
        <v>30</v>
      </c>
      <c r="E82">
        <f>E70</f>
        <v>19</v>
      </c>
      <c r="F82" t="s">
        <v>33</v>
      </c>
    </row>
    <row r="83" spans="1:19" x14ac:dyDescent="0.25">
      <c r="C83" t="s">
        <v>149</v>
      </c>
      <c r="D83" t="s">
        <v>30</v>
      </c>
      <c r="E83">
        <f>G70</f>
        <v>0.83</v>
      </c>
    </row>
    <row r="84" spans="1:19" x14ac:dyDescent="0.25">
      <c r="C84" s="2" t="s">
        <v>145</v>
      </c>
      <c r="D84" s="2" t="s">
        <v>30</v>
      </c>
      <c r="E84" s="2">
        <v>0.5</v>
      </c>
    </row>
    <row r="86" spans="1:19" x14ac:dyDescent="0.25">
      <c r="G86" t="s">
        <v>5</v>
      </c>
      <c r="H86">
        <f>E8</f>
        <v>1.0809</v>
      </c>
      <c r="J86" t="s">
        <v>83</v>
      </c>
      <c r="K86">
        <v>130.25</v>
      </c>
      <c r="M86" t="s">
        <v>97</v>
      </c>
      <c r="N86">
        <f>E6</f>
        <v>407.51</v>
      </c>
      <c r="P86" t="s">
        <v>135</v>
      </c>
      <c r="R86" s="14" t="s">
        <v>30</v>
      </c>
      <c r="S86">
        <f>E82*C28/(E83*K86*K87)</f>
        <v>0.71364570754476808</v>
      </c>
    </row>
    <row r="87" spans="1:19" x14ac:dyDescent="0.25">
      <c r="B87" s="3"/>
      <c r="G87" t="s">
        <v>38</v>
      </c>
      <c r="H87">
        <v>469.35</v>
      </c>
      <c r="J87" t="s">
        <v>20</v>
      </c>
      <c r="K87">
        <f>H87*H86/2</f>
        <v>253.66020750000001</v>
      </c>
      <c r="M87" t="s">
        <v>98</v>
      </c>
      <c r="N87">
        <f>N86+E82</f>
        <v>426.51</v>
      </c>
      <c r="P87" t="s">
        <v>132</v>
      </c>
      <c r="R87" t="s">
        <v>30</v>
      </c>
      <c r="S87">
        <f>E84*2*K87/K86</f>
        <v>1.9474871976967372</v>
      </c>
    </row>
    <row r="88" spans="1:19" x14ac:dyDescent="0.25">
      <c r="B88" s="3"/>
      <c r="M88" t="s">
        <v>130</v>
      </c>
      <c r="N88">
        <f>E4</f>
        <v>297010</v>
      </c>
      <c r="P88" t="s">
        <v>133</v>
      </c>
      <c r="R88" t="s">
        <v>30</v>
      </c>
      <c r="S88">
        <f>(S86+S87)/2</f>
        <v>1.3305664526207526</v>
      </c>
    </row>
    <row r="89" spans="1:19" x14ac:dyDescent="0.25">
      <c r="B89" s="3"/>
      <c r="P89" t="s">
        <v>134</v>
      </c>
      <c r="R89" t="s">
        <v>30</v>
      </c>
      <c r="S89">
        <f>(S87-S86)/2</f>
        <v>0.6169207450759846</v>
      </c>
    </row>
    <row r="90" spans="1:19" x14ac:dyDescent="0.25">
      <c r="B90" s="3"/>
    </row>
    <row r="91" spans="1:19" x14ac:dyDescent="0.25">
      <c r="J91" t="s">
        <v>86</v>
      </c>
      <c r="K91">
        <f>90-ATAN(K87/K86-TAN((K92-90)/180*3.14))/3.14*180</f>
        <v>58.312639081595208</v>
      </c>
    </row>
    <row r="92" spans="1:19" x14ac:dyDescent="0.25">
      <c r="J92" t="s">
        <v>61</v>
      </c>
      <c r="K92">
        <f>ATAN(S88)/3.14*180+90</f>
        <v>143.09987483831162</v>
      </c>
    </row>
    <row r="93" spans="1:19" x14ac:dyDescent="0.25">
      <c r="J93" t="s">
        <v>55</v>
      </c>
      <c r="K93">
        <f>ATAN(S89)/3.14*180+90</f>
        <v>121.68736091840478</v>
      </c>
    </row>
    <row r="94" spans="1:19" x14ac:dyDescent="0.25">
      <c r="J94" t="s">
        <v>136</v>
      </c>
      <c r="K94">
        <f>90-ATAN(K87/K86-TAN((K93-90)/180*3.14))/3.14*180</f>
        <v>36.900125161688365</v>
      </c>
    </row>
    <row r="95" spans="1:19" x14ac:dyDescent="0.25">
      <c r="J95" t="s">
        <v>150</v>
      </c>
      <c r="K95">
        <f>'Comp IP'!K212</f>
        <v>44.488109896811942</v>
      </c>
    </row>
    <row r="97" spans="10:24" x14ac:dyDescent="0.25">
      <c r="J97" t="s">
        <v>16</v>
      </c>
      <c r="K97">
        <f>K86/COS((90-K91)/180*3.14)</f>
        <v>153.04187692176779</v>
      </c>
    </row>
    <row r="98" spans="10:24" x14ac:dyDescent="0.25">
      <c r="J98" t="s">
        <v>17</v>
      </c>
      <c r="K98">
        <f>K86/COS((K92-90)/180*3.14)</f>
        <v>216.79513219800282</v>
      </c>
    </row>
    <row r="99" spans="10:24" x14ac:dyDescent="0.25">
      <c r="J99" t="s">
        <v>117</v>
      </c>
      <c r="K99">
        <f>K86/COS((90-K94)/180*3.14)</f>
        <v>216.7951321980029</v>
      </c>
    </row>
    <row r="100" spans="10:24" x14ac:dyDescent="0.25">
      <c r="J100" t="s">
        <v>141</v>
      </c>
      <c r="K100">
        <f>K86/COS((K93-90)/180*3.14)</f>
        <v>153.04187692176777</v>
      </c>
    </row>
    <row r="101" spans="10:24" x14ac:dyDescent="0.25">
      <c r="J101" t="s">
        <v>88</v>
      </c>
      <c r="K101">
        <f>K86/COS((90-K95)/180*3.14)</f>
        <v>185.79314841945788</v>
      </c>
    </row>
    <row r="102" spans="10:24" x14ac:dyDescent="0.25">
      <c r="J102" t="s">
        <v>137</v>
      </c>
      <c r="M102">
        <f>K92-K93</f>
        <v>21.412513919906843</v>
      </c>
      <c r="T102" s="12"/>
      <c r="U102" s="12"/>
      <c r="V102" s="12"/>
      <c r="W102" s="12"/>
    </row>
    <row r="103" spans="10:24" x14ac:dyDescent="0.25">
      <c r="J103" t="s">
        <v>138</v>
      </c>
      <c r="M103">
        <f>COS((K92-90)/180*3.14)/COS((K93-90)/180*3.14)</f>
        <v>0.70592856661556369</v>
      </c>
      <c r="T103" s="12"/>
      <c r="U103" s="12"/>
      <c r="V103" s="12"/>
      <c r="W103" s="12"/>
    </row>
    <row r="104" spans="10:24" x14ac:dyDescent="0.25">
      <c r="J104" t="s">
        <v>145</v>
      </c>
      <c r="M104">
        <f>K86/(2*K87)*(S87)</f>
        <v>0.5</v>
      </c>
      <c r="T104" s="12"/>
      <c r="U104" s="12"/>
      <c r="V104" s="12"/>
      <c r="W104" s="12"/>
    </row>
    <row r="105" spans="10:24" x14ac:dyDescent="0.25">
      <c r="J105" t="s">
        <v>148</v>
      </c>
      <c r="M105">
        <f>K86*(TAN((90-K94)/180*3.14)-TAN((90-K91)/180*3.14))</f>
        <v>92.952353407705971</v>
      </c>
      <c r="T105" s="12"/>
      <c r="U105" s="12"/>
      <c r="V105" s="12"/>
      <c r="W105" s="12"/>
    </row>
    <row r="106" spans="10:24" x14ac:dyDescent="0.25">
      <c r="T106" s="12"/>
      <c r="U106" s="12"/>
      <c r="V106" s="12"/>
      <c r="W106" s="12"/>
    </row>
    <row r="107" spans="10:24" x14ac:dyDescent="0.25">
      <c r="M107" t="s">
        <v>18</v>
      </c>
      <c r="N107">
        <f>N86-0.5*K101^2/1005</f>
        <v>390.33632139322651</v>
      </c>
      <c r="P107" t="s">
        <v>144</v>
      </c>
      <c r="Q107">
        <f>N88/(N107*287)</f>
        <v>2.6512471221911915</v>
      </c>
      <c r="T107" t="s">
        <v>229</v>
      </c>
      <c r="U107">
        <f>N86</f>
        <v>407.51</v>
      </c>
      <c r="W107" t="s">
        <v>221</v>
      </c>
      <c r="X107">
        <f>U109/(U108*287)</f>
        <v>2.725653083847063</v>
      </c>
    </row>
    <row r="108" spans="10:24" x14ac:dyDescent="0.25">
      <c r="M108" t="s">
        <v>19</v>
      </c>
      <c r="N108">
        <f>N87-0.5*K99^2/1005</f>
        <v>403.12685107226389</v>
      </c>
      <c r="P108" s="15" t="s">
        <v>152</v>
      </c>
      <c r="Q108" s="15">
        <f>N120/(N108*287)</f>
        <v>2.8295747992293463</v>
      </c>
      <c r="T108" t="s">
        <v>218</v>
      </c>
      <c r="U108">
        <f>U107-0.5*K97^2/$C$28</f>
        <v>396.14018636323419</v>
      </c>
    </row>
    <row r="109" spans="10:24" x14ac:dyDescent="0.25">
      <c r="M109" t="s">
        <v>95</v>
      </c>
      <c r="N109">
        <f>N88+0.5*Q107*K101^2</f>
        <v>342769.32431356283</v>
      </c>
      <c r="T109" t="s">
        <v>220</v>
      </c>
      <c r="U109">
        <f>N109/((N86/U108)^($C$27/($C$27-1)))</f>
        <v>309885.58681125275</v>
      </c>
    </row>
    <row r="110" spans="10:24" x14ac:dyDescent="0.25">
      <c r="T110" t="s">
        <v>219</v>
      </c>
      <c r="U110">
        <f>U109+X107*K97^2/2</f>
        <v>341805.45944112435</v>
      </c>
    </row>
    <row r="111" spans="10:24" x14ac:dyDescent="0.25">
      <c r="M111" t="s">
        <v>26</v>
      </c>
      <c r="T111" s="12"/>
      <c r="U111" s="12"/>
      <c r="V111" s="12"/>
      <c r="W111" s="12"/>
    </row>
    <row r="112" spans="10:24" x14ac:dyDescent="0.25">
      <c r="N112" t="s">
        <v>230</v>
      </c>
      <c r="T112" s="12"/>
      <c r="U112" s="12"/>
      <c r="V112" s="12"/>
      <c r="W112" s="12"/>
    </row>
    <row r="113" spans="1:24" x14ac:dyDescent="0.25">
      <c r="O113" t="s">
        <v>231</v>
      </c>
      <c r="P113">
        <f>Comp_combine!AC5</f>
        <v>0.95337700373079892</v>
      </c>
      <c r="T113" s="12"/>
      <c r="U113" s="12"/>
      <c r="V113" s="12"/>
      <c r="W113" s="12"/>
    </row>
    <row r="114" spans="1:24" x14ac:dyDescent="0.25">
      <c r="T114" s="12"/>
      <c r="U114" s="12"/>
      <c r="V114" s="12"/>
      <c r="W114" s="12"/>
    </row>
    <row r="115" spans="1:24" x14ac:dyDescent="0.25">
      <c r="T115" s="12"/>
      <c r="U115" s="12"/>
      <c r="V115" s="12"/>
      <c r="W115" s="12"/>
    </row>
    <row r="116" spans="1:24" x14ac:dyDescent="0.25">
      <c r="N116" t="s">
        <v>140</v>
      </c>
      <c r="O116">
        <f>(1+P113*E82/N86)^($C$27/($C$27-1))</f>
        <v>1.1676664078688952</v>
      </c>
      <c r="T116" s="12"/>
      <c r="U116" s="12"/>
      <c r="V116" s="12"/>
      <c r="W116" s="12"/>
    </row>
    <row r="117" spans="1:24" x14ac:dyDescent="0.25">
      <c r="T117" s="12"/>
      <c r="U117" s="12"/>
      <c r="V117" s="12"/>
      <c r="W117" s="12"/>
    </row>
    <row r="118" spans="1:24" x14ac:dyDescent="0.25">
      <c r="T118" s="12"/>
      <c r="U118" s="12"/>
      <c r="V118" s="12"/>
      <c r="W118" s="12"/>
    </row>
    <row r="119" spans="1:24" x14ac:dyDescent="0.25">
      <c r="M119" t="s">
        <v>96</v>
      </c>
      <c r="N119">
        <f>O116*N109</f>
        <v>400240.22564886627</v>
      </c>
    </row>
    <row r="120" spans="1:24" x14ac:dyDescent="0.25">
      <c r="M120" s="15" t="s">
        <v>146</v>
      </c>
      <c r="N120" s="15">
        <f>N119*(N108/N87)^($C$27/($C$27-1))</f>
        <v>327374.46508310002</v>
      </c>
    </row>
    <row r="121" spans="1:24" x14ac:dyDescent="0.25">
      <c r="A121">
        <v>3</v>
      </c>
      <c r="B121" t="s">
        <v>147</v>
      </c>
    </row>
    <row r="122" spans="1:24" x14ac:dyDescent="0.25">
      <c r="C122" t="s">
        <v>81</v>
      </c>
      <c r="D122" t="s">
        <v>30</v>
      </c>
      <c r="E122">
        <f>E71</f>
        <v>19</v>
      </c>
      <c r="F122" t="s">
        <v>33</v>
      </c>
    </row>
    <row r="123" spans="1:24" x14ac:dyDescent="0.25">
      <c r="C123" t="s">
        <v>149</v>
      </c>
      <c r="D123" t="s">
        <v>30</v>
      </c>
      <c r="E123">
        <f>G71</f>
        <v>0.83</v>
      </c>
    </row>
    <row r="124" spans="1:24" x14ac:dyDescent="0.25">
      <c r="C124" s="2" t="s">
        <v>145</v>
      </c>
      <c r="D124" s="2" t="s">
        <v>30</v>
      </c>
      <c r="E124" s="2">
        <v>0.5</v>
      </c>
    </row>
    <row r="126" spans="1:24" x14ac:dyDescent="0.25">
      <c r="G126" t="s">
        <v>5</v>
      </c>
      <c r="H126">
        <f>H86-($E$8-$E$9)/8</f>
        <v>1.0724125</v>
      </c>
      <c r="J126" t="s">
        <v>83</v>
      </c>
      <c r="K126">
        <v>130.25</v>
      </c>
      <c r="M126" t="s">
        <v>97</v>
      </c>
      <c r="N126">
        <f>N87</f>
        <v>426.51</v>
      </c>
      <c r="P126" t="s">
        <v>135</v>
      </c>
      <c r="R126" s="14" t="s">
        <v>30</v>
      </c>
      <c r="S126">
        <f>E122*1005/(E123*K126*K127)</f>
        <v>0.70183519714731335</v>
      </c>
      <c r="T126" s="12"/>
      <c r="U126" s="12"/>
      <c r="V126" s="12"/>
      <c r="W126" s="12"/>
      <c r="X126" s="12"/>
    </row>
    <row r="127" spans="1:24" x14ac:dyDescent="0.25">
      <c r="G127" t="s">
        <v>38</v>
      </c>
      <c r="H127">
        <v>469.35</v>
      </c>
      <c r="J127" t="s">
        <v>20</v>
      </c>
      <c r="K127">
        <f>H127*H126/2</f>
        <v>251.66840343750002</v>
      </c>
      <c r="M127" t="s">
        <v>98</v>
      </c>
      <c r="N127">
        <f>N126+E122</f>
        <v>445.51</v>
      </c>
      <c r="P127" t="s">
        <v>132</v>
      </c>
      <c r="R127" t="s">
        <v>30</v>
      </c>
      <c r="S127">
        <f>E124*2*K127/K126</f>
        <v>1.9321950359884839</v>
      </c>
      <c r="T127" s="12"/>
      <c r="U127" s="12"/>
      <c r="V127" s="12"/>
      <c r="W127" s="12"/>
      <c r="X127" s="12"/>
    </row>
    <row r="128" spans="1:24" x14ac:dyDescent="0.25">
      <c r="M128" s="15" t="s">
        <v>130</v>
      </c>
      <c r="N128" s="15">
        <f>N120</f>
        <v>327374.46508310002</v>
      </c>
      <c r="P128" t="s">
        <v>133</v>
      </c>
      <c r="R128" t="s">
        <v>30</v>
      </c>
      <c r="S128">
        <f>(S126+S127)/2</f>
        <v>1.3170151165678985</v>
      </c>
      <c r="T128" s="12"/>
      <c r="U128" s="12"/>
      <c r="V128" s="12"/>
      <c r="W128" s="12"/>
      <c r="X128" s="12"/>
    </row>
    <row r="129" spans="1:24" x14ac:dyDescent="0.25">
      <c r="P129" t="s">
        <v>134</v>
      </c>
      <c r="R129" t="s">
        <v>30</v>
      </c>
      <c r="S129">
        <f>(S127-S126)/2</f>
        <v>0.61517991942058525</v>
      </c>
      <c r="V129" s="12"/>
      <c r="W129" s="12"/>
      <c r="X129" s="12"/>
    </row>
    <row r="130" spans="1:24" x14ac:dyDescent="0.25">
      <c r="V130" s="12"/>
      <c r="W130" s="12"/>
      <c r="X130" s="12"/>
    </row>
    <row r="131" spans="1:24" x14ac:dyDescent="0.25">
      <c r="J131" t="s">
        <v>86</v>
      </c>
      <c r="K131">
        <f>90-ATAN(K127/K126-TAN((K132-90)/180*3.14))/3.14*180</f>
        <v>58.384977792993638</v>
      </c>
      <c r="V131" s="12"/>
      <c r="W131" s="12"/>
      <c r="X131" s="12"/>
    </row>
    <row r="132" spans="1:24" x14ac:dyDescent="0.25">
      <c r="J132" t="s">
        <v>61</v>
      </c>
      <c r="K132">
        <f>ATAN(S128)/3.14*180+90</f>
        <v>142.81763801191477</v>
      </c>
      <c r="V132" s="12"/>
      <c r="W132" s="12"/>
      <c r="X132" s="12"/>
    </row>
    <row r="133" spans="1:24" x14ac:dyDescent="0.25">
      <c r="J133" t="s">
        <v>55</v>
      </c>
      <c r="K133">
        <f>ATAN(S129)/3.14*180+90</f>
        <v>121.6150222070064</v>
      </c>
      <c r="V133" s="12"/>
      <c r="W133" s="12"/>
      <c r="X133" s="12"/>
    </row>
    <row r="134" spans="1:24" x14ac:dyDescent="0.25">
      <c r="J134" t="s">
        <v>136</v>
      </c>
      <c r="K134">
        <f>90-ATAN(K127/K126-TAN((K133-90)/180*3.14))/3.14*180</f>
        <v>37.182361988085248</v>
      </c>
      <c r="V134" s="12"/>
      <c r="W134" s="12"/>
      <c r="X134" s="12"/>
    </row>
    <row r="135" spans="1:24" x14ac:dyDescent="0.25">
      <c r="J135" t="s">
        <v>150</v>
      </c>
      <c r="K135">
        <f>K94</f>
        <v>36.900125161688365</v>
      </c>
      <c r="V135" s="12"/>
      <c r="W135" s="12"/>
      <c r="X135" s="12"/>
    </row>
    <row r="136" spans="1:24" x14ac:dyDescent="0.25">
      <c r="V136" s="12"/>
      <c r="W136" s="12"/>
      <c r="X136" s="12"/>
    </row>
    <row r="137" spans="1:2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t="s">
        <v>16</v>
      </c>
      <c r="K137">
        <f>K126/COS((90-K131)/180*3.14)</f>
        <v>152.92294856110763</v>
      </c>
      <c r="N137" s="12"/>
      <c r="O137" s="12"/>
      <c r="P137" s="12"/>
      <c r="Q137" s="12"/>
      <c r="R137" s="12"/>
      <c r="S137" s="12"/>
      <c r="V137" s="12"/>
      <c r="W137" s="12"/>
      <c r="X137" s="12"/>
    </row>
    <row r="138" spans="1:2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t="s">
        <v>17</v>
      </c>
      <c r="K138">
        <f>K126/COS((K132-90)/180*3.14)</f>
        <v>215.38675050478093</v>
      </c>
      <c r="N138" s="12"/>
      <c r="O138" s="12"/>
      <c r="P138" s="12"/>
      <c r="Q138" s="12"/>
      <c r="R138" s="12"/>
      <c r="S138" s="12"/>
      <c r="V138" s="12"/>
      <c r="W138" s="12"/>
      <c r="X138" s="12"/>
    </row>
    <row r="139" spans="1:2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t="s">
        <v>117</v>
      </c>
      <c r="K139">
        <f>K126/COS((90-K134)/180*3.14)</f>
        <v>215.38675050478085</v>
      </c>
      <c r="N139" s="12"/>
      <c r="O139" s="12"/>
      <c r="P139" s="12"/>
      <c r="Q139" s="12"/>
      <c r="R139" s="12"/>
      <c r="S139" s="12"/>
    </row>
    <row r="140" spans="1:2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t="s">
        <v>141</v>
      </c>
      <c r="K140">
        <f>K126/COS((K133-90)/180*3.14)</f>
        <v>152.92294856110772</v>
      </c>
      <c r="N140" s="12"/>
      <c r="O140" s="12"/>
      <c r="P140" s="12"/>
      <c r="Q140" s="12"/>
      <c r="R140" s="12"/>
      <c r="S140" s="12"/>
    </row>
    <row r="141" spans="1:2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t="s">
        <v>88</v>
      </c>
      <c r="K141">
        <f>K126/COS((90-K135)/180*3.14)</f>
        <v>216.7951321980029</v>
      </c>
      <c r="N141" s="12"/>
      <c r="O141" s="12"/>
      <c r="P141" s="12"/>
      <c r="Q141" s="12"/>
      <c r="R141" s="12"/>
      <c r="S141" s="12"/>
    </row>
    <row r="142" spans="1:2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t="s">
        <v>137</v>
      </c>
      <c r="M142">
        <f>K132-K133</f>
        <v>21.202615804908362</v>
      </c>
      <c r="N142" s="12"/>
      <c r="O142" s="12"/>
      <c r="P142" s="12"/>
      <c r="Q142" s="12"/>
      <c r="R142" s="12"/>
      <c r="S142" s="12"/>
    </row>
    <row r="143" spans="1:2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t="s">
        <v>138</v>
      </c>
      <c r="M143">
        <f>COS((K132-90)/180*3.14)/COS((K133-90)/180*3.14)</f>
        <v>0.70999236583827519</v>
      </c>
      <c r="N143" s="12"/>
      <c r="O143" s="12"/>
      <c r="P143" s="12"/>
      <c r="Q143" s="12"/>
      <c r="R143" s="12"/>
      <c r="S143" s="12"/>
    </row>
    <row r="144" spans="1:24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t="s">
        <v>145</v>
      </c>
      <c r="M144">
        <f>K126/(2*K127)*(S127)</f>
        <v>0.5</v>
      </c>
      <c r="N144" s="12"/>
      <c r="O144" s="12"/>
      <c r="P144" s="12"/>
      <c r="Q144" s="12"/>
      <c r="R144" s="12"/>
      <c r="S144" s="12"/>
      <c r="T144" s="12"/>
      <c r="U144" s="12"/>
    </row>
    <row r="145" spans="1:24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t="s">
        <v>148</v>
      </c>
      <c r="M145">
        <f>K126*(TAN((90-K134)/180*3.14)-TAN((90-K131)/180*3.14))</f>
        <v>91.414034428437617</v>
      </c>
      <c r="N145" s="12"/>
      <c r="O145" s="12"/>
      <c r="P145" s="12"/>
      <c r="Q145" s="12"/>
      <c r="R145" s="12"/>
      <c r="S145" s="12"/>
      <c r="T145" s="12"/>
      <c r="U145" s="12"/>
    </row>
    <row r="146" spans="1:24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4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t="s">
        <v>18</v>
      </c>
      <c r="N147">
        <f>N126-0.5*K141^2/$C$28</f>
        <v>403.6944032307041</v>
      </c>
      <c r="P147" s="15" t="s">
        <v>144</v>
      </c>
      <c r="Q147" s="15">
        <f>N128/(N147*287)</f>
        <v>2.8255967126571306</v>
      </c>
      <c r="R147" s="12"/>
      <c r="S147" s="12"/>
      <c r="T147" t="s">
        <v>229</v>
      </c>
      <c r="U147">
        <f>N126</f>
        <v>426.51</v>
      </c>
      <c r="W147" t="s">
        <v>221</v>
      </c>
      <c r="X147">
        <f>U149/(U148*287)</f>
        <v>3.051186032839956</v>
      </c>
    </row>
    <row r="148" spans="1:24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t="s">
        <v>19</v>
      </c>
      <c r="N148">
        <f>N127-0.5*K139^2/$C$28</f>
        <v>422.98987752766567</v>
      </c>
      <c r="P148" s="15" t="s">
        <v>152</v>
      </c>
      <c r="Q148" s="15">
        <f>N160/(N148*287)</f>
        <v>3.166462316641617</v>
      </c>
      <c r="R148" s="12"/>
      <c r="S148" s="12"/>
      <c r="T148" t="s">
        <v>218</v>
      </c>
      <c r="U148">
        <f>U147-0.5*K137^2/$C$28</f>
        <v>415.15785038998877</v>
      </c>
    </row>
    <row r="149" spans="1:24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t="s">
        <v>95</v>
      </c>
      <c r="N149">
        <f>N119</f>
        <v>400240.22564886627</v>
      </c>
      <c r="R149" s="12"/>
      <c r="S149" s="12"/>
      <c r="T149" t="s">
        <v>220</v>
      </c>
      <c r="U149">
        <f>N149/((N126/U148)^($C$27/($C$27-1)))</f>
        <v>363549.74051119882</v>
      </c>
    </row>
    <row r="150" spans="1:24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R150" s="12"/>
      <c r="S150" s="12"/>
      <c r="T150" t="s">
        <v>219</v>
      </c>
      <c r="U150">
        <f>U149+X147*K137^2/2</f>
        <v>399226.386453958</v>
      </c>
    </row>
    <row r="151" spans="1:24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t="s">
        <v>26</v>
      </c>
      <c r="R151" s="12"/>
      <c r="S151" s="12"/>
      <c r="T151" s="12"/>
      <c r="U151" s="12"/>
    </row>
    <row r="152" spans="1:24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t="s">
        <v>230</v>
      </c>
      <c r="R152" s="12"/>
      <c r="S152" s="12"/>
      <c r="T152" s="12"/>
      <c r="U152" s="12"/>
    </row>
    <row r="153" spans="1:24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O153" t="s">
        <v>231</v>
      </c>
      <c r="P153">
        <f>Comp_combine!AD5</f>
        <v>0.92881242655761476</v>
      </c>
      <c r="R153" s="12"/>
      <c r="S153" s="12"/>
      <c r="T153" s="12"/>
      <c r="U153" s="12"/>
    </row>
    <row r="154" spans="1:24" x14ac:dyDescent="0.25">
      <c r="T154" s="12"/>
      <c r="U154" s="12"/>
    </row>
    <row r="155" spans="1:24" x14ac:dyDescent="0.25">
      <c r="T155" s="12"/>
      <c r="U155" s="12"/>
    </row>
    <row r="156" spans="1:24" x14ac:dyDescent="0.25">
      <c r="N156" t="s">
        <v>140</v>
      </c>
      <c r="O156">
        <f>(1+P153*E122/N126)^($C$27/($C$27-1))</f>
        <v>1.1554621340419213</v>
      </c>
      <c r="T156" s="12"/>
      <c r="U156" s="12"/>
    </row>
    <row r="157" spans="1:24" x14ac:dyDescent="0.25">
      <c r="T157" s="12"/>
      <c r="U157" s="12"/>
    </row>
    <row r="158" spans="1:24" x14ac:dyDescent="0.25">
      <c r="T158" s="12"/>
      <c r="U158" s="12"/>
    </row>
    <row r="159" spans="1:24" x14ac:dyDescent="0.25">
      <c r="M159" t="s">
        <v>96</v>
      </c>
      <c r="N159">
        <f>N149*O156</f>
        <v>462462.42525765917</v>
      </c>
      <c r="T159" s="12"/>
      <c r="U159" s="12"/>
    </row>
    <row r="160" spans="1:24" x14ac:dyDescent="0.25">
      <c r="M160" s="15" t="s">
        <v>146</v>
      </c>
      <c r="N160" s="15">
        <f>N159*(N148/N127)^($C$27/($C$27-1))</f>
        <v>384402.49265600316</v>
      </c>
      <c r="T160" s="12"/>
      <c r="U160" s="12"/>
    </row>
    <row r="161" spans="1:20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20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20" x14ac:dyDescent="0.25">
      <c r="A163">
        <v>4</v>
      </c>
      <c r="B163" t="s">
        <v>167</v>
      </c>
    </row>
    <row r="164" spans="1:20" x14ac:dyDescent="0.25">
      <c r="C164" t="s">
        <v>81</v>
      </c>
      <c r="D164" t="s">
        <v>30</v>
      </c>
      <c r="E164">
        <f>E72</f>
        <v>19</v>
      </c>
      <c r="F164" t="s">
        <v>33</v>
      </c>
    </row>
    <row r="165" spans="1:20" x14ac:dyDescent="0.25">
      <c r="C165" t="s">
        <v>149</v>
      </c>
      <c r="D165" t="s">
        <v>30</v>
      </c>
      <c r="E165">
        <f>G72</f>
        <v>0.83</v>
      </c>
    </row>
    <row r="166" spans="1:20" x14ac:dyDescent="0.25">
      <c r="C166" s="2" t="s">
        <v>145</v>
      </c>
      <c r="D166" s="2" t="s">
        <v>30</v>
      </c>
      <c r="E166" s="2">
        <v>0.5</v>
      </c>
    </row>
    <row r="168" spans="1:20" x14ac:dyDescent="0.25">
      <c r="G168" t="s">
        <v>5</v>
      </c>
      <c r="H168">
        <f>H126-($E$8-$E$9)/8</f>
        <v>1.063925</v>
      </c>
      <c r="J168" t="s">
        <v>83</v>
      </c>
      <c r="K168">
        <v>130.25</v>
      </c>
      <c r="M168" t="s">
        <v>97</v>
      </c>
      <c r="N168">
        <f>N127</f>
        <v>445.51</v>
      </c>
      <c r="P168" t="s">
        <v>135</v>
      </c>
      <c r="R168" s="14" t="s">
        <v>30</v>
      </c>
      <c r="S168">
        <f>E164*1005/(E165*K168*K169)</f>
        <v>0.70743411270601142</v>
      </c>
      <c r="T168" s="12"/>
    </row>
    <row r="169" spans="1:20" x14ac:dyDescent="0.25">
      <c r="G169" t="s">
        <v>38</v>
      </c>
      <c r="H169">
        <v>469.35</v>
      </c>
      <c r="J169" t="s">
        <v>20</v>
      </c>
      <c r="K169">
        <f>H169*H168/2</f>
        <v>249.67659937500002</v>
      </c>
      <c r="M169" t="s">
        <v>98</v>
      </c>
      <c r="N169">
        <f>N168+E164</f>
        <v>464.51</v>
      </c>
      <c r="P169" t="s">
        <v>132</v>
      </c>
      <c r="R169" t="s">
        <v>30</v>
      </c>
      <c r="S169">
        <f>E166*2*K169/K168</f>
        <v>1.9169028742802305</v>
      </c>
      <c r="T169" s="12"/>
    </row>
    <row r="170" spans="1:20" x14ac:dyDescent="0.25">
      <c r="M170" s="15" t="s">
        <v>130</v>
      </c>
      <c r="N170" s="15">
        <f>N160</f>
        <v>384402.49265600316</v>
      </c>
      <c r="P170" t="s">
        <v>133</v>
      </c>
      <c r="R170" t="s">
        <v>30</v>
      </c>
      <c r="S170">
        <f>(S168+S169)/2</f>
        <v>1.312168493493121</v>
      </c>
      <c r="T170" s="12"/>
    </row>
    <row r="171" spans="1:20" x14ac:dyDescent="0.25">
      <c r="P171" t="s">
        <v>134</v>
      </c>
      <c r="R171" t="s">
        <v>30</v>
      </c>
      <c r="S171">
        <f>(S169-S168)/2</f>
        <v>0.6047343807871095</v>
      </c>
    </row>
    <row r="173" spans="1:20" x14ac:dyDescent="0.25">
      <c r="J173" t="s">
        <v>86</v>
      </c>
      <c r="K173">
        <f>90-ATAN(K169/K168-TAN((K174-90)/180*3.14))/3.14*180</f>
        <v>58.821397870674502</v>
      </c>
    </row>
    <row r="174" spans="1:20" x14ac:dyDescent="0.25">
      <c r="J174" t="s">
        <v>61</v>
      </c>
      <c r="K174">
        <f>ATAN(S170)/3.14*180+90</f>
        <v>142.71579902307121</v>
      </c>
    </row>
    <row r="175" spans="1:20" x14ac:dyDescent="0.25">
      <c r="J175" t="s">
        <v>55</v>
      </c>
      <c r="K175">
        <f>ATAN(S171)/3.14*180+90</f>
        <v>121.17860212932547</v>
      </c>
    </row>
    <row r="176" spans="1:20" x14ac:dyDescent="0.25">
      <c r="J176" t="s">
        <v>136</v>
      </c>
      <c r="K176">
        <f>90-ATAN(K169/K168-TAN((K175-90)/180*3.14))/3.14*180</f>
        <v>37.28420097692878</v>
      </c>
    </row>
    <row r="177" spans="1:24" x14ac:dyDescent="0.25">
      <c r="J177" t="s">
        <v>150</v>
      </c>
      <c r="K177">
        <f>K134</f>
        <v>37.182361988085248</v>
      </c>
    </row>
    <row r="179" spans="1:24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t="s">
        <v>16</v>
      </c>
      <c r="K179">
        <f>K168/COS((90-K173)/180*3.14)</f>
        <v>152.21448071778593</v>
      </c>
      <c r="N179" s="12"/>
      <c r="O179" s="12"/>
      <c r="P179" s="12"/>
      <c r="Q179" s="12"/>
      <c r="R179" s="12"/>
      <c r="S179" s="12"/>
    </row>
    <row r="180" spans="1:24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t="s">
        <v>17</v>
      </c>
      <c r="K180">
        <f>K168/COS((K174-90)/180*3.14)</f>
        <v>214.88432291949721</v>
      </c>
      <c r="N180" s="12"/>
      <c r="O180" s="12"/>
      <c r="P180" s="12"/>
      <c r="Q180" s="12"/>
      <c r="R180" s="12"/>
      <c r="S180" s="12"/>
    </row>
    <row r="181" spans="1:2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t="s">
        <v>117</v>
      </c>
      <c r="K181">
        <f>K168/COS((90-K176)/180*3.14)</f>
        <v>214.88432291949724</v>
      </c>
      <c r="N181" s="12"/>
      <c r="O181" s="12"/>
      <c r="P181" s="12"/>
      <c r="Q181" s="12"/>
      <c r="R181" s="12"/>
      <c r="S181" s="12"/>
    </row>
    <row r="182" spans="1:2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t="s">
        <v>141</v>
      </c>
      <c r="K182">
        <f>K168/COS((K175-90)/180*3.14)</f>
        <v>152.21448071778588</v>
      </c>
      <c r="N182" s="12"/>
      <c r="O182" s="12"/>
      <c r="P182" s="12"/>
      <c r="Q182" s="12"/>
      <c r="R182" s="12"/>
      <c r="S182" s="12"/>
    </row>
    <row r="183" spans="1:24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t="s">
        <v>88</v>
      </c>
      <c r="K183">
        <f>K168/COS((90-K177)/180*3.14)</f>
        <v>215.38675050478085</v>
      </c>
      <c r="N183" s="12"/>
      <c r="O183" s="12"/>
      <c r="P183" s="12"/>
      <c r="Q183" s="12"/>
      <c r="R183" s="12"/>
      <c r="S183" s="12"/>
    </row>
    <row r="184" spans="1:24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t="s">
        <v>137</v>
      </c>
      <c r="M184">
        <f>K174-K175</f>
        <v>21.537196893745744</v>
      </c>
      <c r="N184" s="12"/>
      <c r="O184" s="12"/>
      <c r="P184" s="12"/>
      <c r="Q184" s="12"/>
      <c r="R184" s="12"/>
      <c r="S184" s="12"/>
    </row>
    <row r="185" spans="1:24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t="s">
        <v>138</v>
      </c>
      <c r="M185">
        <f>COS((K174-90)/180*3.14)/COS((K175-90)/180*3.14)</f>
        <v>0.7083554474786441</v>
      </c>
      <c r="N185" s="12"/>
      <c r="O185" s="12"/>
      <c r="P185" s="12"/>
      <c r="Q185" s="12"/>
      <c r="R185" s="12"/>
      <c r="S185" s="12"/>
    </row>
    <row r="186" spans="1:24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t="s">
        <v>145</v>
      </c>
      <c r="M186">
        <f>K168/(2*K169)*(S169)</f>
        <v>0.5</v>
      </c>
      <c r="N186" s="12"/>
      <c r="O186" s="12"/>
      <c r="P186" s="12"/>
      <c r="Q186" s="12"/>
      <c r="R186" s="12"/>
      <c r="S186" s="12"/>
      <c r="T186" s="12"/>
    </row>
    <row r="187" spans="1:24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t="s">
        <v>148</v>
      </c>
      <c r="M187">
        <f>K168*(TAN((90-K176)/180*3.14)-TAN((90-K173)/180*3.14))</f>
        <v>92.143293179957993</v>
      </c>
      <c r="N187" s="12"/>
      <c r="O187" s="12"/>
      <c r="P187" s="12"/>
      <c r="Q187" s="12"/>
      <c r="R187" s="12"/>
      <c r="S187" s="12"/>
      <c r="T187" s="12"/>
    </row>
    <row r="188" spans="1:24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4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t="s">
        <v>18</v>
      </c>
      <c r="N189">
        <f>N168-0.5*K183^2/$C$28</f>
        <v>422.98987752766567</v>
      </c>
      <c r="P189" s="15" t="s">
        <v>144</v>
      </c>
      <c r="Q189" s="15">
        <f>N170/(N189*287)</f>
        <v>3.166462316641617</v>
      </c>
      <c r="R189" s="12"/>
      <c r="S189" s="12"/>
      <c r="T189" t="s">
        <v>229</v>
      </c>
      <c r="U189">
        <f>N168</f>
        <v>445.51</v>
      </c>
      <c r="W189" t="s">
        <v>221</v>
      </c>
      <c r="X189">
        <f>U191/(U190*287)</f>
        <v>3.3873740769122236</v>
      </c>
    </row>
    <row r="190" spans="1:24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t="s">
        <v>19</v>
      </c>
      <c r="N190">
        <f>N169-0.5*K181^2/$C$28</f>
        <v>442.09481930263553</v>
      </c>
      <c r="P190" s="15" t="s">
        <v>152</v>
      </c>
      <c r="Q190" s="15">
        <f>N202/(N190*287)</f>
        <v>3.5099437883692279</v>
      </c>
      <c r="R190" s="12"/>
      <c r="S190" s="12"/>
      <c r="T190" t="s">
        <v>218</v>
      </c>
      <c r="U190">
        <f>U189-0.5*K179^2/$C$28</f>
        <v>434.26279216495863</v>
      </c>
    </row>
    <row r="191" spans="1:24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t="s">
        <v>95</v>
      </c>
      <c r="N191">
        <f>N159</f>
        <v>462462.42525765917</v>
      </c>
      <c r="R191" s="12"/>
      <c r="S191" s="12"/>
      <c r="T191" t="s">
        <v>220</v>
      </c>
      <c r="U191">
        <f>N191/((N168/U190)^($C$27/($C$27-1)))</f>
        <v>422180.02060241817</v>
      </c>
    </row>
    <row r="192" spans="1:24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R192" s="12"/>
      <c r="S192" s="12"/>
      <c r="T192" t="s">
        <v>219</v>
      </c>
      <c r="U192">
        <f>U191+X189*K179^2/2</f>
        <v>461421.47586822324</v>
      </c>
    </row>
    <row r="193" spans="1:22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t="s">
        <v>26</v>
      </c>
      <c r="R193" s="12"/>
      <c r="S193" s="12"/>
      <c r="T193" s="12"/>
    </row>
    <row r="194" spans="1:22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N194" t="s">
        <v>230</v>
      </c>
      <c r="R194" s="12"/>
      <c r="S194" s="12"/>
      <c r="T194" s="12"/>
    </row>
    <row r="195" spans="1:22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O195" t="s">
        <v>231</v>
      </c>
      <c r="P195">
        <f>Comp_combine!AE5</f>
        <v>0.92953762478689295</v>
      </c>
      <c r="R195" s="12"/>
      <c r="S195" s="12"/>
      <c r="T195" s="12"/>
    </row>
    <row r="196" spans="1:22" x14ac:dyDescent="0.25">
      <c r="T196" s="12"/>
    </row>
    <row r="197" spans="1:22" x14ac:dyDescent="0.25">
      <c r="T197" s="12"/>
    </row>
    <row r="198" spans="1:22" x14ac:dyDescent="0.25">
      <c r="N198" t="s">
        <v>140</v>
      </c>
      <c r="O198">
        <f>(1+P195*E164/N168)^($C$27/($C$27-1))</f>
        <v>1.1486208079088291</v>
      </c>
      <c r="T198" s="12"/>
    </row>
    <row r="199" spans="1:22" x14ac:dyDescent="0.25">
      <c r="T199" s="12"/>
    </row>
    <row r="200" spans="1:22" x14ac:dyDescent="0.25">
      <c r="T200" s="12"/>
    </row>
    <row r="201" spans="1:22" x14ac:dyDescent="0.25">
      <c r="M201" t="s">
        <v>96</v>
      </c>
      <c r="N201">
        <f>N191*O198</f>
        <v>531193.96452692896</v>
      </c>
      <c r="T201" s="12"/>
    </row>
    <row r="202" spans="1:22" x14ac:dyDescent="0.25">
      <c r="M202" s="15" t="s">
        <v>146</v>
      </c>
      <c r="N202" s="15">
        <f>N201*(N190/N169)^($C$27/($C$27-1))</f>
        <v>445345.92592099099</v>
      </c>
      <c r="T202" s="12"/>
    </row>
    <row r="203" spans="1:22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22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22" x14ac:dyDescent="0.25">
      <c r="A205">
        <v>5</v>
      </c>
      <c r="B205" t="s">
        <v>175</v>
      </c>
      <c r="U205" s="12"/>
      <c r="V205" s="12"/>
    </row>
    <row r="206" spans="1:22" x14ac:dyDescent="0.25">
      <c r="C206" t="s">
        <v>165</v>
      </c>
      <c r="D206" t="s">
        <v>30</v>
      </c>
      <c r="E206">
        <f>E73</f>
        <v>19</v>
      </c>
      <c r="F206" t="s">
        <v>33</v>
      </c>
      <c r="V206" s="12"/>
    </row>
    <row r="207" spans="1:22" x14ac:dyDescent="0.25">
      <c r="C207" t="s">
        <v>149</v>
      </c>
      <c r="D207" t="s">
        <v>30</v>
      </c>
      <c r="E207">
        <f>G73</f>
        <v>0.83</v>
      </c>
      <c r="V207" s="12"/>
    </row>
    <row r="208" spans="1:22" x14ac:dyDescent="0.25">
      <c r="C208" s="2" t="s">
        <v>145</v>
      </c>
      <c r="D208" s="2" t="s">
        <v>30</v>
      </c>
      <c r="E208" s="2">
        <v>0.5</v>
      </c>
      <c r="V208" s="12"/>
    </row>
    <row r="209" spans="1:22" x14ac:dyDescent="0.25">
      <c r="V209" s="12"/>
    </row>
    <row r="210" spans="1:22" x14ac:dyDescent="0.25">
      <c r="G210" t="s">
        <v>5</v>
      </c>
      <c r="H210">
        <f>H168-($E$8-$E$9)/8</f>
        <v>1.0554375</v>
      </c>
      <c r="J210" t="s">
        <v>83</v>
      </c>
      <c r="K210">
        <v>130.25</v>
      </c>
      <c r="M210" t="s">
        <v>97</v>
      </c>
      <c r="N210">
        <f>N169</f>
        <v>464.51</v>
      </c>
      <c r="P210" t="s">
        <v>135</v>
      </c>
      <c r="R210" s="14" t="s">
        <v>30</v>
      </c>
      <c r="S210">
        <f>E206*1005/(E207*K210*K211)</f>
        <v>0.71312307773860906</v>
      </c>
      <c r="T210" s="12"/>
      <c r="V210" s="12"/>
    </row>
    <row r="211" spans="1:22" x14ac:dyDescent="0.25">
      <c r="G211" t="s">
        <v>38</v>
      </c>
      <c r="H211">
        <v>469.35</v>
      </c>
      <c r="J211" t="s">
        <v>20</v>
      </c>
      <c r="K211">
        <f>H211*H210/2</f>
        <v>247.68479531250003</v>
      </c>
      <c r="M211" t="s">
        <v>98</v>
      </c>
      <c r="N211">
        <f>N210+E206</f>
        <v>483.51</v>
      </c>
      <c r="P211" t="s">
        <v>132</v>
      </c>
      <c r="R211" t="s">
        <v>30</v>
      </c>
      <c r="S211">
        <f>E208*2*K211/K210</f>
        <v>1.9016107125719772</v>
      </c>
      <c r="T211" s="12"/>
      <c r="V211" s="12"/>
    </row>
    <row r="212" spans="1:22" x14ac:dyDescent="0.25">
      <c r="M212" s="15" t="s">
        <v>130</v>
      </c>
      <c r="N212" s="15">
        <f>N202</f>
        <v>445345.92592099099</v>
      </c>
      <c r="P212" t="s">
        <v>133</v>
      </c>
      <c r="R212" t="s">
        <v>30</v>
      </c>
      <c r="S212">
        <f>(S210+S211)/2</f>
        <v>1.307366895155293</v>
      </c>
      <c r="T212" s="12"/>
      <c r="V212" s="12"/>
    </row>
    <row r="213" spans="1:22" x14ac:dyDescent="0.25">
      <c r="P213" t="s">
        <v>134</v>
      </c>
      <c r="R213" t="s">
        <v>30</v>
      </c>
      <c r="S213">
        <f>(S211-S210)/2</f>
        <v>0.59424381741668408</v>
      </c>
      <c r="V213" s="12"/>
    </row>
    <row r="214" spans="1:22" x14ac:dyDescent="0.25">
      <c r="V214" s="12"/>
    </row>
    <row r="215" spans="1:22" x14ac:dyDescent="0.25">
      <c r="J215" t="s">
        <v>86</v>
      </c>
      <c r="K215">
        <f>90-ATAN(K211/K210-TAN((K216-90)/180*3.14))/3.14*180</f>
        <v>59.263781112794469</v>
      </c>
      <c r="V215" s="12"/>
    </row>
    <row r="216" spans="1:22" x14ac:dyDescent="0.25">
      <c r="J216" t="s">
        <v>61</v>
      </c>
      <c r="K216">
        <f>ATAN(S212)/3.14*180+90</f>
        <v>142.61443572795065</v>
      </c>
    </row>
    <row r="217" spans="1:22" x14ac:dyDescent="0.25">
      <c r="J217" t="s">
        <v>55</v>
      </c>
      <c r="K217">
        <f>ATAN(S213)/3.14*180+90</f>
        <v>120.73621888720555</v>
      </c>
    </row>
    <row r="218" spans="1:22" x14ac:dyDescent="0.25">
      <c r="J218" t="s">
        <v>136</v>
      </c>
      <c r="K218">
        <f>90-ATAN(K211/K210-TAN((K217-90)/180*3.14))/3.14*180</f>
        <v>37.385564272049358</v>
      </c>
    </row>
    <row r="219" spans="1:22" x14ac:dyDescent="0.25">
      <c r="J219" t="s">
        <v>150</v>
      </c>
      <c r="K219">
        <f>K176</f>
        <v>37.28420097692878</v>
      </c>
    </row>
    <row r="221" spans="1:22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t="s">
        <v>16</v>
      </c>
      <c r="K221">
        <f>K210/COS((90-K215)/180*3.14)</f>
        <v>151.51192137087276</v>
      </c>
      <c r="N221" s="12"/>
      <c r="O221" s="12"/>
      <c r="P221" s="12"/>
      <c r="Q221" s="12"/>
      <c r="R221" s="12"/>
      <c r="S221" s="12"/>
      <c r="U221" s="12"/>
    </row>
    <row r="222" spans="1:22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t="s">
        <v>17</v>
      </c>
      <c r="K222">
        <f>K210/COS((K216-90)/180*3.14)</f>
        <v>214.38723472697507</v>
      </c>
      <c r="N222" s="12"/>
      <c r="O222" s="12"/>
      <c r="P222" s="12"/>
      <c r="Q222" s="12"/>
      <c r="R222" s="12"/>
      <c r="S222" s="12"/>
      <c r="U222" s="12"/>
    </row>
    <row r="223" spans="1:22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t="s">
        <v>117</v>
      </c>
      <c r="K223">
        <f>K210/COS((90-K218)/180*3.14)</f>
        <v>214.38723472697504</v>
      </c>
      <c r="N223" s="12"/>
      <c r="O223" s="12"/>
      <c r="P223" s="12"/>
      <c r="Q223" s="12"/>
      <c r="R223" s="12"/>
      <c r="S223" s="12"/>
      <c r="U223" s="12"/>
    </row>
    <row r="224" spans="1:22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t="s">
        <v>141</v>
      </c>
      <c r="K224">
        <f>K210/COS((K217-90)/180*3.14)</f>
        <v>151.51192137087281</v>
      </c>
      <c r="N224" s="12"/>
      <c r="O224" s="12"/>
      <c r="P224" s="12"/>
      <c r="Q224" s="12"/>
      <c r="R224" s="12"/>
      <c r="S224" s="12"/>
      <c r="U224" s="12"/>
    </row>
    <row r="225" spans="1:24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t="s">
        <v>88</v>
      </c>
      <c r="K225">
        <f>K210/COS((90-K219)/180*3.14)</f>
        <v>214.88432291949724</v>
      </c>
      <c r="N225" s="12"/>
      <c r="O225" s="12"/>
      <c r="P225" s="12"/>
      <c r="Q225" s="12"/>
      <c r="R225" s="12"/>
      <c r="S225" s="12"/>
      <c r="U225" s="12"/>
    </row>
    <row r="226" spans="1:24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t="s">
        <v>137</v>
      </c>
      <c r="M226">
        <f>K216-K217</f>
        <v>21.878216840745097</v>
      </c>
      <c r="N226" s="12"/>
      <c r="O226" s="12"/>
      <c r="P226" s="12"/>
      <c r="Q226" s="12"/>
      <c r="R226" s="12"/>
      <c r="S226" s="12"/>
      <c r="U226" s="12"/>
    </row>
    <row r="227" spans="1:24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t="s">
        <v>138</v>
      </c>
      <c r="M227">
        <f>COS((K216-90)/180*3.14)/COS((K217-90)/180*3.14)</f>
        <v>0.70672081555520405</v>
      </c>
      <c r="N227" s="12"/>
      <c r="O227" s="12"/>
      <c r="P227" s="12"/>
      <c r="Q227" s="12"/>
      <c r="R227" s="12"/>
      <c r="S227" s="12"/>
      <c r="U227" s="12"/>
    </row>
    <row r="228" spans="1:24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t="s">
        <v>145</v>
      </c>
      <c r="M228">
        <f>K210/(2*K211)*(S211)</f>
        <v>0.5</v>
      </c>
      <c r="N228" s="12"/>
      <c r="O228" s="12"/>
      <c r="P228" s="12"/>
      <c r="Q228" s="12"/>
      <c r="R228" s="12"/>
      <c r="S228" s="12"/>
      <c r="T228" s="12"/>
      <c r="U228" s="12"/>
    </row>
    <row r="229" spans="1:24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t="s">
        <v>148</v>
      </c>
      <c r="M229">
        <f>K210*(TAN((90-K218)/180*3.14)-TAN((90-K215)/180*3.14))</f>
        <v>92.884280875453925</v>
      </c>
      <c r="N229" s="12"/>
      <c r="O229" s="12"/>
      <c r="P229" s="12"/>
      <c r="Q229" s="12"/>
      <c r="R229" s="12"/>
      <c r="S229" s="12"/>
      <c r="T229" s="12"/>
      <c r="U229" s="12"/>
    </row>
    <row r="230" spans="1:24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:24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t="s">
        <v>18</v>
      </c>
      <c r="N231">
        <f>N210-0.5*K225^2/$C$28</f>
        <v>442.09481930263553</v>
      </c>
      <c r="P231" s="15" t="s">
        <v>144</v>
      </c>
      <c r="Q231" s="15">
        <f>N212/(N231*287)</f>
        <v>3.5099437883692279</v>
      </c>
      <c r="R231" s="12"/>
      <c r="S231" s="12"/>
      <c r="T231" t="s">
        <v>229</v>
      </c>
      <c r="U231">
        <f>N210</f>
        <v>464.51</v>
      </c>
      <c r="W231" t="s">
        <v>221</v>
      </c>
      <c r="X231">
        <f>U233/(U232*287)</f>
        <v>3.7439993047108575</v>
      </c>
    </row>
    <row r="232" spans="1:24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t="s">
        <v>19</v>
      </c>
      <c r="N232">
        <f>N211-0.5*K223^2/$C$28</f>
        <v>461.19840465345675</v>
      </c>
      <c r="P232" s="15" t="s">
        <v>152</v>
      </c>
      <c r="Q232" s="15">
        <f>N244/(N232*287)</f>
        <v>3.8735717129515117</v>
      </c>
      <c r="R232" s="12"/>
      <c r="S232" s="12"/>
      <c r="T232" t="s">
        <v>218</v>
      </c>
      <c r="U232">
        <f>U231-0.5*K221^2/$C$28</f>
        <v>453.36637751577985</v>
      </c>
    </row>
    <row r="233" spans="1:24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t="s">
        <v>95</v>
      </c>
      <c r="N233">
        <f>N201</f>
        <v>531193.96452692896</v>
      </c>
      <c r="R233" s="12"/>
      <c r="S233" s="12"/>
      <c r="T233" t="s">
        <v>220</v>
      </c>
      <c r="U233">
        <f>N233/((N210/U232)^($C$27/($C$27-1)))</f>
        <v>487154.77643092931</v>
      </c>
    </row>
    <row r="234" spans="1:24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R234" s="12"/>
      <c r="S234" s="12"/>
      <c r="T234" t="s">
        <v>219</v>
      </c>
      <c r="U234">
        <f>U233+X231*K221^2/2</f>
        <v>530128.14270879631</v>
      </c>
    </row>
    <row r="235" spans="1:24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t="s">
        <v>26</v>
      </c>
      <c r="R235" s="12"/>
      <c r="S235" s="12"/>
      <c r="T235" s="12"/>
      <c r="U235" s="12"/>
    </row>
    <row r="236" spans="1:24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N236" t="s">
        <v>230</v>
      </c>
      <c r="R236" s="12"/>
      <c r="S236" s="12"/>
      <c r="T236" s="12"/>
      <c r="U236" s="12"/>
    </row>
    <row r="237" spans="1:24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O237" t="s">
        <v>231</v>
      </c>
      <c r="P237">
        <f>Comp_combine!AF5</f>
        <v>0.92944942328073188</v>
      </c>
      <c r="R237" s="12"/>
      <c r="S237" s="12"/>
      <c r="T237" s="12"/>
      <c r="U237" s="12"/>
    </row>
    <row r="238" spans="1:24" x14ac:dyDescent="0.25">
      <c r="T238" s="12"/>
    </row>
    <row r="239" spans="1:24" x14ac:dyDescent="0.25">
      <c r="T239" s="12"/>
    </row>
    <row r="240" spans="1:24" x14ac:dyDescent="0.25">
      <c r="N240" t="s">
        <v>140</v>
      </c>
      <c r="O240">
        <f>(1+P237*E206/N210)^($C$27/($C$27-1))</f>
        <v>1.1422343639875583</v>
      </c>
      <c r="T240" s="12"/>
    </row>
    <row r="241" spans="1:20" x14ac:dyDescent="0.25">
      <c r="T241" s="12"/>
    </row>
    <row r="242" spans="1:20" x14ac:dyDescent="0.25">
      <c r="T242" s="12"/>
    </row>
    <row r="243" spans="1:20" x14ac:dyDescent="0.25">
      <c r="M243" t="s">
        <v>96</v>
      </c>
      <c r="N243">
        <f>N233*O240</f>
        <v>606748.0002254463</v>
      </c>
      <c r="T243" s="12"/>
    </row>
    <row r="244" spans="1:20" x14ac:dyDescent="0.25">
      <c r="M244" s="15" t="s">
        <v>146</v>
      </c>
      <c r="N244" s="15">
        <f>N243*(N232/N211)^($C$27/($C$27-1))</f>
        <v>512721.22207098652</v>
      </c>
      <c r="T244" s="12"/>
    </row>
    <row r="245" spans="1:20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20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20" x14ac:dyDescent="0.25">
      <c r="A247">
        <v>6</v>
      </c>
      <c r="B247" t="s">
        <v>176</v>
      </c>
    </row>
    <row r="248" spans="1:20" x14ac:dyDescent="0.25">
      <c r="C248" t="s">
        <v>170</v>
      </c>
      <c r="D248" t="s">
        <v>30</v>
      </c>
      <c r="E248">
        <f>E74</f>
        <v>19</v>
      </c>
      <c r="F248" t="s">
        <v>33</v>
      </c>
    </row>
    <row r="249" spans="1:20" x14ac:dyDescent="0.25">
      <c r="C249" t="s">
        <v>149</v>
      </c>
      <c r="D249" t="s">
        <v>30</v>
      </c>
      <c r="E249">
        <f>G74</f>
        <v>0.83</v>
      </c>
    </row>
    <row r="250" spans="1:20" x14ac:dyDescent="0.25">
      <c r="C250" s="2" t="s">
        <v>145</v>
      </c>
      <c r="D250" s="2" t="s">
        <v>30</v>
      </c>
      <c r="E250" s="2">
        <v>0.5</v>
      </c>
    </row>
    <row r="252" spans="1:20" x14ac:dyDescent="0.25">
      <c r="G252" t="s">
        <v>5</v>
      </c>
      <c r="H252">
        <f>H210-($E$8-$E$9)/8</f>
        <v>1.04695</v>
      </c>
      <c r="J252" t="s">
        <v>83</v>
      </c>
      <c r="K252">
        <v>130.25</v>
      </c>
      <c r="M252" t="s">
        <v>97</v>
      </c>
      <c r="N252">
        <f>N211</f>
        <v>483.51</v>
      </c>
      <c r="P252" t="s">
        <v>135</v>
      </c>
      <c r="R252" s="14" t="s">
        <v>30</v>
      </c>
      <c r="S252">
        <f>E248*1005/(E249*K252*K253)</f>
        <v>0.71890428230645509</v>
      </c>
      <c r="T252" s="12"/>
    </row>
    <row r="253" spans="1:20" x14ac:dyDescent="0.25">
      <c r="G253" t="s">
        <v>38</v>
      </c>
      <c r="H253">
        <v>469.35</v>
      </c>
      <c r="J253" t="s">
        <v>20</v>
      </c>
      <c r="K253">
        <f>H253*H252/2</f>
        <v>245.69299125000003</v>
      </c>
      <c r="M253" t="s">
        <v>98</v>
      </c>
      <c r="N253">
        <f>N252+E248</f>
        <v>502.51</v>
      </c>
      <c r="P253" t="s">
        <v>132</v>
      </c>
      <c r="R253" t="s">
        <v>30</v>
      </c>
      <c r="S253">
        <f>E250*2*K253/K252</f>
        <v>1.8863185508637239</v>
      </c>
      <c r="T253" s="12"/>
    </row>
    <row r="254" spans="1:20" x14ac:dyDescent="0.25">
      <c r="M254" s="15" t="s">
        <v>130</v>
      </c>
      <c r="N254" s="15">
        <f>N244</f>
        <v>512721.22207098652</v>
      </c>
      <c r="P254" t="s">
        <v>133</v>
      </c>
      <c r="R254" t="s">
        <v>30</v>
      </c>
      <c r="S254">
        <f>(S252+S253)/2</f>
        <v>1.3026114165850895</v>
      </c>
      <c r="T254" s="12"/>
    </row>
    <row r="255" spans="1:20" x14ac:dyDescent="0.25">
      <c r="P255" t="s">
        <v>134</v>
      </c>
      <c r="R255" t="s">
        <v>30</v>
      </c>
      <c r="S255">
        <f>(S253-S252)/2</f>
        <v>0.58370713427863441</v>
      </c>
    </row>
    <row r="257" spans="1:20" x14ac:dyDescent="0.25">
      <c r="J257" t="s">
        <v>86</v>
      </c>
      <c r="K257">
        <f>90-ATAN(K253/K252-TAN((K258-90)/180*3.14))/3.14*180</f>
        <v>59.712231143290197</v>
      </c>
    </row>
    <row r="258" spans="1:20" x14ac:dyDescent="0.25">
      <c r="J258" t="s">
        <v>61</v>
      </c>
      <c r="K258">
        <f>ATAN(S254)/3.14*180+90</f>
        <v>142.51358198253877</v>
      </c>
    </row>
    <row r="259" spans="1:20" x14ac:dyDescent="0.25">
      <c r="J259" t="s">
        <v>55</v>
      </c>
      <c r="K259">
        <f>ATAN(S255)/3.14*180+90</f>
        <v>120.28776885670982</v>
      </c>
    </row>
    <row r="260" spans="1:20" x14ac:dyDescent="0.25">
      <c r="J260" t="s">
        <v>136</v>
      </c>
      <c r="K260">
        <f>90-ATAN(K253/K252-TAN((K259-90)/180*3.14))/3.14*180</f>
        <v>37.48641801746124</v>
      </c>
    </row>
    <row r="261" spans="1:20" x14ac:dyDescent="0.25">
      <c r="J261" t="s">
        <v>150</v>
      </c>
      <c r="K261">
        <f>K218</f>
        <v>37.385564272049358</v>
      </c>
    </row>
    <row r="263" spans="1:20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t="s">
        <v>16</v>
      </c>
      <c r="K263">
        <f>K252/COS((90-K257)/180*3.14)</f>
        <v>150.81544058983837</v>
      </c>
      <c r="N263" s="12"/>
      <c r="O263" s="12"/>
      <c r="P263" s="12"/>
      <c r="Q263" s="12"/>
      <c r="R263" s="12"/>
      <c r="S263" s="12"/>
    </row>
    <row r="264" spans="1:20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t="s">
        <v>17</v>
      </c>
      <c r="K264">
        <f>K252/COS((K258-90)/180*3.14)</f>
        <v>213.8955848461876</v>
      </c>
      <c r="N264" s="12"/>
      <c r="O264" s="12"/>
      <c r="P264" s="12"/>
      <c r="Q264" s="12"/>
      <c r="R264" s="12"/>
      <c r="S264" s="12"/>
    </row>
    <row r="265" spans="1:20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t="s">
        <v>117</v>
      </c>
      <c r="K265">
        <f>K252/COS((90-K260)/180*3.14)</f>
        <v>213.89558484618757</v>
      </c>
      <c r="N265" s="12"/>
      <c r="O265" s="12"/>
      <c r="P265" s="12"/>
      <c r="Q265" s="12"/>
      <c r="R265" s="12"/>
      <c r="S265" s="12"/>
    </row>
    <row r="266" spans="1:20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t="s">
        <v>141</v>
      </c>
      <c r="K266">
        <f>K252/COS((K259-90)/180*3.14)</f>
        <v>150.8154405898384</v>
      </c>
      <c r="N266" s="12"/>
      <c r="O266" s="12"/>
      <c r="P266" s="12"/>
      <c r="Q266" s="12"/>
      <c r="R266" s="12"/>
      <c r="S266" s="12"/>
    </row>
    <row r="267" spans="1:20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t="s">
        <v>88</v>
      </c>
      <c r="K267">
        <f>K252/COS((90-K261)/180*3.14)</f>
        <v>214.38723472697504</v>
      </c>
      <c r="N267" s="12"/>
      <c r="O267" s="12"/>
      <c r="P267" s="12"/>
      <c r="Q267" s="12"/>
      <c r="R267" s="12"/>
      <c r="S267" s="12"/>
    </row>
    <row r="268" spans="1:20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t="s">
        <v>137</v>
      </c>
      <c r="M268">
        <f>K258-K259</f>
        <v>22.22581312582895</v>
      </c>
      <c r="N268" s="12"/>
      <c r="O268" s="12"/>
      <c r="P268" s="12"/>
      <c r="Q268" s="12"/>
      <c r="R268" s="12"/>
      <c r="S268" s="12"/>
    </row>
    <row r="269" spans="1:20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t="s">
        <v>138</v>
      </c>
      <c r="M269">
        <f>COS((K258-90)/180*3.14)/COS((K259-90)/180*3.14)</f>
        <v>0.70508907745005511</v>
      </c>
      <c r="N269" s="12"/>
      <c r="O269" s="12"/>
      <c r="P269" s="12"/>
      <c r="Q269" s="12"/>
      <c r="R269" s="12"/>
      <c r="S269" s="12"/>
    </row>
    <row r="270" spans="1:20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t="s">
        <v>145</v>
      </c>
      <c r="M270">
        <f>K252/(2*K253)*(S253)</f>
        <v>0.5</v>
      </c>
      <c r="N270" s="12"/>
      <c r="O270" s="12"/>
      <c r="P270" s="12"/>
      <c r="Q270" s="12"/>
      <c r="R270" s="12"/>
      <c r="S270" s="12"/>
      <c r="T270" s="12"/>
    </row>
    <row r="271" spans="1:20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t="s">
        <v>148</v>
      </c>
      <c r="M271">
        <f>K252*(TAN((90-K260)/180*3.14)-TAN((90-K257)/180*3.14))</f>
        <v>93.637282770415851</v>
      </c>
      <c r="N271" s="12"/>
      <c r="O271" s="12"/>
      <c r="P271" s="12"/>
      <c r="Q271" s="12"/>
      <c r="R271" s="12"/>
      <c r="S271" s="12"/>
      <c r="T271" s="12"/>
    </row>
    <row r="272" spans="1:20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4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t="s">
        <v>18</v>
      </c>
      <c r="N273">
        <f>N252-0.5*K267^2/$C$28</f>
        <v>461.19840465345675</v>
      </c>
      <c r="P273" s="15" t="s">
        <v>144</v>
      </c>
      <c r="Q273" s="15">
        <f>N254/(N273*287)</f>
        <v>3.8735717129515117</v>
      </c>
      <c r="R273" s="12"/>
      <c r="S273" s="12"/>
      <c r="T273" t="s">
        <v>229</v>
      </c>
      <c r="U273">
        <f>N252</f>
        <v>483.51</v>
      </c>
      <c r="W273" t="s">
        <v>221</v>
      </c>
      <c r="X273">
        <f>U275/(U274*287)</f>
        <v>4.1209429017876786</v>
      </c>
    </row>
    <row r="274" spans="1:24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t="s">
        <v>19</v>
      </c>
      <c r="N274">
        <f>N253-0.5*K265^2/$C$28</f>
        <v>480.30062076859582</v>
      </c>
      <c r="P274" s="15" t="s">
        <v>152</v>
      </c>
      <c r="Q274" s="15">
        <f>N286/(N274*287)</f>
        <v>4.2576202472732598</v>
      </c>
      <c r="R274" s="12"/>
      <c r="S274" s="12"/>
      <c r="T274" t="s">
        <v>218</v>
      </c>
      <c r="U274">
        <f>U273-0.5*K263^2/$C$28</f>
        <v>472.46859363091892</v>
      </c>
    </row>
    <row r="275" spans="1:24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t="s">
        <v>95</v>
      </c>
      <c r="N275">
        <f>N243</f>
        <v>606748.0002254463</v>
      </c>
      <c r="R275" s="12"/>
      <c r="S275" s="12"/>
      <c r="T275" t="s">
        <v>220</v>
      </c>
      <c r="U275">
        <f>N275/((N252/U274)^($C$27/($C$27-1)))</f>
        <v>558793.61990815052</v>
      </c>
    </row>
    <row r="276" spans="1:24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R276" s="12"/>
      <c r="S276" s="12"/>
      <c r="T276" t="s">
        <v>219</v>
      </c>
      <c r="U276">
        <f>U275+X273*K263^2/2</f>
        <v>605659.65526664106</v>
      </c>
    </row>
    <row r="277" spans="1:24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t="s">
        <v>26</v>
      </c>
      <c r="R277" s="12"/>
      <c r="S277" s="12"/>
      <c r="T277" s="12"/>
    </row>
    <row r="278" spans="1:24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N278" t="s">
        <v>230</v>
      </c>
      <c r="R278" s="12"/>
      <c r="S278" s="12"/>
      <c r="T278" s="12"/>
    </row>
    <row r="279" spans="1:24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O279" t="s">
        <v>231</v>
      </c>
      <c r="P279">
        <f>Comp_combine!AG5</f>
        <v>0.92939183866213537</v>
      </c>
      <c r="R279" s="12"/>
      <c r="S279" s="12"/>
      <c r="T279" s="12"/>
    </row>
    <row r="280" spans="1:24" x14ac:dyDescent="0.25">
      <c r="T280" s="12"/>
    </row>
    <row r="281" spans="1:24" x14ac:dyDescent="0.25">
      <c r="T281" s="12"/>
    </row>
    <row r="282" spans="1:24" x14ac:dyDescent="0.25">
      <c r="N282" t="s">
        <v>140</v>
      </c>
      <c r="O282">
        <f>(1+P279*E248/N252)^($C$27/($C$27-1))</f>
        <v>1.1363771947028889</v>
      </c>
      <c r="T282" s="12"/>
    </row>
    <row r="283" spans="1:24" x14ac:dyDescent="0.25">
      <c r="T283" s="12"/>
    </row>
    <row r="284" spans="1:24" x14ac:dyDescent="0.25">
      <c r="T284" s="12"/>
    </row>
    <row r="285" spans="1:24" x14ac:dyDescent="0.25">
      <c r="M285" t="s">
        <v>96</v>
      </c>
      <c r="N285">
        <f>N275*O282</f>
        <v>689494.59038778045</v>
      </c>
      <c r="T285" s="12"/>
    </row>
    <row r="286" spans="1:24" x14ac:dyDescent="0.25">
      <c r="M286" s="15" t="s">
        <v>146</v>
      </c>
      <c r="N286" s="15">
        <f>N285*(N274/N253)^($C$27/($C$27-1))</f>
        <v>586897.10490777704</v>
      </c>
      <c r="T286" s="12"/>
    </row>
    <row r="287" spans="1:24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24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20" x14ac:dyDescent="0.25">
      <c r="A289">
        <v>7</v>
      </c>
      <c r="B289" t="s">
        <v>177</v>
      </c>
    </row>
    <row r="290" spans="1:20" x14ac:dyDescent="0.25">
      <c r="C290" t="s">
        <v>171</v>
      </c>
      <c r="D290" t="s">
        <v>30</v>
      </c>
      <c r="E290">
        <f>E75</f>
        <v>19</v>
      </c>
      <c r="F290" t="s">
        <v>33</v>
      </c>
    </row>
    <row r="291" spans="1:20" x14ac:dyDescent="0.25">
      <c r="C291" t="s">
        <v>149</v>
      </c>
      <c r="D291" t="s">
        <v>30</v>
      </c>
      <c r="E291">
        <f>G75</f>
        <v>0.83</v>
      </c>
    </row>
    <row r="292" spans="1:20" x14ac:dyDescent="0.25">
      <c r="C292" s="2" t="s">
        <v>145</v>
      </c>
      <c r="D292" s="2" t="s">
        <v>30</v>
      </c>
      <c r="E292" s="2">
        <v>0.5</v>
      </c>
    </row>
    <row r="294" spans="1:20" x14ac:dyDescent="0.25">
      <c r="G294" t="s">
        <v>5</v>
      </c>
      <c r="H294">
        <f>H252-($E$8-$E$9)/8</f>
        <v>1.0384625000000001</v>
      </c>
      <c r="J294" t="s">
        <v>83</v>
      </c>
      <c r="K294">
        <v>130.25</v>
      </c>
      <c r="M294" t="s">
        <v>97</v>
      </c>
      <c r="N294">
        <f>N253</f>
        <v>502.51</v>
      </c>
      <c r="P294" t="s">
        <v>135</v>
      </c>
      <c r="R294" s="14" t="s">
        <v>30</v>
      </c>
      <c r="S294">
        <f>E290*1005/(E291*K294*K295)</f>
        <v>0.72477998806961552</v>
      </c>
      <c r="T294" s="12"/>
    </row>
    <row r="295" spans="1:20" x14ac:dyDescent="0.25">
      <c r="G295" t="s">
        <v>38</v>
      </c>
      <c r="H295">
        <v>469.35</v>
      </c>
      <c r="J295" t="s">
        <v>20</v>
      </c>
      <c r="K295">
        <f>H295*H294/2</f>
        <v>243.70118718750004</v>
      </c>
      <c r="M295" t="s">
        <v>98</v>
      </c>
      <c r="N295">
        <f>N294+E290</f>
        <v>521.51</v>
      </c>
      <c r="P295" t="s">
        <v>132</v>
      </c>
      <c r="R295" t="s">
        <v>30</v>
      </c>
      <c r="S295">
        <f>E292*2*K295/K294</f>
        <v>1.8710263891554706</v>
      </c>
      <c r="T295" s="12"/>
    </row>
    <row r="296" spans="1:20" x14ac:dyDescent="0.25">
      <c r="M296" s="15" t="s">
        <v>130</v>
      </c>
      <c r="N296" s="15">
        <f>N286</f>
        <v>586897.10490777704</v>
      </c>
      <c r="P296" t="s">
        <v>133</v>
      </c>
      <c r="R296" t="s">
        <v>30</v>
      </c>
      <c r="S296">
        <f>(S294+S295)/2</f>
        <v>1.2979031886125432</v>
      </c>
      <c r="T296" s="12"/>
    </row>
    <row r="297" spans="1:20" x14ac:dyDescent="0.25">
      <c r="P297" t="s">
        <v>134</v>
      </c>
      <c r="R297" t="s">
        <v>30</v>
      </c>
      <c r="S297">
        <f>(S295-S294)/2</f>
        <v>0.57312320054292754</v>
      </c>
    </row>
    <row r="299" spans="1:20" x14ac:dyDescent="0.25">
      <c r="J299" t="s">
        <v>86</v>
      </c>
      <c r="K299">
        <f>90-ATAN(K295/K294-TAN((K300-90)/180*3.14))/3.14*180</f>
        <v>60.16685323680332</v>
      </c>
    </row>
    <row r="300" spans="1:20" x14ac:dyDescent="0.25">
      <c r="J300" t="s">
        <v>61</v>
      </c>
      <c r="K300">
        <f>ATAN(S296)/3.14*180+90</f>
        <v>142.41327284234939</v>
      </c>
    </row>
    <row r="301" spans="1:20" x14ac:dyDescent="0.25">
      <c r="J301" t="s">
        <v>55</v>
      </c>
      <c r="K301">
        <f>ATAN(S297)/3.14*180+90</f>
        <v>119.83314676319671</v>
      </c>
    </row>
    <row r="302" spans="1:20" x14ac:dyDescent="0.25">
      <c r="J302" t="s">
        <v>136</v>
      </c>
      <c r="K302">
        <f>90-ATAN(K295/K294-TAN((K301-90)/180*3.14))/3.14*180</f>
        <v>37.586727157650621</v>
      </c>
    </row>
    <row r="303" spans="1:20" x14ac:dyDescent="0.25">
      <c r="J303" t="s">
        <v>150</v>
      </c>
      <c r="K303">
        <f>K260</f>
        <v>37.48641801746124</v>
      </c>
    </row>
    <row r="305" spans="1:24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t="s">
        <v>16</v>
      </c>
      <c r="K305">
        <f>K294/COS((90-K299)/180*3.14)</f>
        <v>150.12521448208599</v>
      </c>
      <c r="N305" s="12"/>
      <c r="O305" s="12"/>
      <c r="P305" s="12"/>
      <c r="Q305" s="12"/>
      <c r="R305" s="12"/>
      <c r="S305" s="12"/>
    </row>
    <row r="306" spans="1:24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t="s">
        <v>17</v>
      </c>
      <c r="K306">
        <f>K294/COS((K300-90)/180*3.14)</f>
        <v>213.40947523406246</v>
      </c>
      <c r="N306" s="12"/>
      <c r="O306" s="12"/>
      <c r="P306" s="12"/>
      <c r="Q306" s="12"/>
      <c r="R306" s="12"/>
      <c r="S306" s="12"/>
    </row>
    <row r="307" spans="1:24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t="s">
        <v>117</v>
      </c>
      <c r="K307">
        <f>K294/COS((90-K302)/180*3.14)</f>
        <v>213.4094752340624</v>
      </c>
      <c r="N307" s="12"/>
      <c r="O307" s="12"/>
      <c r="P307" s="12"/>
      <c r="Q307" s="12"/>
      <c r="R307" s="12"/>
      <c r="S307" s="12"/>
    </row>
    <row r="308" spans="1:24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t="s">
        <v>141</v>
      </c>
      <c r="K308">
        <f>K294/COS((K301-90)/180*3.14)</f>
        <v>150.12521448208605</v>
      </c>
      <c r="N308" s="12"/>
      <c r="O308" s="12"/>
      <c r="P308" s="12"/>
      <c r="Q308" s="12"/>
      <c r="R308" s="12"/>
      <c r="S308" s="12"/>
    </row>
    <row r="309" spans="1:24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t="s">
        <v>88</v>
      </c>
      <c r="K309">
        <f>K294/COS((90-K303)/180*3.14)</f>
        <v>213.89558484618757</v>
      </c>
      <c r="N309" s="12"/>
      <c r="O309" s="12"/>
      <c r="P309" s="12"/>
      <c r="Q309" s="12"/>
      <c r="R309" s="12"/>
      <c r="S309" s="12"/>
    </row>
    <row r="310" spans="1:24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t="s">
        <v>137</v>
      </c>
      <c r="M310">
        <f>K300-K301</f>
        <v>22.580126079152677</v>
      </c>
      <c r="N310" s="12"/>
      <c r="O310" s="12"/>
      <c r="P310" s="12"/>
      <c r="Q310" s="12"/>
      <c r="R310" s="12"/>
      <c r="S310" s="12"/>
    </row>
    <row r="311" spans="1:24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t="s">
        <v>138</v>
      </c>
      <c r="M311">
        <f>COS((K300-90)/180*3.14)/COS((K301-90)/180*3.14)</f>
        <v>0.70346086703709976</v>
      </c>
      <c r="N311" s="12"/>
      <c r="O311" s="12"/>
      <c r="P311" s="12"/>
      <c r="Q311" s="12"/>
      <c r="R311" s="12"/>
      <c r="S311" s="12"/>
    </row>
    <row r="312" spans="1:24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t="s">
        <v>145</v>
      </c>
      <c r="M312">
        <f>K294/(2*K295)*(S295)</f>
        <v>0.49999999999999994</v>
      </c>
      <c r="N312" s="12"/>
      <c r="O312" s="12"/>
      <c r="P312" s="12"/>
      <c r="Q312" s="12"/>
      <c r="R312" s="12"/>
      <c r="S312" s="12"/>
      <c r="T312" s="12"/>
    </row>
    <row r="313" spans="1:24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t="s">
        <v>148</v>
      </c>
      <c r="M313">
        <f>K294*(TAN((90-K302)/180*3.14)-TAN((90-K299)/180*3.14))</f>
        <v>94.40259344606757</v>
      </c>
      <c r="N313" s="12"/>
      <c r="O313" s="12"/>
      <c r="P313" s="12"/>
      <c r="Q313" s="12"/>
      <c r="R313" s="12"/>
      <c r="S313" s="12"/>
      <c r="T313" s="12"/>
    </row>
    <row r="314" spans="1:24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4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t="s">
        <v>18</v>
      </c>
      <c r="N315">
        <f>N294-0.5*K309^2/$C$28</f>
        <v>480.30062076859582</v>
      </c>
      <c r="P315" s="15" t="s">
        <v>144</v>
      </c>
      <c r="Q315" s="15">
        <f>N296/(N315*287)</f>
        <v>4.2576202472732598</v>
      </c>
      <c r="R315" s="12"/>
      <c r="S315" s="12"/>
      <c r="T315" t="s">
        <v>229</v>
      </c>
      <c r="U315">
        <f>N294</f>
        <v>502.51</v>
      </c>
      <c r="W315" t="s">
        <v>221</v>
      </c>
      <c r="X315">
        <f>U317/(U316*287)</f>
        <v>4.5184745085769862</v>
      </c>
    </row>
    <row r="316" spans="1:24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t="s">
        <v>19</v>
      </c>
      <c r="N316">
        <f>N295-0.5*K307^2/$C$28</f>
        <v>499.40145431083596</v>
      </c>
      <c r="P316" s="15" t="s">
        <v>152</v>
      </c>
      <c r="Q316" s="15">
        <f>N328/(N316*287)</f>
        <v>4.6623144074396592</v>
      </c>
      <c r="R316" s="12"/>
      <c r="S316" s="12"/>
      <c r="T316" t="s">
        <v>218</v>
      </c>
      <c r="U316">
        <f>U315-0.5*K305^2/$C$28</f>
        <v>491.56942717315906</v>
      </c>
    </row>
    <row r="317" spans="1:24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t="s">
        <v>95</v>
      </c>
      <c r="N317">
        <f>N285</f>
        <v>689494.59038778045</v>
      </c>
      <c r="R317" s="12"/>
      <c r="S317" s="12"/>
      <c r="T317" t="s">
        <v>220</v>
      </c>
      <c r="U317">
        <f>N317/((N294/U316)^($C$27/($C$27-1)))</f>
        <v>637468.30672690296</v>
      </c>
    </row>
    <row r="318" spans="1:24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R318" s="12"/>
      <c r="S318" s="12"/>
      <c r="T318" t="s">
        <v>219</v>
      </c>
      <c r="U318">
        <f>U317+X315*K305^2/2</f>
        <v>688386.04713703308</v>
      </c>
    </row>
    <row r="319" spans="1:24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t="s">
        <v>26</v>
      </c>
      <c r="R319" s="12"/>
      <c r="S319" s="12"/>
      <c r="T319" s="12"/>
    </row>
    <row r="320" spans="1:24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N320" t="s">
        <v>230</v>
      </c>
      <c r="R320" s="12"/>
      <c r="S320" s="12"/>
      <c r="T320" s="12"/>
    </row>
    <row r="321" spans="1:20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O321" t="s">
        <v>231</v>
      </c>
      <c r="P321">
        <f>Comp_combine!AH5</f>
        <v>0.92929020042675892</v>
      </c>
      <c r="R321" s="12"/>
      <c r="S321" s="12"/>
      <c r="T321" s="12"/>
    </row>
    <row r="322" spans="1:20" x14ac:dyDescent="0.25">
      <c r="T322" s="12"/>
    </row>
    <row r="323" spans="1:20" x14ac:dyDescent="0.25">
      <c r="T323" s="12"/>
    </row>
    <row r="324" spans="1:20" x14ac:dyDescent="0.25">
      <c r="N324" t="s">
        <v>140</v>
      </c>
      <c r="O324">
        <f>(1+P321*E290/N294)^($C$27/($C$27-1))</f>
        <v>1.1309757076911446</v>
      </c>
      <c r="T324" s="12"/>
    </row>
    <row r="325" spans="1:20" x14ac:dyDescent="0.25">
      <c r="T325" s="12"/>
    </row>
    <row r="326" spans="1:20" x14ac:dyDescent="0.25">
      <c r="T326" s="12"/>
    </row>
    <row r="327" spans="1:20" x14ac:dyDescent="0.25">
      <c r="M327" t="s">
        <v>96</v>
      </c>
      <c r="N327">
        <f>N317*O324</f>
        <v>779801.63231303589</v>
      </c>
      <c r="T327" s="12"/>
    </row>
    <row r="328" spans="1:20" x14ac:dyDescent="0.25">
      <c r="M328" s="15" t="s">
        <v>146</v>
      </c>
      <c r="N328" s="15">
        <f>N327*(N316/N295)^($C$27/($C$27-1))</f>
        <v>668241.21291703219</v>
      </c>
      <c r="T328" s="12"/>
    </row>
    <row r="329" spans="1:20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20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20" x14ac:dyDescent="0.25">
      <c r="A331">
        <v>8</v>
      </c>
      <c r="B331" t="s">
        <v>178</v>
      </c>
    </row>
    <row r="332" spans="1:20" x14ac:dyDescent="0.25">
      <c r="C332" t="s">
        <v>172</v>
      </c>
      <c r="D332" t="s">
        <v>30</v>
      </c>
      <c r="E332">
        <f>E76</f>
        <v>19</v>
      </c>
      <c r="F332" t="s">
        <v>33</v>
      </c>
    </row>
    <row r="333" spans="1:20" x14ac:dyDescent="0.25">
      <c r="C333" t="s">
        <v>149</v>
      </c>
      <c r="D333" t="s">
        <v>30</v>
      </c>
      <c r="E333">
        <f>G76</f>
        <v>0.83</v>
      </c>
    </row>
    <row r="334" spans="1:20" x14ac:dyDescent="0.25">
      <c r="C334" s="2" t="s">
        <v>145</v>
      </c>
      <c r="D334" s="2" t="s">
        <v>30</v>
      </c>
      <c r="E334" s="2">
        <v>0.5</v>
      </c>
    </row>
    <row r="336" spans="1:20" x14ac:dyDescent="0.25">
      <c r="G336" t="s">
        <v>5</v>
      </c>
      <c r="H336">
        <f>H294-($E$8-$E$9)/8</f>
        <v>1.0299750000000001</v>
      </c>
      <c r="J336" t="s">
        <v>83</v>
      </c>
      <c r="K336">
        <v>130.25</v>
      </c>
      <c r="M336" t="s">
        <v>97</v>
      </c>
      <c r="N336">
        <f>N295</f>
        <v>521.51</v>
      </c>
      <c r="P336" t="s">
        <v>135</v>
      </c>
      <c r="R336" s="14" t="s">
        <v>30</v>
      </c>
      <c r="S336">
        <f>E332*1005/(E333*K336*K337)</f>
        <v>0.73075253123691664</v>
      </c>
      <c r="T336" s="12"/>
    </row>
    <row r="337" spans="1:20" x14ac:dyDescent="0.25">
      <c r="G337" t="s">
        <v>38</v>
      </c>
      <c r="H337">
        <v>469.35</v>
      </c>
      <c r="J337" t="s">
        <v>20</v>
      </c>
      <c r="K337">
        <f>H337*H336/2</f>
        <v>241.70938312500004</v>
      </c>
      <c r="M337" t="s">
        <v>98</v>
      </c>
      <c r="N337">
        <f>N336+E332</f>
        <v>540.51</v>
      </c>
      <c r="P337" t="s">
        <v>132</v>
      </c>
      <c r="R337" t="s">
        <v>30</v>
      </c>
      <c r="S337">
        <f>E334*2*K337/K336</f>
        <v>1.8557342274472173</v>
      </c>
      <c r="T337" s="12"/>
    </row>
    <row r="338" spans="1:20" x14ac:dyDescent="0.25">
      <c r="M338" s="15" t="s">
        <v>130</v>
      </c>
      <c r="N338" s="15">
        <f>N328</f>
        <v>668241.21291703219</v>
      </c>
      <c r="P338" t="s">
        <v>133</v>
      </c>
      <c r="R338" t="s">
        <v>30</v>
      </c>
      <c r="S338">
        <f>(S336+S337)/2</f>
        <v>1.293243379342067</v>
      </c>
      <c r="T338" s="12"/>
    </row>
    <row r="339" spans="1:20" x14ac:dyDescent="0.25">
      <c r="P339" t="s">
        <v>134</v>
      </c>
      <c r="R339" t="s">
        <v>30</v>
      </c>
      <c r="S339">
        <f>(S337-S336)/2</f>
        <v>0.56249084810515027</v>
      </c>
    </row>
    <row r="341" spans="1:20" x14ac:dyDescent="0.25">
      <c r="J341" t="s">
        <v>86</v>
      </c>
      <c r="K341">
        <f>90-ATAN(K337/K336-TAN((K342-90)/180*3.14))/3.14*180</f>
        <v>60.627754312607024</v>
      </c>
    </row>
    <row r="342" spans="1:20" x14ac:dyDescent="0.25">
      <c r="J342" t="s">
        <v>61</v>
      </c>
      <c r="K342">
        <f>ATAN(S338)/3.14*180+90</f>
        <v>142.31354460428986</v>
      </c>
    </row>
    <row r="343" spans="1:20" x14ac:dyDescent="0.25">
      <c r="J343" t="s">
        <v>55</v>
      </c>
      <c r="K343">
        <f>ATAN(S339)/3.14*180+90</f>
        <v>119.37224568739298</v>
      </c>
    </row>
    <row r="344" spans="1:20" x14ac:dyDescent="0.25">
      <c r="J344" t="s">
        <v>136</v>
      </c>
      <c r="K344">
        <f>90-ATAN(K337/K336-TAN((K343-90)/180*3.14))/3.14*180</f>
        <v>37.686455395710141</v>
      </c>
    </row>
    <row r="345" spans="1:20" x14ac:dyDescent="0.25">
      <c r="J345" t="s">
        <v>150</v>
      </c>
      <c r="K345">
        <f>K302</f>
        <v>37.586727157650621</v>
      </c>
    </row>
    <row r="347" spans="1:20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t="s">
        <v>16</v>
      </c>
      <c r="K347">
        <f>K336/COS((90-K341)/180*3.14)</f>
        <v>149.4414254408226</v>
      </c>
      <c r="N347" s="12"/>
      <c r="O347" s="12"/>
      <c r="P347" s="12"/>
      <c r="Q347" s="12"/>
      <c r="R347" s="12"/>
      <c r="S347" s="12"/>
    </row>
    <row r="348" spans="1:20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t="s">
        <v>17</v>
      </c>
      <c r="K348">
        <f>K336/COS((K342-90)/180*3.14)</f>
        <v>212.92901102050533</v>
      </c>
      <c r="N348" s="12"/>
      <c r="O348" s="12"/>
      <c r="P348" s="12"/>
      <c r="Q348" s="12"/>
      <c r="R348" s="12"/>
      <c r="S348" s="12"/>
    </row>
    <row r="349" spans="1:20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t="s">
        <v>117</v>
      </c>
      <c r="K349">
        <f>K336/COS((90-K344)/180*3.14)</f>
        <v>212.92901102050533</v>
      </c>
      <c r="N349" s="12"/>
      <c r="O349" s="12"/>
      <c r="P349" s="12"/>
      <c r="Q349" s="12"/>
      <c r="R349" s="12"/>
      <c r="S349" s="12"/>
    </row>
    <row r="350" spans="1:20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t="s">
        <v>141</v>
      </c>
      <c r="K350">
        <f>K336/COS((K343-90)/180*3.14)</f>
        <v>149.4414254408226</v>
      </c>
      <c r="N350" s="12"/>
      <c r="O350" s="12"/>
      <c r="P350" s="12"/>
      <c r="Q350" s="12"/>
      <c r="R350" s="12"/>
      <c r="S350" s="12"/>
    </row>
    <row r="351" spans="1:20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t="s">
        <v>88</v>
      </c>
      <c r="K351">
        <f>K336/COS((90-K345)/180*3.14)</f>
        <v>213.4094752340624</v>
      </c>
      <c r="N351" s="12"/>
      <c r="O351" s="12"/>
      <c r="P351" s="12"/>
      <c r="Q351" s="12"/>
      <c r="R351" s="12"/>
      <c r="S351" s="12"/>
    </row>
    <row r="352" spans="1:20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t="s">
        <v>137</v>
      </c>
      <c r="M352">
        <f>K342-K343</f>
        <v>22.941298916896883</v>
      </c>
      <c r="N352" s="12"/>
      <c r="O352" s="12"/>
      <c r="P352" s="12"/>
      <c r="Q352" s="12"/>
      <c r="R352" s="12"/>
      <c r="S352" s="12"/>
    </row>
    <row r="353" spans="1:24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t="s">
        <v>138</v>
      </c>
      <c r="M353">
        <f>COS((K342-90)/180*3.14)/COS((K343-90)/180*3.14)</f>
        <v>0.70183684564444437</v>
      </c>
      <c r="N353" s="12"/>
      <c r="O353" s="12"/>
      <c r="P353" s="12"/>
      <c r="Q353" s="12"/>
      <c r="R353" s="12"/>
      <c r="S353" s="12"/>
    </row>
    <row r="354" spans="1:24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t="s">
        <v>145</v>
      </c>
      <c r="M354">
        <f>K336/(2*K337)*(S337)</f>
        <v>0.5</v>
      </c>
      <c r="N354" s="12"/>
      <c r="O354" s="12"/>
      <c r="P354" s="12"/>
      <c r="Q354" s="12"/>
      <c r="R354" s="12"/>
      <c r="S354" s="12"/>
      <c r="T354" s="12"/>
    </row>
    <row r="355" spans="1:24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t="s">
        <v>148</v>
      </c>
      <c r="M355">
        <f>K336*(TAN((90-K344)/180*3.14)-TAN((90-K341)/180*3.14))</f>
        <v>95.180517193608409</v>
      </c>
      <c r="N355" s="12"/>
      <c r="O355" s="12"/>
      <c r="P355" s="12"/>
      <c r="Q355" s="12"/>
      <c r="R355" s="12"/>
      <c r="S355" s="12"/>
      <c r="T355" s="12"/>
    </row>
    <row r="356" spans="1:24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4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t="s">
        <v>18</v>
      </c>
      <c r="N357">
        <f>N336-0.5*K351^2/$C$28</f>
        <v>499.40145431083596</v>
      </c>
      <c r="P357" s="15" t="s">
        <v>144</v>
      </c>
      <c r="Q357" s="15">
        <f>N338/(N357*287)</f>
        <v>4.6623144074396592</v>
      </c>
      <c r="R357" s="12"/>
      <c r="S357" s="12"/>
      <c r="T357" t="s">
        <v>229</v>
      </c>
      <c r="U357">
        <f>N336</f>
        <v>521.51</v>
      </c>
      <c r="W357" t="s">
        <v>221</v>
      </c>
      <c r="X357">
        <f>U359/(U358*287)</f>
        <v>4.9368124184405069</v>
      </c>
    </row>
    <row r="358" spans="1:24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t="s">
        <v>19</v>
      </c>
      <c r="N358">
        <f>N337-0.5*K349^2/$C$28</f>
        <v>518.50089139117938</v>
      </c>
      <c r="P358" s="15" t="s">
        <v>152</v>
      </c>
      <c r="Q358" s="15">
        <f>N370/(N358*287)</f>
        <v>5.0879030194477401</v>
      </c>
      <c r="R358" s="12"/>
      <c r="S358" s="12"/>
      <c r="T358" t="s">
        <v>218</v>
      </c>
      <c r="U358">
        <f>U357-0.5*K347^2/$C$28</f>
        <v>510.66886425350242</v>
      </c>
    </row>
    <row r="359" spans="1:24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t="s">
        <v>95</v>
      </c>
      <c r="N359">
        <f>N327</f>
        <v>779801.63231303589</v>
      </c>
      <c r="R359" s="12"/>
      <c r="S359" s="12"/>
      <c r="T359" t="s">
        <v>220</v>
      </c>
      <c r="U359">
        <f>N359/((N336/U358)^($C$27/($C$27-1)))</f>
        <v>723548.92414743127</v>
      </c>
    </row>
    <row r="360" spans="1:24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R360" s="12"/>
      <c r="S360" s="12"/>
      <c r="T360" t="s">
        <v>219</v>
      </c>
      <c r="U360">
        <f>U359+X357*K347^2/2</f>
        <v>778675.19733823894</v>
      </c>
    </row>
    <row r="361" spans="1:24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t="s">
        <v>26</v>
      </c>
      <c r="R361" s="12"/>
      <c r="S361" s="12"/>
      <c r="T361" s="12"/>
    </row>
    <row r="362" spans="1:24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N362" t="s">
        <v>230</v>
      </c>
      <c r="R362" s="12"/>
      <c r="S362" s="12"/>
      <c r="T362" s="12"/>
    </row>
    <row r="363" spans="1:24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O363" t="s">
        <v>231</v>
      </c>
      <c r="P363">
        <f>Comp_combine!AI5</f>
        <v>0.92920426693652014</v>
      </c>
      <c r="R363" s="12"/>
      <c r="S363" s="12"/>
      <c r="T363" s="12"/>
    </row>
    <row r="364" spans="1:24" x14ac:dyDescent="0.25">
      <c r="T364" s="12"/>
    </row>
    <row r="365" spans="1:24" x14ac:dyDescent="0.25">
      <c r="T365" s="12"/>
    </row>
    <row r="366" spans="1:24" x14ac:dyDescent="0.25">
      <c r="N366" t="s">
        <v>140</v>
      </c>
      <c r="O366">
        <f>(1+P363*E332/N336)^($C$27/($C$27-1))</f>
        <v>1.1259865468562971</v>
      </c>
      <c r="T366" s="12"/>
    </row>
    <row r="367" spans="1:24" x14ac:dyDescent="0.25">
      <c r="T367" s="12"/>
    </row>
    <row r="368" spans="1:24" x14ac:dyDescent="0.25">
      <c r="T368" s="12"/>
    </row>
    <row r="369" spans="1:20" x14ac:dyDescent="0.25">
      <c r="M369" t="s">
        <v>96</v>
      </c>
      <c r="N369">
        <f>N359*O366</f>
        <v>878046.14720105915</v>
      </c>
      <c r="T369" s="12"/>
    </row>
    <row r="370" spans="1:20" x14ac:dyDescent="0.25">
      <c r="M370" s="15" t="s">
        <v>146</v>
      </c>
      <c r="N370" s="15">
        <f>N369*(N358/N337)^($C$27/($C$27-1))</f>
        <v>757129.60600701603</v>
      </c>
      <c r="T370" s="12"/>
    </row>
    <row r="371" spans="1:20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20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20" x14ac:dyDescent="0.25">
      <c r="A373">
        <v>9</v>
      </c>
      <c r="B373" t="s">
        <v>179</v>
      </c>
    </row>
    <row r="374" spans="1:20" x14ac:dyDescent="0.25">
      <c r="C374" t="s">
        <v>173</v>
      </c>
      <c r="D374" t="s">
        <v>30</v>
      </c>
      <c r="E374">
        <f>E77</f>
        <v>19</v>
      </c>
      <c r="F374" t="s">
        <v>33</v>
      </c>
    </row>
    <row r="375" spans="1:20" x14ac:dyDescent="0.25">
      <c r="C375" t="s">
        <v>149</v>
      </c>
      <c r="D375" t="s">
        <v>30</v>
      </c>
      <c r="E375">
        <f>G77</f>
        <v>0.83</v>
      </c>
    </row>
    <row r="376" spans="1:20" x14ac:dyDescent="0.25">
      <c r="C376" s="2" t="s">
        <v>145</v>
      </c>
      <c r="D376" s="2" t="s">
        <v>30</v>
      </c>
      <c r="E376" s="2">
        <v>0.5</v>
      </c>
    </row>
    <row r="378" spans="1:20" x14ac:dyDescent="0.25">
      <c r="G378" t="s">
        <v>5</v>
      </c>
      <c r="H378">
        <f>H336-($E$8-$E$9)/8</f>
        <v>1.0214875000000001</v>
      </c>
      <c r="J378" t="s">
        <v>83</v>
      </c>
      <c r="K378">
        <v>130.25</v>
      </c>
      <c r="M378" t="s">
        <v>97</v>
      </c>
      <c r="N378">
        <f>N337</f>
        <v>540.51</v>
      </c>
      <c r="P378" t="s">
        <v>135</v>
      </c>
      <c r="R378" s="14" t="s">
        <v>30</v>
      </c>
      <c r="S378">
        <f>E374*1005/(E375*K378*K379)</f>
        <v>0.73682432566305822</v>
      </c>
      <c r="T378" s="12"/>
    </row>
    <row r="379" spans="1:20" x14ac:dyDescent="0.25">
      <c r="G379" t="s">
        <v>38</v>
      </c>
      <c r="H379">
        <v>469.35</v>
      </c>
      <c r="J379" t="s">
        <v>20</v>
      </c>
      <c r="K379">
        <f>H379*H378/2</f>
        <v>239.71757906250002</v>
      </c>
      <c r="M379" t="s">
        <v>98</v>
      </c>
      <c r="N379">
        <f>N378+E374</f>
        <v>559.51</v>
      </c>
      <c r="P379" t="s">
        <v>132</v>
      </c>
      <c r="R379" t="s">
        <v>30</v>
      </c>
      <c r="S379">
        <f>E376*2*K379/K378</f>
        <v>1.8404420657389637</v>
      </c>
      <c r="T379" s="12"/>
    </row>
    <row r="380" spans="1:20" x14ac:dyDescent="0.25">
      <c r="M380" s="15" t="s">
        <v>130</v>
      </c>
      <c r="N380" s="15">
        <f>N370</f>
        <v>757129.60600701603</v>
      </c>
      <c r="P380" t="s">
        <v>133</v>
      </c>
      <c r="R380" t="s">
        <v>30</v>
      </c>
      <c r="S380">
        <f>(S378+S379)/2</f>
        <v>1.2886331957010109</v>
      </c>
      <c r="T380" s="12"/>
    </row>
    <row r="381" spans="1:20" x14ac:dyDescent="0.25">
      <c r="P381" t="s">
        <v>134</v>
      </c>
      <c r="R381" t="s">
        <v>30</v>
      </c>
      <c r="S381">
        <f>(S379-S378)/2</f>
        <v>0.55180887003795276</v>
      </c>
    </row>
    <row r="383" spans="1:20" x14ac:dyDescent="0.25">
      <c r="J383" t="s">
        <v>86</v>
      </c>
      <c r="K383">
        <f>90-ATAN(K379/K378-TAN((K384-90)/180*3.14))/3.14*180</f>
        <v>61.095042925315781</v>
      </c>
    </row>
    <row r="384" spans="1:20" x14ac:dyDescent="0.25">
      <c r="J384" t="s">
        <v>61</v>
      </c>
      <c r="K384">
        <f>ATAN(S380)/3.14*180+90</f>
        <v>142.21443485012662</v>
      </c>
    </row>
    <row r="385" spans="1:24" x14ac:dyDescent="0.25">
      <c r="J385" t="s">
        <v>55</v>
      </c>
      <c r="K385">
        <f>ATAN(S381)/3.14*180+90</f>
        <v>118.90495707468423</v>
      </c>
    </row>
    <row r="386" spans="1:24" x14ac:dyDescent="0.25">
      <c r="J386" t="s">
        <v>136</v>
      </c>
      <c r="K386">
        <f>90-ATAN(K379/K378-TAN((K385-90)/180*3.14))/3.14*180</f>
        <v>37.785565149873378</v>
      </c>
    </row>
    <row r="387" spans="1:24" x14ac:dyDescent="0.25">
      <c r="J387" t="s">
        <v>150</v>
      </c>
      <c r="K387">
        <f>K344</f>
        <v>37.686455395710141</v>
      </c>
    </row>
    <row r="389" spans="1:24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t="s">
        <v>16</v>
      </c>
      <c r="K389">
        <f>K378/COS((90-K383)/180*3.14)</f>
        <v>148.7642624042852</v>
      </c>
      <c r="N389" s="12"/>
      <c r="O389" s="12"/>
      <c r="P389" s="12"/>
      <c r="Q389" s="12"/>
      <c r="R389" s="12"/>
      <c r="S389" s="12"/>
    </row>
    <row r="390" spans="1:24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t="s">
        <v>17</v>
      </c>
      <c r="K390">
        <f>K378/COS((K384-90)/180*3.14)</f>
        <v>212.45430065093197</v>
      </c>
      <c r="N390" s="12"/>
      <c r="O390" s="12"/>
      <c r="P390" s="12"/>
      <c r="Q390" s="12"/>
      <c r="R390" s="12"/>
      <c r="S390" s="12"/>
    </row>
    <row r="391" spans="1:24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t="s">
        <v>117</v>
      </c>
      <c r="K391">
        <f>K378/COS((90-K386)/180*3.14)</f>
        <v>212.45430065093197</v>
      </c>
      <c r="N391" s="12"/>
      <c r="O391" s="12"/>
      <c r="P391" s="12"/>
      <c r="Q391" s="12"/>
      <c r="R391" s="12"/>
      <c r="S391" s="12"/>
    </row>
    <row r="392" spans="1:24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t="s">
        <v>141</v>
      </c>
      <c r="K392">
        <f>K378/COS((K385-90)/180*3.14)</f>
        <v>148.76426240428523</v>
      </c>
      <c r="N392" s="12"/>
      <c r="O392" s="12"/>
      <c r="P392" s="12"/>
      <c r="Q392" s="12"/>
      <c r="R392" s="12"/>
      <c r="S392" s="12"/>
    </row>
    <row r="393" spans="1:24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t="s">
        <v>88</v>
      </c>
      <c r="K393">
        <f>K378/COS((90-K387)/180*3.14)</f>
        <v>212.92901102050533</v>
      </c>
      <c r="N393" s="12"/>
      <c r="O393" s="12"/>
      <c r="P393" s="12"/>
      <c r="Q393" s="12"/>
      <c r="R393" s="12"/>
      <c r="S393" s="12"/>
    </row>
    <row r="394" spans="1:24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t="s">
        <v>137</v>
      </c>
      <c r="M394">
        <f>K384-K385</f>
        <v>23.309477775442389</v>
      </c>
      <c r="N394" s="12"/>
      <c r="O394" s="12"/>
      <c r="P394" s="12"/>
      <c r="Q394" s="12"/>
      <c r="R394" s="12"/>
      <c r="S394" s="12"/>
    </row>
    <row r="395" spans="1:24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t="s">
        <v>138</v>
      </c>
      <c r="M395">
        <f>COS((K384-90)/180*3.14)/COS((K385-90)/180*3.14)</f>
        <v>0.7002177030471548</v>
      </c>
      <c r="N395" s="12"/>
      <c r="O395" s="12"/>
      <c r="P395" s="12"/>
      <c r="Q395" s="12"/>
      <c r="R395" s="12"/>
      <c r="S395" s="12"/>
    </row>
    <row r="396" spans="1:24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t="s">
        <v>145</v>
      </c>
      <c r="M396">
        <f>K378/(2*K379)*(S379)</f>
        <v>0.5</v>
      </c>
      <c r="N396" s="12"/>
      <c r="O396" s="12"/>
      <c r="P396" s="12"/>
      <c r="Q396" s="12"/>
      <c r="R396" s="12"/>
      <c r="S396" s="12"/>
      <c r="T396" s="12"/>
    </row>
    <row r="397" spans="1:24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t="s">
        <v>148</v>
      </c>
      <c r="M397">
        <f>K378*(TAN((90-K386)/180*3.14)-TAN((90-K383)/180*3.14))</f>
        <v>95.971368417613448</v>
      </c>
      <c r="N397" s="12"/>
      <c r="O397" s="12"/>
      <c r="P397" s="12"/>
      <c r="Q397" s="12"/>
      <c r="R397" s="12"/>
      <c r="S397" s="12"/>
      <c r="T397" s="12"/>
    </row>
    <row r="398" spans="1:24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4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t="s">
        <v>18</v>
      </c>
      <c r="N399">
        <f>N378-0.5*K393^2/$C$28</f>
        <v>518.50089139117938</v>
      </c>
      <c r="P399" s="15" t="s">
        <v>144</v>
      </c>
      <c r="Q399" s="15">
        <f>N380/(N399*287)</f>
        <v>5.0879030194477401</v>
      </c>
      <c r="R399" s="12"/>
      <c r="S399" s="12"/>
      <c r="T399" t="s">
        <v>229</v>
      </c>
      <c r="U399">
        <f>N378</f>
        <v>540.51</v>
      </c>
      <c r="W399" t="s">
        <v>221</v>
      </c>
      <c r="X399">
        <f>U401/(U400*287)</f>
        <v>5.376201075829548</v>
      </c>
    </row>
    <row r="400" spans="1:24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t="s">
        <v>19</v>
      </c>
      <c r="N400">
        <f>N379-0.5*K391^2/$C$28</f>
        <v>537.59891754122498</v>
      </c>
      <c r="P400" s="15" t="s">
        <v>152</v>
      </c>
      <c r="Q400" s="15">
        <f>N412/(N400*287)</f>
        <v>5.5346144335396286</v>
      </c>
      <c r="R400" s="12"/>
      <c r="S400" s="12"/>
      <c r="T400" t="s">
        <v>218</v>
      </c>
      <c r="U400">
        <f>U399-0.5*K389^2/$C$28</f>
        <v>529.76689040354802</v>
      </c>
    </row>
    <row r="401" spans="1:2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t="s">
        <v>95</v>
      </c>
      <c r="N401">
        <f>N369</f>
        <v>878046.14720105915</v>
      </c>
      <c r="R401" s="12"/>
      <c r="S401" s="12"/>
      <c r="T401" t="s">
        <v>220</v>
      </c>
      <c r="U401">
        <f>N401/((N378/U400)^($C$27/($C$27-1)))</f>
        <v>817414.26459828508</v>
      </c>
    </row>
    <row r="402" spans="1:2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R402" s="12"/>
      <c r="S402" s="12"/>
      <c r="T402" t="s">
        <v>219</v>
      </c>
      <c r="U402">
        <f>U401+X399*K389^2/2</f>
        <v>876904.09548959078</v>
      </c>
    </row>
    <row r="403" spans="1:2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t="s">
        <v>26</v>
      </c>
      <c r="R403" s="12"/>
      <c r="S403" s="12"/>
      <c r="T403" s="12"/>
    </row>
    <row r="404" spans="1:2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N404" t="s">
        <v>230</v>
      </c>
      <c r="R404" s="12"/>
      <c r="S404" s="12"/>
      <c r="T404" s="12"/>
    </row>
    <row r="405" spans="1:2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O405" t="s">
        <v>231</v>
      </c>
      <c r="P405">
        <f>Comp_combine!AJ5</f>
        <v>0.92911106238318242</v>
      </c>
      <c r="R405" s="12"/>
      <c r="S405" s="12"/>
      <c r="T405" s="12"/>
    </row>
    <row r="406" spans="1:21" x14ac:dyDescent="0.25">
      <c r="T406" s="12"/>
    </row>
    <row r="407" spans="1:21" x14ac:dyDescent="0.25">
      <c r="T407" s="12"/>
    </row>
    <row r="408" spans="1:21" x14ac:dyDescent="0.25">
      <c r="N408" t="s">
        <v>140</v>
      </c>
      <c r="O408">
        <f>(1+P405*E374/N378)^($C$27/($C$27-1))</f>
        <v>1.1213613761176142</v>
      </c>
      <c r="T408" s="12"/>
    </row>
    <row r="409" spans="1:21" x14ac:dyDescent="0.25">
      <c r="T409" s="12"/>
    </row>
    <row r="410" spans="1:21" x14ac:dyDescent="0.25">
      <c r="T410" s="12"/>
    </row>
    <row r="411" spans="1:21" x14ac:dyDescent="0.25">
      <c r="M411" t="s">
        <v>96</v>
      </c>
      <c r="N411">
        <f>N401*O408</f>
        <v>984607.03592014895</v>
      </c>
      <c r="T411" s="12"/>
    </row>
    <row r="412" spans="1:21" x14ac:dyDescent="0.25">
      <c r="M412" s="15" t="s">
        <v>146</v>
      </c>
      <c r="N412" s="15">
        <f>N411*(N400/N379)^($C$27/($C$27-1))</f>
        <v>853940.583073457</v>
      </c>
      <c r="T412" s="12"/>
    </row>
    <row r="413" spans="1:2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2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21" x14ac:dyDescent="0.25">
      <c r="A415">
        <v>9</v>
      </c>
      <c r="B415" t="s">
        <v>180</v>
      </c>
    </row>
    <row r="416" spans="1:21" x14ac:dyDescent="0.25">
      <c r="C416" t="s">
        <v>174</v>
      </c>
      <c r="D416" t="s">
        <v>30</v>
      </c>
      <c r="E416">
        <f>E78</f>
        <v>17.379999999999995</v>
      </c>
      <c r="F416" t="s">
        <v>33</v>
      </c>
    </row>
    <row r="417" spans="1:19" x14ac:dyDescent="0.25">
      <c r="C417" t="s">
        <v>149</v>
      </c>
      <c r="D417" t="s">
        <v>30</v>
      </c>
      <c r="E417">
        <f>G78</f>
        <v>0.83</v>
      </c>
    </row>
    <row r="418" spans="1:19" x14ac:dyDescent="0.25">
      <c r="C418" s="2" t="s">
        <v>145</v>
      </c>
      <c r="D418" s="2" t="s">
        <v>30</v>
      </c>
      <c r="E418" s="2">
        <v>0.5</v>
      </c>
    </row>
    <row r="420" spans="1:19" x14ac:dyDescent="0.25">
      <c r="G420" t="s">
        <v>5</v>
      </c>
      <c r="H420">
        <f>H378-($E$8-$E$9)/8</f>
        <v>1.0130000000000001</v>
      </c>
      <c r="J420" t="s">
        <v>83</v>
      </c>
      <c r="K420">
        <v>130.25</v>
      </c>
      <c r="M420" t="s">
        <v>97</v>
      </c>
      <c r="N420">
        <f>N379</f>
        <v>559.51</v>
      </c>
      <c r="P420" t="s">
        <v>135</v>
      </c>
      <c r="R420" s="14" t="s">
        <v>30</v>
      </c>
      <c r="S420">
        <f>E416*1005/(E417*K420*K421)</f>
        <v>0.67964752172856613</v>
      </c>
    </row>
    <row r="421" spans="1:19" x14ac:dyDescent="0.25">
      <c r="G421" t="s">
        <v>38</v>
      </c>
      <c r="H421">
        <v>469.35</v>
      </c>
      <c r="J421" t="s">
        <v>20</v>
      </c>
      <c r="K421">
        <f>H421*H420/2</f>
        <v>237.72577500000003</v>
      </c>
      <c r="M421" t="s">
        <v>98</v>
      </c>
      <c r="N421">
        <f>N420+E416</f>
        <v>576.89</v>
      </c>
      <c r="P421" t="s">
        <v>132</v>
      </c>
      <c r="R421" t="s">
        <v>30</v>
      </c>
      <c r="S421">
        <f>E418*2*K421/K420</f>
        <v>1.8251499040307104</v>
      </c>
    </row>
    <row r="422" spans="1:19" x14ac:dyDescent="0.25">
      <c r="M422" s="15" t="s">
        <v>130</v>
      </c>
      <c r="N422" s="15">
        <f>N412</f>
        <v>853940.583073457</v>
      </c>
      <c r="P422" t="s">
        <v>133</v>
      </c>
      <c r="R422" t="s">
        <v>30</v>
      </c>
      <c r="S422">
        <f>(S420+S421)/2</f>
        <v>1.2523987128796383</v>
      </c>
    </row>
    <row r="423" spans="1:19" x14ac:dyDescent="0.25">
      <c r="P423" t="s">
        <v>134</v>
      </c>
      <c r="R423" t="s">
        <v>30</v>
      </c>
      <c r="S423">
        <f>(S421-S420)/2</f>
        <v>0.57275119115107209</v>
      </c>
    </row>
    <row r="425" spans="1:19" x14ac:dyDescent="0.25">
      <c r="J425" t="s">
        <v>86</v>
      </c>
      <c r="K425">
        <f>90-ATAN(K421/K420-TAN((K426-90)/180*3.14))/3.14*180</f>
        <v>60.182908396806937</v>
      </c>
    </row>
    <row r="426" spans="1:19" x14ac:dyDescent="0.25">
      <c r="J426" t="s">
        <v>61</v>
      </c>
      <c r="K426">
        <f>ATAN(S422)/3.14*180+90</f>
        <v>141.41983031883041</v>
      </c>
    </row>
    <row r="427" spans="1:19" x14ac:dyDescent="0.25">
      <c r="J427" t="s">
        <v>55</v>
      </c>
      <c r="K427">
        <f>ATAN(S423)/3.14*180+90</f>
        <v>119.81709160319305</v>
      </c>
    </row>
    <row r="428" spans="1:19" x14ac:dyDescent="0.25">
      <c r="J428" t="s">
        <v>136</v>
      </c>
      <c r="K428">
        <f>90-ATAN(K421/K420-TAN((K427-90)/180*3.14))/3.14*180</f>
        <v>38.580169681169579</v>
      </c>
    </row>
    <row r="429" spans="1:19" x14ac:dyDescent="0.25">
      <c r="J429" t="s">
        <v>150</v>
      </c>
      <c r="K429">
        <f>K386</f>
        <v>37.785565149873378</v>
      </c>
    </row>
    <row r="431" spans="1:19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t="s">
        <v>16</v>
      </c>
      <c r="K431">
        <f>K420/COS((90-K425)/180*3.14)</f>
        <v>150.10112665701811</v>
      </c>
      <c r="N431" s="12"/>
      <c r="O431" s="12"/>
      <c r="P431" s="12"/>
      <c r="Q431" s="12"/>
      <c r="R431" s="12"/>
      <c r="S431" s="12"/>
    </row>
    <row r="432" spans="1:19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t="s">
        <v>17</v>
      </c>
      <c r="K432">
        <f>K420/COS((K426-90)/180*3.14)</f>
        <v>208.74579290378878</v>
      </c>
      <c r="N432" s="12"/>
      <c r="O432" s="12"/>
      <c r="P432" s="12"/>
      <c r="Q432" s="12"/>
      <c r="R432" s="12"/>
      <c r="S432" s="12"/>
    </row>
    <row r="433" spans="1:24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t="s">
        <v>117</v>
      </c>
      <c r="K433">
        <f>K420/COS((90-K428)/180*3.14)</f>
        <v>208.74579290378878</v>
      </c>
      <c r="N433" s="12"/>
      <c r="O433" s="12"/>
      <c r="P433" s="12"/>
      <c r="Q433" s="12"/>
      <c r="R433" s="12"/>
      <c r="S433" s="12"/>
    </row>
    <row r="434" spans="1:24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t="s">
        <v>141</v>
      </c>
      <c r="K434">
        <f>K420/COS((K427-90)/180*3.14)</f>
        <v>150.10112665701809</v>
      </c>
      <c r="N434" s="12"/>
      <c r="O434" s="12"/>
      <c r="P434" s="12"/>
      <c r="Q434" s="12"/>
      <c r="R434" s="12"/>
      <c r="S434" s="12"/>
    </row>
    <row r="435" spans="1:24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t="s">
        <v>88</v>
      </c>
      <c r="K435">
        <f>K420/COS((90-K429)/180*3.14)</f>
        <v>212.45430065093197</v>
      </c>
      <c r="N435" s="12"/>
      <c r="O435" s="12"/>
      <c r="P435" s="12"/>
      <c r="Q435" s="12"/>
      <c r="R435" s="12"/>
      <c r="S435" s="12"/>
    </row>
    <row r="436" spans="1:24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t="s">
        <v>137</v>
      </c>
      <c r="M436">
        <f>K426-K427</f>
        <v>21.602738715637358</v>
      </c>
      <c r="N436" s="12"/>
      <c r="O436" s="12"/>
      <c r="P436" s="12"/>
      <c r="Q436" s="12"/>
      <c r="R436" s="12"/>
      <c r="S436" s="12"/>
    </row>
    <row r="437" spans="1:24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t="s">
        <v>138</v>
      </c>
      <c r="M437">
        <f>COS((K426-90)/180*3.14)/COS((K427-90)/180*3.14)</f>
        <v>0.71906180512198337</v>
      </c>
      <c r="N437" s="12"/>
      <c r="O437" s="12"/>
      <c r="P437" s="12"/>
      <c r="Q437" s="12"/>
      <c r="R437" s="12"/>
      <c r="S437" s="12"/>
    </row>
    <row r="438" spans="1:24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t="s">
        <v>145</v>
      </c>
      <c r="M438">
        <f>K420/(2*K421)*(S421)</f>
        <v>0.5</v>
      </c>
      <c r="N438" s="12"/>
      <c r="O438" s="12"/>
      <c r="P438" s="12"/>
      <c r="Q438" s="12"/>
      <c r="R438" s="12"/>
      <c r="S438" s="12"/>
    </row>
    <row r="439" spans="1:24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t="s">
        <v>148</v>
      </c>
      <c r="M439">
        <f>K420*(TAN((90-K428)/180*3.14)-TAN((90-K425)/180*3.14))</f>
        <v>88.524089705145698</v>
      </c>
      <c r="N439" s="12"/>
      <c r="O439" s="12"/>
      <c r="P439" s="12"/>
      <c r="Q439" s="12"/>
      <c r="R439" s="12"/>
      <c r="S439" s="12"/>
    </row>
    <row r="440" spans="1:24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24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t="s">
        <v>18</v>
      </c>
      <c r="N441">
        <f>N420-0.5*K435^2/$C$28</f>
        <v>537.59891754122498</v>
      </c>
      <c r="P441" s="15" t="s">
        <v>144</v>
      </c>
      <c r="Q441" s="15">
        <f>N422/(N441*287)</f>
        <v>5.5346144335396286</v>
      </c>
      <c r="R441" s="12"/>
      <c r="S441" s="12"/>
      <c r="T441" t="s">
        <v>229</v>
      </c>
      <c r="U441">
        <f>N420</f>
        <v>559.51</v>
      </c>
      <c r="W441" t="s">
        <v>221</v>
      </c>
      <c r="X441">
        <f>U443/(U442*287)</f>
        <v>5.8289444823554728</v>
      </c>
    </row>
    <row r="442" spans="1:24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t="s">
        <v>19</v>
      </c>
      <c r="N442">
        <f>N421-0.5*K433^2/$C$28</f>
        <v>555.73718152668368</v>
      </c>
      <c r="P442" t="s">
        <v>152</v>
      </c>
      <c r="Q442">
        <f>N454/(N442*287)</f>
        <v>5.7036456817629029</v>
      </c>
      <c r="R442" s="12"/>
      <c r="T442" t="s">
        <v>218</v>
      </c>
      <c r="U442">
        <f>U441-0.5*K431^2/$C$28</f>
        <v>548.57293775548237</v>
      </c>
    </row>
    <row r="443" spans="1:24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t="s">
        <v>95</v>
      </c>
      <c r="N443">
        <f>N411</f>
        <v>984607.03592014895</v>
      </c>
      <c r="P443" s="12" t="s">
        <v>153</v>
      </c>
      <c r="Q443" s="12"/>
      <c r="R443" s="12">
        <f>N454+0.5*Q442*K433^2</f>
        <v>1033979.5561947181</v>
      </c>
      <c r="S443" s="12"/>
      <c r="T443" t="s">
        <v>220</v>
      </c>
      <c r="U443">
        <f>N443/((N420/U442)^($C$27/($C$27-1)))</f>
        <v>917711.5440267137</v>
      </c>
    </row>
    <row r="444" spans="1:24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R444" s="12"/>
      <c r="S444" s="12"/>
      <c r="T444" t="s">
        <v>219</v>
      </c>
      <c r="U444">
        <f>U443+X441*K431^2/2</f>
        <v>983375.61850877351</v>
      </c>
    </row>
    <row r="445" spans="1:24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t="s">
        <v>26</v>
      </c>
      <c r="R445" s="12"/>
      <c r="S445" s="12"/>
    </row>
    <row r="446" spans="1:24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N446" t="s">
        <v>230</v>
      </c>
      <c r="R446" s="12"/>
      <c r="S446" s="12"/>
    </row>
    <row r="447" spans="1:24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O447" t="s">
        <v>231</v>
      </c>
      <c r="P447">
        <f>Comp_combine!AK5</f>
        <v>0.92395354205826874</v>
      </c>
      <c r="R447" s="12"/>
      <c r="S447" s="12"/>
    </row>
    <row r="450" spans="1:19" x14ac:dyDescent="0.25">
      <c r="N450" t="s">
        <v>140</v>
      </c>
      <c r="O450">
        <f>(1+P447*E416/N420)^($C$27/($C$27-1))</f>
        <v>1.1061125990776055</v>
      </c>
    </row>
    <row r="453" spans="1:19" x14ac:dyDescent="0.25">
      <c r="M453" t="s">
        <v>96</v>
      </c>
      <c r="N453">
        <f>N443*O450</f>
        <v>1089086.2475717333</v>
      </c>
    </row>
    <row r="454" spans="1:19" x14ac:dyDescent="0.25">
      <c r="M454" t="s">
        <v>146</v>
      </c>
      <c r="N454" s="6">
        <f>E4*E5</f>
        <v>909711.929</v>
      </c>
    </row>
    <row r="455" spans="1:19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1"/>
  <sheetViews>
    <sheetView tabSelected="1" topLeftCell="A19" zoomScale="60" zoomScaleNormal="60" workbookViewId="0">
      <selection activeCell="Y49" sqref="Y49"/>
    </sheetView>
  </sheetViews>
  <sheetFormatPr defaultRowHeight="15" x14ac:dyDescent="0.25"/>
  <cols>
    <col min="2" max="2" width="22.28515625" bestFit="1" customWidth="1"/>
    <col min="3" max="18" width="11.42578125" customWidth="1"/>
    <col min="20" max="20" width="24.140625" customWidth="1"/>
  </cols>
  <sheetData>
    <row r="2" spans="1:37" s="12" customFormat="1" x14ac:dyDescent="0.25">
      <c r="A2" s="12" t="s">
        <v>207</v>
      </c>
      <c r="U2" s="19" t="s">
        <v>232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37" s="12" customFormat="1" x14ac:dyDescent="0.25">
      <c r="B3" s="26" t="s">
        <v>182</v>
      </c>
      <c r="C3" s="19" t="s">
        <v>184</v>
      </c>
      <c r="D3" s="19" t="s">
        <v>184</v>
      </c>
      <c r="E3" s="19" t="s">
        <v>184</v>
      </c>
      <c r="F3" s="19" t="s">
        <v>185</v>
      </c>
      <c r="G3" s="19" t="s">
        <v>185</v>
      </c>
      <c r="H3" s="19" t="s">
        <v>185</v>
      </c>
      <c r="I3" s="19" t="s">
        <v>185</v>
      </c>
      <c r="J3" s="19" t="s">
        <v>186</v>
      </c>
      <c r="K3" s="19" t="s">
        <v>186</v>
      </c>
      <c r="L3" s="19" t="s">
        <v>186</v>
      </c>
      <c r="M3" s="19" t="s">
        <v>186</v>
      </c>
      <c r="N3" s="19" t="s">
        <v>186</v>
      </c>
      <c r="O3" s="19" t="s">
        <v>186</v>
      </c>
      <c r="P3" s="19" t="s">
        <v>186</v>
      </c>
      <c r="Q3" s="19" t="s">
        <v>186</v>
      </c>
      <c r="R3" s="19" t="s">
        <v>186</v>
      </c>
      <c r="U3" s="12" t="s">
        <v>182</v>
      </c>
      <c r="V3" s="19" t="s">
        <v>184</v>
      </c>
      <c r="W3" s="19" t="s">
        <v>184</v>
      </c>
      <c r="X3" s="19" t="s">
        <v>184</v>
      </c>
      <c r="Y3" s="19" t="s">
        <v>185</v>
      </c>
      <c r="Z3" s="19" t="s">
        <v>185</v>
      </c>
      <c r="AA3" s="19" t="s">
        <v>185</v>
      </c>
      <c r="AB3" s="19" t="s">
        <v>185</v>
      </c>
      <c r="AC3" s="19" t="s">
        <v>186</v>
      </c>
      <c r="AD3" s="19" t="s">
        <v>186</v>
      </c>
      <c r="AE3" s="19" t="s">
        <v>186</v>
      </c>
      <c r="AF3" s="19" t="s">
        <v>186</v>
      </c>
      <c r="AG3" s="19" t="s">
        <v>186</v>
      </c>
      <c r="AH3" s="19" t="s">
        <v>186</v>
      </c>
      <c r="AI3" s="19" t="s">
        <v>186</v>
      </c>
      <c r="AJ3" s="19" t="s">
        <v>186</v>
      </c>
      <c r="AK3" s="19" t="s">
        <v>186</v>
      </c>
    </row>
    <row r="4" spans="1:37" s="12" customFormat="1" x14ac:dyDescent="0.25">
      <c r="B4" s="26" t="s">
        <v>183</v>
      </c>
      <c r="C4" s="12">
        <v>1</v>
      </c>
      <c r="D4" s="12">
        <v>2</v>
      </c>
      <c r="E4" s="12">
        <v>3</v>
      </c>
      <c r="F4" s="12">
        <v>1</v>
      </c>
      <c r="G4" s="12">
        <v>2</v>
      </c>
      <c r="H4" s="12">
        <v>3</v>
      </c>
      <c r="I4" s="12">
        <v>4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2">
        <v>8</v>
      </c>
      <c r="R4" s="12">
        <v>9</v>
      </c>
      <c r="U4" s="12" t="s">
        <v>183</v>
      </c>
      <c r="V4" s="12">
        <v>1</v>
      </c>
      <c r="W4" s="12">
        <v>2</v>
      </c>
      <c r="X4" s="12">
        <v>3</v>
      </c>
      <c r="Y4" s="12">
        <v>1</v>
      </c>
      <c r="Z4" s="12">
        <v>2</v>
      </c>
      <c r="AA4" s="12">
        <v>3</v>
      </c>
      <c r="AB4" s="12">
        <v>4</v>
      </c>
      <c r="AC4" s="12">
        <v>1</v>
      </c>
      <c r="AD4" s="12">
        <v>2</v>
      </c>
      <c r="AE4" s="12">
        <v>3</v>
      </c>
      <c r="AF4" s="12">
        <v>4</v>
      </c>
      <c r="AG4" s="12">
        <v>5</v>
      </c>
      <c r="AH4" s="12">
        <v>6</v>
      </c>
      <c r="AI4" s="12">
        <v>7</v>
      </c>
      <c r="AJ4" s="12">
        <v>8</v>
      </c>
      <c r="AK4" s="12">
        <v>9</v>
      </c>
    </row>
    <row r="5" spans="1:37" s="12" customFormat="1" x14ac:dyDescent="0.25">
      <c r="B5" s="26" t="s">
        <v>99</v>
      </c>
      <c r="C5" s="12">
        <f>'Comp LP'!E94</f>
        <v>17</v>
      </c>
      <c r="D5" s="12">
        <f>'Comp LP'!E95</f>
        <v>21</v>
      </c>
      <c r="E5" s="12">
        <f>'Comp LP'!E96</f>
        <v>21</v>
      </c>
      <c r="F5" s="12">
        <f>'Comp IP'!E70</f>
        <v>15</v>
      </c>
      <c r="G5" s="12">
        <f>'Comp IP'!E71</f>
        <v>15</v>
      </c>
      <c r="H5" s="12">
        <f>'Comp IP'!E72</f>
        <v>15</v>
      </c>
      <c r="I5" s="12">
        <f>'Comp IP'!E73</f>
        <v>15.490000000000009</v>
      </c>
      <c r="J5" s="12">
        <f>'Comp HP'!E70</f>
        <v>19</v>
      </c>
      <c r="K5" s="12">
        <f>'Comp HP'!E71</f>
        <v>19</v>
      </c>
      <c r="L5" s="12">
        <f>'Comp HP'!E72</f>
        <v>19</v>
      </c>
      <c r="M5" s="12">
        <f>'Comp HP'!E73</f>
        <v>19</v>
      </c>
      <c r="N5" s="12">
        <f>'Comp HP'!E74</f>
        <v>19</v>
      </c>
      <c r="O5" s="12">
        <f>'Comp HP'!E75</f>
        <v>19</v>
      </c>
      <c r="P5" s="12">
        <f>'Comp HP'!E76</f>
        <v>19</v>
      </c>
      <c r="Q5" s="12">
        <f>'Comp HP'!E77</f>
        <v>19</v>
      </c>
      <c r="R5" s="12">
        <f>'Comp HP'!E78</f>
        <v>17.379999999999995</v>
      </c>
      <c r="T5" s="16" t="s">
        <v>237</v>
      </c>
      <c r="U5" s="12" t="s">
        <v>231</v>
      </c>
      <c r="V5">
        <v>0.82062087931791194</v>
      </c>
      <c r="W5">
        <v>0.92968731875953214</v>
      </c>
      <c r="X5">
        <v>0.90741659060029256</v>
      </c>
      <c r="Y5">
        <v>0.95966112034700823</v>
      </c>
      <c r="Z5">
        <v>0.93012786624515553</v>
      </c>
      <c r="AA5">
        <v>0.9302136924112937</v>
      </c>
      <c r="AB5">
        <v>0.89831832920842269</v>
      </c>
      <c r="AC5">
        <v>0.95337700373079892</v>
      </c>
      <c r="AD5">
        <v>0.92881242655761476</v>
      </c>
      <c r="AE5">
        <v>0.92953762478689295</v>
      </c>
      <c r="AF5">
        <v>0.92944942328073188</v>
      </c>
      <c r="AG5">
        <v>0.92939183866213537</v>
      </c>
      <c r="AH5">
        <v>0.92929020042675892</v>
      </c>
      <c r="AI5">
        <v>0.92920426693652014</v>
      </c>
      <c r="AJ5">
        <v>0.92911106238318242</v>
      </c>
      <c r="AK5">
        <v>0.92395354205826874</v>
      </c>
    </row>
    <row r="6" spans="1:37" s="12" customFormat="1" x14ac:dyDescent="0.25">
      <c r="B6" s="26" t="s">
        <v>24</v>
      </c>
      <c r="C6" s="12">
        <f>'Comp LP'!E3</f>
        <v>150</v>
      </c>
      <c r="D6" s="12">
        <f>'Comp LP'!E3</f>
        <v>150</v>
      </c>
      <c r="E6" s="12">
        <f>'Comp LP'!E3</f>
        <v>150</v>
      </c>
      <c r="F6" s="12">
        <f>'Comp LP'!E3</f>
        <v>150</v>
      </c>
      <c r="G6" s="12">
        <f>'Comp LP'!E3</f>
        <v>150</v>
      </c>
      <c r="H6" s="12">
        <f>'Comp LP'!E3</f>
        <v>150</v>
      </c>
      <c r="I6" s="12">
        <f>'Comp LP'!E3</f>
        <v>150</v>
      </c>
      <c r="J6" s="12">
        <f>'Comp LP'!E3</f>
        <v>150</v>
      </c>
      <c r="K6" s="12">
        <f>'Comp LP'!E3</f>
        <v>150</v>
      </c>
      <c r="L6" s="12">
        <f>'Comp LP'!E3</f>
        <v>150</v>
      </c>
      <c r="M6" s="12">
        <f>'Comp LP'!E3</f>
        <v>150</v>
      </c>
      <c r="N6" s="12">
        <f>'Comp LP'!E3</f>
        <v>150</v>
      </c>
      <c r="O6" s="12">
        <f>'Comp LP'!E3</f>
        <v>150</v>
      </c>
      <c r="P6" s="12">
        <f>'Comp LP'!E3</f>
        <v>150</v>
      </c>
      <c r="Q6" s="12">
        <f>'Comp LP'!E3</f>
        <v>150</v>
      </c>
      <c r="R6" s="12">
        <f>'Comp LP'!E3</f>
        <v>150</v>
      </c>
    </row>
    <row r="7" spans="1:37" s="12" customFormat="1" x14ac:dyDescent="0.25">
      <c r="B7" s="26" t="s">
        <v>149</v>
      </c>
      <c r="C7" s="12">
        <f>'Comp LP'!G94</f>
        <v>0.98</v>
      </c>
      <c r="D7" s="12">
        <f>'Comp LP'!G95</f>
        <v>0.93</v>
      </c>
      <c r="E7" s="12">
        <f>'Comp LP'!G96</f>
        <v>0.88</v>
      </c>
      <c r="F7" s="12">
        <f>'Comp IP'!G70</f>
        <v>0.85</v>
      </c>
      <c r="G7" s="12">
        <f>'Comp IP'!G71</f>
        <v>0.85</v>
      </c>
      <c r="H7" s="12">
        <f>'Comp IP'!G72</f>
        <v>0.85</v>
      </c>
      <c r="I7" s="12">
        <f>'Comp IP'!G73</f>
        <v>0.85</v>
      </c>
      <c r="J7" s="12">
        <f>'Comp HP'!G70</f>
        <v>0.83</v>
      </c>
      <c r="K7" s="12">
        <f>'Comp HP'!G71</f>
        <v>0.83</v>
      </c>
      <c r="L7" s="12">
        <f>'Comp HP'!G72</f>
        <v>0.83</v>
      </c>
      <c r="M7" s="12">
        <f>'Comp HP'!G73</f>
        <v>0.83</v>
      </c>
      <c r="N7" s="12">
        <f>'Comp HP'!G74</f>
        <v>0.83</v>
      </c>
      <c r="O7" s="12">
        <f>'Comp HP'!G75</f>
        <v>0.83</v>
      </c>
      <c r="P7" s="12">
        <f>'Comp HP'!G76</f>
        <v>0.83</v>
      </c>
      <c r="Q7" s="12">
        <f>'Comp HP'!G77</f>
        <v>0.83</v>
      </c>
      <c r="R7" s="12">
        <f>'Comp HP'!G78</f>
        <v>0.83</v>
      </c>
    </row>
    <row r="8" spans="1:37" s="23" customFormat="1" x14ac:dyDescent="0.25">
      <c r="B8" s="27" t="s">
        <v>5</v>
      </c>
      <c r="C8" s="38">
        <v>0.71828380579464857</v>
      </c>
      <c r="D8" s="38">
        <v>0.68844375648489342</v>
      </c>
      <c r="E8" s="38">
        <v>0.65584333295876851</v>
      </c>
      <c r="F8" s="38">
        <v>0.64812075118208856</v>
      </c>
      <c r="G8" s="38">
        <v>0.63362150761480041</v>
      </c>
      <c r="H8" s="38">
        <v>0.62006369273629214</v>
      </c>
      <c r="I8" s="38">
        <v>0.6061429970120219</v>
      </c>
      <c r="J8" s="38">
        <v>0.60155102448153364</v>
      </c>
      <c r="K8" s="38">
        <v>0.591468635196439</v>
      </c>
      <c r="L8" s="38">
        <v>0.58228814905309279</v>
      </c>
      <c r="M8" s="38">
        <v>0.57375281543164458</v>
      </c>
      <c r="N8" s="38">
        <v>0.56575569775235035</v>
      </c>
      <c r="O8" s="38">
        <v>0.55821120282573167</v>
      </c>
      <c r="P8" s="38">
        <v>0.55104987994757193</v>
      </c>
      <c r="Q8" s="38">
        <v>0.54421508705454147</v>
      </c>
      <c r="R8" s="39">
        <v>0.53847261171204752</v>
      </c>
    </row>
    <row r="9" spans="1:37" s="12" customFormat="1" x14ac:dyDescent="0.25">
      <c r="B9" s="26" t="s">
        <v>38</v>
      </c>
      <c r="C9" s="12">
        <f>'Comp LP'!H101</f>
        <v>469.35</v>
      </c>
      <c r="D9" s="12">
        <f>'Comp LP'!H141</f>
        <v>469.35</v>
      </c>
      <c r="E9" s="12">
        <f>'Comp LP'!H183</f>
        <v>469.35</v>
      </c>
      <c r="F9" s="12">
        <f>'Comp IP'!H81</f>
        <v>469.35</v>
      </c>
      <c r="G9" s="12">
        <f>'Comp IP'!H121</f>
        <v>469.35</v>
      </c>
      <c r="H9" s="12">
        <f>'Comp IP'!H163</f>
        <v>469.35</v>
      </c>
      <c r="I9" s="12">
        <f>'Comp IP'!H205</f>
        <v>469.35</v>
      </c>
      <c r="J9" s="12">
        <f>'Comp HP'!H87</f>
        <v>469.35</v>
      </c>
      <c r="K9" s="12">
        <f>'Comp HP'!H127</f>
        <v>469.35</v>
      </c>
      <c r="L9" s="12">
        <f>'Comp HP'!H169</f>
        <v>469.35</v>
      </c>
      <c r="M9" s="12">
        <f>'Comp HP'!H211</f>
        <v>469.35</v>
      </c>
      <c r="N9" s="12">
        <f>'Comp HP'!H253</f>
        <v>469.35</v>
      </c>
      <c r="O9" s="12">
        <f>'Comp HP'!H295</f>
        <v>469.35</v>
      </c>
      <c r="P9" s="12">
        <f>'Comp HP'!H337</f>
        <v>469.35</v>
      </c>
      <c r="Q9" s="12">
        <f>'Comp HP'!H379</f>
        <v>469.35</v>
      </c>
      <c r="R9" s="12">
        <f>'Comp HP'!H421</f>
        <v>469.35</v>
      </c>
    </row>
    <row r="10" spans="1:37" s="16" customFormat="1" x14ac:dyDescent="0.25">
      <c r="B10" s="28" t="s">
        <v>83</v>
      </c>
      <c r="C10" s="16">
        <f>'Comp LP'!K100</f>
        <v>130.25</v>
      </c>
      <c r="D10" s="16">
        <f>'Comp LP'!K140</f>
        <v>130.25</v>
      </c>
      <c r="E10" s="16">
        <f>'Comp LP'!K182</f>
        <v>130.25</v>
      </c>
      <c r="F10" s="16">
        <f>'Comp IP'!K80</f>
        <v>130.25</v>
      </c>
      <c r="G10" s="16">
        <f>'Comp IP'!K120</f>
        <v>130.25</v>
      </c>
      <c r="H10" s="16">
        <f>'Comp IP'!K162</f>
        <v>130.25</v>
      </c>
      <c r="I10" s="16">
        <f>'Comp IP'!K204</f>
        <v>130.25</v>
      </c>
      <c r="J10" s="16">
        <f>'Comp HP'!K86</f>
        <v>130.25</v>
      </c>
      <c r="K10" s="16">
        <f>'Comp HP'!K126</f>
        <v>130.25</v>
      </c>
      <c r="L10" s="16">
        <f>'Comp HP'!K168</f>
        <v>130.25</v>
      </c>
      <c r="M10" s="16">
        <f>'Comp HP'!K210</f>
        <v>130.25</v>
      </c>
      <c r="N10" s="16">
        <f>'Comp HP'!K252</f>
        <v>130.25</v>
      </c>
      <c r="O10" s="16">
        <f>'Comp HP'!K294</f>
        <v>130.25</v>
      </c>
      <c r="P10" s="16">
        <f>'Comp HP'!K336</f>
        <v>130.25</v>
      </c>
      <c r="Q10" s="16">
        <f>'Comp HP'!K378</f>
        <v>130.25</v>
      </c>
      <c r="R10" s="16">
        <f>'Comp HP'!K420</f>
        <v>130.25</v>
      </c>
      <c r="T10" s="16" t="s">
        <v>234</v>
      </c>
      <c r="U10" s="12" t="s">
        <v>231</v>
      </c>
      <c r="V10" s="12">
        <v>0.9</v>
      </c>
      <c r="W10" s="12">
        <v>0.9</v>
      </c>
      <c r="X10" s="12">
        <v>0.9</v>
      </c>
      <c r="Y10" s="12">
        <v>0.9</v>
      </c>
      <c r="Z10" s="12">
        <v>0.9</v>
      </c>
      <c r="AA10" s="12">
        <v>0.9</v>
      </c>
      <c r="AB10" s="12">
        <v>0.9</v>
      </c>
      <c r="AC10" s="12">
        <v>0.9</v>
      </c>
      <c r="AD10" s="12">
        <v>0.9</v>
      </c>
      <c r="AE10" s="12">
        <v>0.9</v>
      </c>
      <c r="AF10" s="12">
        <v>0.9</v>
      </c>
      <c r="AG10" s="12">
        <v>0.9</v>
      </c>
      <c r="AH10" s="12">
        <v>0.9</v>
      </c>
      <c r="AI10" s="12">
        <v>0.9</v>
      </c>
      <c r="AJ10" s="12">
        <v>0.9</v>
      </c>
      <c r="AK10" s="12">
        <v>0.9</v>
      </c>
    </row>
    <row r="11" spans="1:37" s="16" customFormat="1" x14ac:dyDescent="0.25">
      <c r="B11" s="28" t="s">
        <v>20</v>
      </c>
      <c r="C11" s="16">
        <f>C8*469.35</f>
        <v>337.12650424971832</v>
      </c>
      <c r="D11" s="16">
        <f t="shared" ref="D11:R11" si="0">D8*469.35</f>
        <v>323.12107710618477</v>
      </c>
      <c r="E11" s="16">
        <f t="shared" si="0"/>
        <v>307.82006832419802</v>
      </c>
      <c r="F11" s="16">
        <f t="shared" si="0"/>
        <v>304.19547456731328</v>
      </c>
      <c r="G11" s="16">
        <f t="shared" si="0"/>
        <v>297.3902545990066</v>
      </c>
      <c r="H11" s="16">
        <f t="shared" si="0"/>
        <v>291.0268941857787</v>
      </c>
      <c r="I11" s="16">
        <f t="shared" si="0"/>
        <v>284.49321564759248</v>
      </c>
      <c r="J11" s="16">
        <f t="shared" si="0"/>
        <v>282.33797334040781</v>
      </c>
      <c r="K11" s="16">
        <f t="shared" si="0"/>
        <v>277.60580392944865</v>
      </c>
      <c r="L11" s="16">
        <f t="shared" si="0"/>
        <v>273.29694275806912</v>
      </c>
      <c r="M11" s="16">
        <f t="shared" si="0"/>
        <v>269.2908839228424</v>
      </c>
      <c r="N11" s="16">
        <f t="shared" si="0"/>
        <v>265.53743674006563</v>
      </c>
      <c r="O11" s="16">
        <f t="shared" si="0"/>
        <v>261.99642804625717</v>
      </c>
      <c r="P11" s="16">
        <f t="shared" si="0"/>
        <v>258.63526115339289</v>
      </c>
      <c r="Q11" s="16">
        <f t="shared" si="0"/>
        <v>255.42735110904906</v>
      </c>
      <c r="R11" s="16">
        <f t="shared" si="0"/>
        <v>252.73212030704951</v>
      </c>
      <c r="T11" s="16" t="s">
        <v>235</v>
      </c>
      <c r="V11">
        <v>0.82082115499037178</v>
      </c>
      <c r="W11">
        <v>0.92971361147657838</v>
      </c>
      <c r="X11">
        <v>0.90739585087249763</v>
      </c>
      <c r="Y11">
        <v>0.95965573151827344</v>
      </c>
      <c r="Z11">
        <v>0.93013623545372992</v>
      </c>
      <c r="AA11">
        <v>0.93022783429712841</v>
      </c>
      <c r="AB11">
        <v>0.89838945327315523</v>
      </c>
      <c r="AC11">
        <v>0.95337229393692058</v>
      </c>
      <c r="AD11">
        <v>0.92882766262554484</v>
      </c>
      <c r="AE11">
        <v>0.92956146996887168</v>
      </c>
      <c r="AF11">
        <v>0.92948262320884512</v>
      </c>
      <c r="AG11">
        <v>0.92943416948286206</v>
      </c>
      <c r="AH11">
        <v>0.92934162515713814</v>
      </c>
      <c r="AI11">
        <v>0.92926461615221145</v>
      </c>
      <c r="AJ11">
        <v>0.929180241200948</v>
      </c>
      <c r="AK11">
        <v>0.92405474186328207</v>
      </c>
    </row>
    <row r="12" spans="1:37" s="16" customFormat="1" x14ac:dyDescent="0.25">
      <c r="B12" s="28" t="s">
        <v>94</v>
      </c>
      <c r="C12" s="36">
        <v>59.219908042632731</v>
      </c>
      <c r="D12" s="36">
        <v>59.480479182831743</v>
      </c>
      <c r="E12" s="36">
        <v>43.985728990493804</v>
      </c>
      <c r="F12" s="36">
        <v>44.633651085707491</v>
      </c>
      <c r="G12" s="36">
        <v>33.644067434882984</v>
      </c>
      <c r="H12" s="36">
        <v>34.224153043817687</v>
      </c>
      <c r="I12" s="36">
        <v>34.727633365561928</v>
      </c>
      <c r="J12" s="36">
        <v>40.913421659726701</v>
      </c>
      <c r="K12" s="36">
        <v>33.694112749845189</v>
      </c>
      <c r="L12" s="36">
        <v>34.279498167078714</v>
      </c>
      <c r="M12" s="36">
        <v>34.630655709296875</v>
      </c>
      <c r="N12" s="36">
        <v>34.948096697283816</v>
      </c>
      <c r="O12" s="36">
        <v>35.237459820040236</v>
      </c>
      <c r="P12" s="36">
        <v>35.503197009507026</v>
      </c>
      <c r="Q12" s="36">
        <v>35.748893563600284</v>
      </c>
      <c r="R12" s="37">
        <v>35.977441973297054</v>
      </c>
      <c r="T12" s="16" t="s">
        <v>236</v>
      </c>
      <c r="V12">
        <v>0.82062138434766352</v>
      </c>
      <c r="W12">
        <v>0.92968746875965469</v>
      </c>
      <c r="X12">
        <v>0.90741648436604638</v>
      </c>
      <c r="Y12">
        <v>0.95966111986005398</v>
      </c>
      <c r="Z12">
        <v>0.93012786796174241</v>
      </c>
      <c r="AA12">
        <v>0.93021369310494106</v>
      </c>
      <c r="AB12">
        <v>0.89831831964927833</v>
      </c>
      <c r="AC12">
        <v>0.95337700331504038</v>
      </c>
      <c r="AD12">
        <v>0.92881242939870068</v>
      </c>
      <c r="AE12">
        <v>0.92953762353571867</v>
      </c>
      <c r="AF12">
        <v>0.92944941550093019</v>
      </c>
      <c r="AG12">
        <v>0.92939182170769441</v>
      </c>
      <c r="AH12">
        <v>0.92929017177123396</v>
      </c>
      <c r="AI12">
        <v>0.92920422420041782</v>
      </c>
      <c r="AJ12">
        <v>0.92911100328373075</v>
      </c>
      <c r="AK12">
        <v>0.92395343670189489</v>
      </c>
    </row>
    <row r="13" spans="1:37" s="16" customFormat="1" x14ac:dyDescent="0.25">
      <c r="B13" s="28" t="s">
        <v>86</v>
      </c>
      <c r="C13" s="36">
        <v>89.988433304760377</v>
      </c>
      <c r="D13" s="36">
        <v>75.655598644235667</v>
      </c>
      <c r="E13" s="36">
        <v>79.096381078398494</v>
      </c>
      <c r="F13" s="36">
        <v>48.229704008738416</v>
      </c>
      <c r="G13" s="36">
        <v>49.217586221285188</v>
      </c>
      <c r="H13" s="36">
        <v>50.192244867145888</v>
      </c>
      <c r="I13" s="36">
        <v>62.177600717310902</v>
      </c>
      <c r="J13" s="36">
        <v>55.10827852030549</v>
      </c>
      <c r="K13" s="36">
        <v>55.505183437930732</v>
      </c>
      <c r="L13" s="36">
        <v>56.223122719786943</v>
      </c>
      <c r="M13" s="36">
        <v>56.907910970402725</v>
      </c>
      <c r="N13" s="36">
        <v>57.566429268502105</v>
      </c>
      <c r="O13" s="36">
        <v>58.204397095156018</v>
      </c>
      <c r="P13" s="36">
        <v>58.826346162554778</v>
      </c>
      <c r="Q13" s="36">
        <v>59.435942764851063</v>
      </c>
      <c r="R13" s="37">
        <v>58.604267612474978</v>
      </c>
      <c r="T13" s="16" t="s">
        <v>237</v>
      </c>
      <c r="V13">
        <v>0.82062088058823479</v>
      </c>
      <c r="W13">
        <v>0.92968731920566139</v>
      </c>
      <c r="X13">
        <v>0.9074165902889062</v>
      </c>
      <c r="Y13">
        <v>0.95966112034696427</v>
      </c>
      <c r="Z13">
        <v>0.93012786624539423</v>
      </c>
      <c r="AA13">
        <v>0.93021369241113461</v>
      </c>
      <c r="AB13">
        <v>0.89831832920732624</v>
      </c>
      <c r="AC13">
        <v>0.95337700373076217</v>
      </c>
      <c r="AD13">
        <v>0.92881242655799201</v>
      </c>
      <c r="AE13">
        <v>0.92953762478604784</v>
      </c>
      <c r="AF13">
        <v>0.929449423279746</v>
      </c>
      <c r="AG13">
        <v>0.92939183866273956</v>
      </c>
      <c r="AH13">
        <v>0.92929020043138633</v>
      </c>
      <c r="AI13">
        <v>0.92920426694822345</v>
      </c>
      <c r="AJ13">
        <v>0.92911106240557106</v>
      </c>
      <c r="AK13">
        <v>0.92395354211210123</v>
      </c>
    </row>
    <row r="14" spans="1:37" s="16" customFormat="1" x14ac:dyDescent="0.25">
      <c r="B14" s="28" t="s">
        <v>61</v>
      </c>
      <c r="C14" s="36">
        <v>159.84697375897559</v>
      </c>
      <c r="D14" s="36">
        <v>156.9595881201102</v>
      </c>
      <c r="E14" s="36">
        <v>156.28298202989993</v>
      </c>
      <c r="F14" s="36">
        <v>146.44701838479369</v>
      </c>
      <c r="G14" s="36">
        <v>145.84032733103402</v>
      </c>
      <c r="H14" s="36">
        <v>145.3265264179623</v>
      </c>
      <c r="I14" s="36">
        <v>149.44605039082802</v>
      </c>
      <c r="J14" s="36">
        <v>146.40461274853811</v>
      </c>
      <c r="K14" s="36">
        <v>145.81522268652625</v>
      </c>
      <c r="L14" s="36">
        <v>145.45348772075386</v>
      </c>
      <c r="M14" s="36">
        <v>145.12709496402169</v>
      </c>
      <c r="N14" s="36">
        <v>144.83036415917169</v>
      </c>
      <c r="O14" s="36">
        <v>144.55849019062561</v>
      </c>
      <c r="P14" s="36">
        <v>144.30765703421665</v>
      </c>
      <c r="Q14" s="36">
        <v>144.07477254747351</v>
      </c>
      <c r="R14" s="37">
        <v>143.17507703826712</v>
      </c>
      <c r="T14" s="16" t="s">
        <v>238</v>
      </c>
      <c r="V14">
        <v>0.82062087931791194</v>
      </c>
      <c r="W14">
        <v>0.92968731875953214</v>
      </c>
      <c r="X14">
        <v>0.90741659060029256</v>
      </c>
      <c r="Y14">
        <v>0.95966112034700823</v>
      </c>
      <c r="Z14">
        <v>0.93012786624515553</v>
      </c>
      <c r="AA14">
        <v>0.9302136924112937</v>
      </c>
      <c r="AB14">
        <v>0.89831832920842269</v>
      </c>
      <c r="AC14">
        <v>0.95337700373079892</v>
      </c>
      <c r="AD14">
        <v>0.92881242655761476</v>
      </c>
      <c r="AE14">
        <v>0.92953762478689295</v>
      </c>
      <c r="AF14">
        <v>0.92944942328073188</v>
      </c>
      <c r="AG14">
        <v>0.92939183866213537</v>
      </c>
      <c r="AH14">
        <v>0.92929020042675892</v>
      </c>
      <c r="AI14">
        <v>0.92920426693652014</v>
      </c>
      <c r="AJ14">
        <v>0.92911106238318242</v>
      </c>
      <c r="AK14">
        <v>0.92395354205826874</v>
      </c>
    </row>
    <row r="15" spans="1:37" s="16" customFormat="1" x14ac:dyDescent="0.25">
      <c r="B15" s="28" t="s">
        <v>136</v>
      </c>
      <c r="C15" s="16">
        <f>'Comp LP'!K108</f>
        <v>64.645014652284644</v>
      </c>
      <c r="D15" s="16">
        <f>'Comp LP'!K148</f>
        <v>49.836730023842485</v>
      </c>
      <c r="E15" s="16">
        <f>'Comp LP'!K190</f>
        <v>49.432545015128468</v>
      </c>
      <c r="F15" s="16">
        <f>'Comp IP'!K88</f>
        <v>38.128638493914551</v>
      </c>
      <c r="G15" s="16">
        <f>'Comp IP'!K128</f>
        <v>38.374567855172891</v>
      </c>
      <c r="H15" s="16">
        <f>'Comp IP'!K170</f>
        <v>38.592453799009085</v>
      </c>
      <c r="I15" s="16">
        <f>'Comp IP'!K212</f>
        <v>44.488109896811942</v>
      </c>
      <c r="J15" s="16">
        <f>'Comp HP'!K94</f>
        <v>36.900125161688365</v>
      </c>
      <c r="K15" s="16">
        <f>'Comp HP'!K134</f>
        <v>37.182361988085248</v>
      </c>
      <c r="L15" s="16">
        <f>'Comp HP'!K176</f>
        <v>37.28420097692878</v>
      </c>
      <c r="M15" s="16">
        <f>'Comp HP'!K218</f>
        <v>37.385564272049358</v>
      </c>
      <c r="N15" s="16">
        <f>'Comp HP'!K260</f>
        <v>37.48641801746124</v>
      </c>
      <c r="O15" s="16">
        <f>'Comp HP'!K302</f>
        <v>37.586727157650621</v>
      </c>
      <c r="P15" s="16">
        <f>'Comp HP'!K344</f>
        <v>37.686455395710141</v>
      </c>
      <c r="Q15" s="16">
        <f>'Comp HP'!K386</f>
        <v>37.785565149873378</v>
      </c>
      <c r="R15" s="16">
        <f>'Comp HP'!K428</f>
        <v>38.580169681169579</v>
      </c>
    </row>
    <row r="16" spans="1:37" s="16" customFormat="1" x14ac:dyDescent="0.25">
      <c r="B16" s="28" t="s">
        <v>55</v>
      </c>
      <c r="C16" s="36">
        <v>154.33010422178313</v>
      </c>
      <c r="D16" s="36">
        <v>146.66602168618462</v>
      </c>
      <c r="E16" s="36">
        <v>144.24704809590347</v>
      </c>
      <c r="F16" s="36">
        <v>131.58356792457917</v>
      </c>
      <c r="G16" s="36">
        <v>130.63591239320928</v>
      </c>
      <c r="H16" s="36">
        <v>129.68044455529841</v>
      </c>
      <c r="I16" s="36">
        <v>136.56344946160408</v>
      </c>
      <c r="J16" s="36">
        <v>124.77452446888378</v>
      </c>
      <c r="K16" s="36">
        <v>124.39250000797054</v>
      </c>
      <c r="L16" s="36">
        <v>123.69008064058886</v>
      </c>
      <c r="M16" s="36">
        <v>123.01825321765909</v>
      </c>
      <c r="N16" s="36">
        <v>122.37038692710678</v>
      </c>
      <c r="O16" s="36">
        <v>121.74126797884449</v>
      </c>
      <c r="P16" s="36">
        <v>121.12671084661623</v>
      </c>
      <c r="Q16" s="36">
        <v>120.52333551244035</v>
      </c>
      <c r="R16" s="37">
        <v>121.44257922515814</v>
      </c>
    </row>
    <row r="17" spans="2:18" s="33" customFormat="1" x14ac:dyDescent="0.25">
      <c r="B17" s="32" t="s">
        <v>88</v>
      </c>
      <c r="C17" s="33">
        <f>'Comp LP'!K115</f>
        <v>144.11883586897099</v>
      </c>
      <c r="D17" s="33">
        <f>'Comp LP'!K155</f>
        <v>144.11883586897099</v>
      </c>
      <c r="E17" s="33">
        <f>'Comp LP'!K197</f>
        <v>170.38643225010972</v>
      </c>
      <c r="F17" s="33">
        <f>'Comp IP'!K95</f>
        <v>171.40994645086116</v>
      </c>
      <c r="G17" s="33">
        <f>'Comp IP'!K135</f>
        <v>210.83212467105315</v>
      </c>
      <c r="H17" s="33">
        <f>'Comp IP'!K177</f>
        <v>209.68903447333773</v>
      </c>
      <c r="I17" s="33">
        <f>'Comp IP'!K219</f>
        <v>208.68979035762283</v>
      </c>
      <c r="J17" s="33">
        <f>'Comp HP'!K101</f>
        <v>185.79314841945788</v>
      </c>
      <c r="K17" s="33">
        <f>'Comp HP'!K141</f>
        <v>216.7951321980029</v>
      </c>
      <c r="L17" s="33">
        <f>'Comp HP'!K183</f>
        <v>215.38675050478085</v>
      </c>
      <c r="M17" s="33">
        <f>'Comp HP'!K225</f>
        <v>214.88432291949724</v>
      </c>
      <c r="N17" s="33">
        <f>'Comp HP'!K267</f>
        <v>214.38723472697504</v>
      </c>
      <c r="O17" s="33">
        <f>'Comp HP'!K309</f>
        <v>213.89558484618757</v>
      </c>
      <c r="P17" s="33">
        <f>'Comp HP'!K351</f>
        <v>213.4094752340624</v>
      </c>
      <c r="Q17" s="33">
        <f>'Comp HP'!K393</f>
        <v>212.92901102050533</v>
      </c>
      <c r="R17" s="33">
        <f>'Comp HP'!K435</f>
        <v>212.45430065093197</v>
      </c>
    </row>
    <row r="18" spans="2:18" s="16" customFormat="1" x14ac:dyDescent="0.25">
      <c r="B18" s="28" t="s">
        <v>16</v>
      </c>
      <c r="C18" s="16">
        <f>'Comp LP'!K111</f>
        <v>130.25</v>
      </c>
      <c r="D18" s="16">
        <f>'Comp LP'!K151</f>
        <v>132.98406709592254</v>
      </c>
      <c r="E18" s="16">
        <f>'Comp LP'!K193</f>
        <v>131.87074152199119</v>
      </c>
      <c r="F18" s="16">
        <f>'Comp IP'!K91</f>
        <v>163.17676115656232</v>
      </c>
      <c r="G18" s="16">
        <f>'Comp IP'!K131</f>
        <v>161.96974118863554</v>
      </c>
      <c r="H18" s="16">
        <f>'Comp IP'!K173</f>
        <v>160.67400064061866</v>
      </c>
      <c r="I18" s="16">
        <f>'Comp IP'!K215</f>
        <v>143.52686938308381</v>
      </c>
      <c r="J18" s="16">
        <f>'Comp HP'!K97</f>
        <v>153.04187692176779</v>
      </c>
      <c r="K18" s="16">
        <f>'Comp HP'!K137</f>
        <v>152.92294856110763</v>
      </c>
      <c r="L18" s="16">
        <f>'Comp HP'!K179</f>
        <v>152.21448071778593</v>
      </c>
      <c r="M18" s="16">
        <f>'Comp HP'!K221</f>
        <v>151.51192137087276</v>
      </c>
      <c r="N18" s="16">
        <f>'Comp HP'!K263</f>
        <v>150.81544058983837</v>
      </c>
      <c r="O18" s="16">
        <f>'Comp HP'!K305</f>
        <v>150.12521448208599</v>
      </c>
      <c r="P18" s="16">
        <f>'Comp HP'!K347</f>
        <v>149.4414254408226</v>
      </c>
      <c r="Q18" s="16">
        <f>'Comp HP'!K389</f>
        <v>148.7642624042852</v>
      </c>
      <c r="R18" s="16">
        <f>'Comp HP'!K431</f>
        <v>150.10112665701811</v>
      </c>
    </row>
    <row r="19" spans="2:18" s="16" customFormat="1" x14ac:dyDescent="0.25">
      <c r="B19" s="28" t="s">
        <v>17</v>
      </c>
      <c r="C19" s="16">
        <f>'Comp LP'!K112</f>
        <v>311.1890415774721</v>
      </c>
      <c r="D19" s="16">
        <f>'Comp LP'!K152</f>
        <v>278.81583287651802</v>
      </c>
      <c r="E19" s="16">
        <f>'Comp LP'!K194</f>
        <v>276.11937899618562</v>
      </c>
      <c r="F19" s="16">
        <f>'Comp IP'!K92</f>
        <v>210.83212467105321</v>
      </c>
      <c r="G19" s="16">
        <f>'Comp IP'!K132</f>
        <v>209.68903447333767</v>
      </c>
      <c r="H19" s="16">
        <f>'Comp IP'!K174</f>
        <v>208.6897903576228</v>
      </c>
      <c r="I19" s="16">
        <f>'Comp IP'!K216</f>
        <v>233.14598324285731</v>
      </c>
      <c r="J19" s="16">
        <f>'Comp HP'!K98</f>
        <v>216.79513219800282</v>
      </c>
      <c r="K19" s="16">
        <f>'Comp HP'!K138</f>
        <v>215.38675050478093</v>
      </c>
      <c r="L19" s="16">
        <f>'Comp HP'!K180</f>
        <v>214.88432291949721</v>
      </c>
      <c r="M19" s="16">
        <f>'Comp HP'!K222</f>
        <v>214.38723472697507</v>
      </c>
      <c r="N19" s="16">
        <f>'Comp HP'!K264</f>
        <v>213.8955848461876</v>
      </c>
      <c r="O19" s="16">
        <f>'Comp HP'!K306</f>
        <v>213.40947523406246</v>
      </c>
      <c r="P19" s="16">
        <f>'Comp HP'!K348</f>
        <v>212.92901102050533</v>
      </c>
      <c r="Q19" s="16">
        <f>'Comp HP'!K390</f>
        <v>212.45430065093197</v>
      </c>
      <c r="R19" s="16">
        <f>'Comp HP'!K432</f>
        <v>208.74579290378878</v>
      </c>
    </row>
    <row r="20" spans="2:18" s="16" customFormat="1" x14ac:dyDescent="0.25">
      <c r="B20" s="28" t="s">
        <v>117</v>
      </c>
      <c r="C20" s="16">
        <f>'Comp LP'!K113</f>
        <v>144.11883586897099</v>
      </c>
      <c r="D20" s="16">
        <f>'Comp LP'!K153</f>
        <v>170.38643225010972</v>
      </c>
      <c r="E20" s="16">
        <f>'Comp LP'!K195</f>
        <v>171.40994645086116</v>
      </c>
      <c r="F20" s="16">
        <f>'Comp IP'!K93</f>
        <v>210.83212467105315</v>
      </c>
      <c r="G20" s="16">
        <f>'Comp IP'!K133</f>
        <v>209.68903447333773</v>
      </c>
      <c r="H20" s="16">
        <f>'Comp IP'!K175</f>
        <v>208.68979035762283</v>
      </c>
      <c r="I20" s="16">
        <f>'Comp IP'!K217</f>
        <v>185.79314841945788</v>
      </c>
      <c r="J20" s="16">
        <f>'Comp HP'!K99</f>
        <v>216.7951321980029</v>
      </c>
      <c r="K20" s="16">
        <f>'Comp HP'!K139</f>
        <v>215.38675050478085</v>
      </c>
      <c r="L20" s="16">
        <f>'Comp HP'!K181</f>
        <v>214.88432291949724</v>
      </c>
      <c r="M20" s="16">
        <f>'Comp HP'!K223</f>
        <v>214.38723472697504</v>
      </c>
      <c r="N20" s="16">
        <f>'Comp HP'!K265</f>
        <v>213.89558484618757</v>
      </c>
      <c r="O20" s="16">
        <f>'Comp HP'!K307</f>
        <v>213.4094752340624</v>
      </c>
      <c r="P20" s="16">
        <f>'Comp HP'!K349</f>
        <v>212.92901102050533</v>
      </c>
      <c r="Q20" s="16">
        <f>'Comp HP'!K391</f>
        <v>212.45430065093197</v>
      </c>
      <c r="R20" s="16">
        <f>'Comp HP'!K433</f>
        <v>208.74579290378878</v>
      </c>
    </row>
    <row r="21" spans="2:18" s="16" customFormat="1" x14ac:dyDescent="0.25">
      <c r="B21" s="28" t="s">
        <v>141</v>
      </c>
      <c r="C21" s="16">
        <f>'Comp LP'!K114</f>
        <v>256.46919700298781</v>
      </c>
      <c r="D21" s="16">
        <f>'Comp LP'!K154</f>
        <v>209.04053693478028</v>
      </c>
      <c r="E21" s="16">
        <f>'Comp LP'!K196</f>
        <v>200.66758492356786</v>
      </c>
      <c r="F21" s="16">
        <f>'Comp IP'!K94</f>
        <v>163.17676115656238</v>
      </c>
      <c r="G21" s="16">
        <f>'Comp IP'!K134</f>
        <v>161.96974118863548</v>
      </c>
      <c r="H21" s="16">
        <f>'Comp IP'!K176</f>
        <v>160.67400064061863</v>
      </c>
      <c r="I21" s="16">
        <f>'Comp IP'!K218</f>
        <v>177.89571987357508</v>
      </c>
      <c r="J21" s="16">
        <f>'Comp HP'!K100</f>
        <v>153.04187692176777</v>
      </c>
      <c r="K21" s="16">
        <f>'Comp HP'!K140</f>
        <v>152.92294856110772</v>
      </c>
      <c r="L21" s="16">
        <f>'Comp HP'!K182</f>
        <v>152.21448071778588</v>
      </c>
      <c r="M21" s="16">
        <f>'Comp HP'!K224</f>
        <v>151.51192137087281</v>
      </c>
      <c r="N21" s="16">
        <f>'Comp HP'!K266</f>
        <v>150.8154405898384</v>
      </c>
      <c r="O21" s="16">
        <f>'Comp HP'!K308</f>
        <v>150.12521448208605</v>
      </c>
      <c r="P21" s="16">
        <f>'Comp HP'!K350</f>
        <v>149.4414254408226</v>
      </c>
      <c r="Q21" s="16">
        <f>'Comp HP'!K392</f>
        <v>148.76426240428523</v>
      </c>
      <c r="R21" s="16">
        <f>'Comp HP'!K434</f>
        <v>150.10112665701809</v>
      </c>
    </row>
    <row r="22" spans="2:18" s="16" customFormat="1" x14ac:dyDescent="0.25">
      <c r="B22" s="28" t="s">
        <v>187</v>
      </c>
      <c r="C22" s="16">
        <f>'Comp LP'!M116</f>
        <v>5.7807580472808979</v>
      </c>
      <c r="D22" s="16">
        <f>'Comp LP'!M156</f>
        <v>10.697453842808244</v>
      </c>
      <c r="E22" s="16">
        <f>'Comp LP'!M198</f>
        <v>12.333022426795253</v>
      </c>
      <c r="F22" s="16">
        <f>'Comp IP'!M96</f>
        <v>14.812477448623611</v>
      </c>
      <c r="G22" s="16">
        <f>'Comp IP'!M136</f>
        <v>15.136389190645019</v>
      </c>
      <c r="H22" s="16">
        <f>'Comp IP'!M178</f>
        <v>15.548623541301851</v>
      </c>
      <c r="I22" s="16">
        <f>'Comp IP'!M220</f>
        <v>13.11193732316633</v>
      </c>
      <c r="J22" s="16">
        <f>'Comp HP'!M102</f>
        <v>21.412513919906843</v>
      </c>
      <c r="K22" s="16">
        <f>'Comp HP'!M142</f>
        <v>21.202615804908362</v>
      </c>
      <c r="L22" s="16">
        <f>'Comp HP'!M184</f>
        <v>21.537196893745744</v>
      </c>
      <c r="M22" s="16">
        <f>'Comp HP'!M226</f>
        <v>21.878216840745097</v>
      </c>
      <c r="N22" s="16">
        <f>'Comp HP'!M268</f>
        <v>22.22581312582895</v>
      </c>
      <c r="O22" s="16">
        <f>'Comp HP'!M310</f>
        <v>22.580126079152677</v>
      </c>
      <c r="P22" s="16">
        <f>'Comp HP'!M352</f>
        <v>22.941298916896883</v>
      </c>
      <c r="Q22" s="16">
        <f>'Comp HP'!M394</f>
        <v>23.309477775442389</v>
      </c>
      <c r="R22" s="16">
        <f>'Comp HP'!M436</f>
        <v>21.602738715637358</v>
      </c>
    </row>
    <row r="23" spans="2:18" s="17" customFormat="1" x14ac:dyDescent="0.25">
      <c r="B23" s="28" t="s">
        <v>212</v>
      </c>
      <c r="C23" s="17">
        <f>C13-C12</f>
        <v>30.768525262127646</v>
      </c>
      <c r="D23" s="17">
        <f t="shared" ref="D23:R23" si="1">D13-D12</f>
        <v>16.175119461403924</v>
      </c>
      <c r="E23" s="17">
        <f t="shared" si="1"/>
        <v>35.11065208790469</v>
      </c>
      <c r="F23" s="17">
        <f t="shared" si="1"/>
        <v>3.5960529230309248</v>
      </c>
      <c r="G23" s="17">
        <f t="shared" si="1"/>
        <v>15.573518786402204</v>
      </c>
      <c r="H23" s="17">
        <f t="shared" si="1"/>
        <v>15.968091823328201</v>
      </c>
      <c r="I23" s="17">
        <f t="shared" si="1"/>
        <v>27.449967351748974</v>
      </c>
      <c r="J23" s="17">
        <f t="shared" si="1"/>
        <v>14.194856860578788</v>
      </c>
      <c r="K23" s="17">
        <f t="shared" si="1"/>
        <v>21.811070688085543</v>
      </c>
      <c r="L23" s="17">
        <f t="shared" si="1"/>
        <v>21.943624552708229</v>
      </c>
      <c r="M23" s="17">
        <f t="shared" si="1"/>
        <v>22.27725526110585</v>
      </c>
      <c r="N23" s="17">
        <f t="shared" si="1"/>
        <v>22.618332571218289</v>
      </c>
      <c r="O23" s="17">
        <f t="shared" si="1"/>
        <v>22.966937275115782</v>
      </c>
      <c r="P23" s="17">
        <f t="shared" si="1"/>
        <v>23.323149153047751</v>
      </c>
      <c r="Q23" s="17">
        <f t="shared" si="1"/>
        <v>23.68704920125078</v>
      </c>
      <c r="R23" s="17">
        <f t="shared" si="1"/>
        <v>22.626825639177923</v>
      </c>
    </row>
    <row r="24" spans="2:18" s="16" customFormat="1" x14ac:dyDescent="0.25">
      <c r="B24" s="29" t="s">
        <v>188</v>
      </c>
      <c r="C24" s="17">
        <f>'Comp LP'!M117</f>
        <v>0.82415883188848893</v>
      </c>
      <c r="D24" s="17">
        <f>'Comp LP'!M157</f>
        <v>0.74974414034571768</v>
      </c>
      <c r="E24" s="17">
        <f>'Comp LP'!M199</f>
        <v>0.72674212745618227</v>
      </c>
      <c r="F24" s="17">
        <f>'Comp IP'!M97</f>
        <v>0.77396535945912326</v>
      </c>
      <c r="G24" s="17">
        <f>'Comp IP'!M137</f>
        <v>0.77242828455691237</v>
      </c>
      <c r="H24" s="17">
        <f>'Comp IP'!M179</f>
        <v>0.76991787842269832</v>
      </c>
      <c r="I24" s="17">
        <f>'Comp IP'!M221</f>
        <v>0.76302288119743999</v>
      </c>
      <c r="J24" s="17">
        <f>'Comp HP'!M103</f>
        <v>0.70592856661556369</v>
      </c>
      <c r="K24" s="17">
        <f>'Comp HP'!M143</f>
        <v>0.70999236583827519</v>
      </c>
      <c r="L24" s="17">
        <f>'Comp HP'!M185</f>
        <v>0.7083554474786441</v>
      </c>
      <c r="M24" s="17">
        <f>'Comp HP'!M227</f>
        <v>0.70672081555520405</v>
      </c>
      <c r="N24" s="17">
        <f>'Comp HP'!M269</f>
        <v>0.70508907745005511</v>
      </c>
      <c r="O24" s="17">
        <f>'Comp HP'!M311</f>
        <v>0.70346086703709976</v>
      </c>
      <c r="P24" s="17">
        <f>'Comp HP'!M353</f>
        <v>0.70183684564444437</v>
      </c>
      <c r="Q24" s="17">
        <f>'Comp HP'!M395</f>
        <v>0.7002177030471548</v>
      </c>
      <c r="R24" s="17">
        <f>'Comp HP'!M437</f>
        <v>0.71906180512198337</v>
      </c>
    </row>
    <row r="25" spans="2:18" s="16" customFormat="1" x14ac:dyDescent="0.25">
      <c r="B25" s="28" t="s">
        <v>189</v>
      </c>
      <c r="C25" s="16">
        <f>'Comp LP'!M118</f>
        <v>0.89086705223345497</v>
      </c>
      <c r="D25" s="16">
        <f>'Comp LP'!M158</f>
        <v>0.75000000000000011</v>
      </c>
      <c r="E25" s="16">
        <f>'Comp LP'!M200</f>
        <v>0.75000000000000011</v>
      </c>
      <c r="F25" s="16">
        <f>'Comp IP'!M98</f>
        <v>0.5</v>
      </c>
      <c r="G25" s="16">
        <f>'Comp IP'!M138</f>
        <v>0.5</v>
      </c>
      <c r="H25" s="16">
        <f>'Comp IP'!M180</f>
        <v>0.5</v>
      </c>
      <c r="I25" s="16">
        <f>'Comp IP'!M222</f>
        <v>0.62</v>
      </c>
      <c r="J25" s="16">
        <f>'Comp HP'!M104</f>
        <v>0.5</v>
      </c>
      <c r="K25" s="16">
        <f>'Comp HP'!M144</f>
        <v>0.5</v>
      </c>
      <c r="L25" s="16">
        <f>'Comp HP'!M186</f>
        <v>0.5</v>
      </c>
      <c r="M25" s="16">
        <f>'Comp HP'!M228</f>
        <v>0.5</v>
      </c>
      <c r="N25" s="16">
        <f>'Comp HP'!M270</f>
        <v>0.5</v>
      </c>
      <c r="O25" s="16">
        <f>'Comp HP'!M312</f>
        <v>0.49999999999999994</v>
      </c>
      <c r="P25" s="16">
        <f>'Comp HP'!M354</f>
        <v>0.5</v>
      </c>
      <c r="Q25" s="16">
        <f>'Comp HP'!M396</f>
        <v>0.5</v>
      </c>
      <c r="R25" s="16">
        <f>'Comp HP'!M438</f>
        <v>0.5</v>
      </c>
    </row>
    <row r="26" spans="2:18" s="16" customFormat="1" x14ac:dyDescent="0.25">
      <c r="B26" s="28" t="s">
        <v>190</v>
      </c>
      <c r="C26" s="16">
        <f>'Comp LP'!M119</f>
        <v>61.686111501920749</v>
      </c>
      <c r="D26" s="16">
        <f>'Comp LP'!M159</f>
        <v>83.020284903809511</v>
      </c>
      <c r="E26" s="16">
        <f>'Comp LP'!M201</f>
        <v>90.81708100672185</v>
      </c>
      <c r="F26" s="16">
        <f>'Comp IP'!M99</f>
        <v>67.492973451042573</v>
      </c>
      <c r="G26" s="16">
        <f>'Comp IP'!M139</f>
        <v>68.053897976186136</v>
      </c>
      <c r="H26" s="16">
        <f>'Comp IP'!M181</f>
        <v>68.973125584151489</v>
      </c>
      <c r="I26" s="16">
        <f>'Comp IP'!M223</f>
        <v>72.20149837188616</v>
      </c>
      <c r="J26" s="16">
        <f>'Comp HP'!M105</f>
        <v>92.952353407705971</v>
      </c>
      <c r="K26" s="16">
        <f>'Comp HP'!M145</f>
        <v>91.414034428437617</v>
      </c>
      <c r="L26" s="16">
        <f>'Comp HP'!M187</f>
        <v>92.143293179957993</v>
      </c>
      <c r="M26" s="16">
        <f>'Comp HP'!M229</f>
        <v>92.884280875453925</v>
      </c>
      <c r="N26" s="16">
        <f>'Comp HP'!M271</f>
        <v>93.637282770415851</v>
      </c>
      <c r="O26" s="16">
        <f>'Comp HP'!M313</f>
        <v>94.40259344606757</v>
      </c>
      <c r="P26" s="16">
        <f>'Comp HP'!M355</f>
        <v>95.180517193608409</v>
      </c>
      <c r="Q26" s="16">
        <f>'Comp HP'!M397</f>
        <v>95.971368417613448</v>
      </c>
      <c r="R26" s="16">
        <f>'Comp HP'!M439</f>
        <v>88.524089705145698</v>
      </c>
    </row>
    <row r="27" spans="2:18" s="16" customFormat="1" x14ac:dyDescent="0.25">
      <c r="B27" s="28" t="s">
        <v>97</v>
      </c>
      <c r="C27" s="16">
        <f>'Comp LP'!N100</f>
        <v>288.20999999999998</v>
      </c>
      <c r="D27" s="16">
        <f>'Comp LP'!N140</f>
        <v>305.20999999999998</v>
      </c>
      <c r="E27" s="16">
        <f>'Comp LP'!N182</f>
        <v>326.20999999999998</v>
      </c>
      <c r="F27" s="16">
        <f>'Comp IP'!N80</f>
        <v>347.02</v>
      </c>
      <c r="G27" s="16">
        <f>'Comp IP'!N120</f>
        <v>362.02</v>
      </c>
      <c r="H27" s="16">
        <f>'Comp IP'!N162</f>
        <v>377.02</v>
      </c>
      <c r="I27" s="16">
        <f>'Comp IP'!N204</f>
        <v>392.02</v>
      </c>
      <c r="J27" s="16">
        <f>'Comp HP'!N86</f>
        <v>407.51</v>
      </c>
      <c r="K27" s="16">
        <f>'Comp HP'!N126</f>
        <v>426.51</v>
      </c>
      <c r="L27" s="16">
        <f>'Comp HP'!N168</f>
        <v>445.51</v>
      </c>
      <c r="M27" s="16">
        <f>'Comp HP'!N210</f>
        <v>464.51</v>
      </c>
      <c r="N27" s="16">
        <f>'Comp HP'!N252</f>
        <v>483.51</v>
      </c>
      <c r="O27" s="16">
        <f>'Comp HP'!N294</f>
        <v>502.51</v>
      </c>
      <c r="P27" s="16">
        <f>'Comp HP'!N336</f>
        <v>521.51</v>
      </c>
      <c r="Q27" s="16">
        <f>'Comp HP'!N378</f>
        <v>540.51</v>
      </c>
      <c r="R27" s="16">
        <f>'Comp HP'!N420</f>
        <v>559.51</v>
      </c>
    </row>
    <row r="28" spans="2:18" s="16" customFormat="1" x14ac:dyDescent="0.25">
      <c r="B28" s="28" t="s">
        <v>98</v>
      </c>
      <c r="C28" s="16">
        <f>'Comp LP'!N101</f>
        <v>305.20999999999998</v>
      </c>
      <c r="D28" s="16">
        <f>'Comp LP'!N141</f>
        <v>326.20999999999998</v>
      </c>
      <c r="E28" s="16">
        <f>'Comp LP'!N183</f>
        <v>347.21</v>
      </c>
      <c r="F28" s="16">
        <f>'Comp IP'!N81</f>
        <v>362.02</v>
      </c>
      <c r="G28" s="16">
        <f>'Comp IP'!N121</f>
        <v>377.02</v>
      </c>
      <c r="H28" s="16">
        <f>'Comp IP'!N163</f>
        <v>392.02</v>
      </c>
      <c r="I28" s="16">
        <f>'Comp IP'!N205</f>
        <v>407.51</v>
      </c>
      <c r="J28" s="16">
        <f>'Comp HP'!N87</f>
        <v>426.51</v>
      </c>
      <c r="K28" s="16">
        <f>'Comp HP'!N127</f>
        <v>445.51</v>
      </c>
      <c r="L28" s="16">
        <f>'Comp HP'!N169</f>
        <v>464.51</v>
      </c>
      <c r="M28" s="16">
        <f>'Comp HP'!N211</f>
        <v>483.51</v>
      </c>
      <c r="N28" s="16">
        <f>'Comp HP'!N253</f>
        <v>502.51</v>
      </c>
      <c r="O28" s="16">
        <f>'Comp HP'!N295</f>
        <v>521.51</v>
      </c>
      <c r="P28" s="16">
        <f>'Comp HP'!N337</f>
        <v>540.51</v>
      </c>
      <c r="Q28" s="16">
        <f>'Comp HP'!N379</f>
        <v>559.51</v>
      </c>
      <c r="R28" s="16">
        <f>'Comp HP'!N421</f>
        <v>576.89</v>
      </c>
    </row>
    <row r="29" spans="2:18" s="16" customFormat="1" x14ac:dyDescent="0.25">
      <c r="B29" s="28" t="s">
        <v>18</v>
      </c>
      <c r="C29" s="16">
        <f>'Comp LP'!N121</f>
        <v>277.87654783471271</v>
      </c>
      <c r="D29" s="16">
        <f>'Comp LP'!N161</f>
        <v>294.87654783471271</v>
      </c>
      <c r="E29" s="16">
        <f>'Comp LP'!N203</f>
        <v>311.76644960451677</v>
      </c>
      <c r="F29" s="16">
        <f>'Comp IP'!N101</f>
        <v>332.40240311329001</v>
      </c>
      <c r="G29" s="16">
        <f>'Comp IP'!N141</f>
        <v>340.01495802311359</v>
      </c>
      <c r="H29" s="16">
        <f>'Comp IP'!N183</f>
        <v>355.2529251592274</v>
      </c>
      <c r="I29" s="16">
        <f>'Comp IP'!N225</f>
        <v>370.45988683192644</v>
      </c>
      <c r="J29" s="16">
        <f>'Comp HP'!N107</f>
        <v>390.33632139322651</v>
      </c>
      <c r="K29" s="16">
        <f>'Comp HP'!N147</f>
        <v>403.6944032307041</v>
      </c>
      <c r="L29" s="16">
        <f>'Comp HP'!N189</f>
        <v>422.98987752766567</v>
      </c>
      <c r="M29" s="16">
        <f>'Comp HP'!N231</f>
        <v>442.09481930263553</v>
      </c>
      <c r="N29" s="16">
        <f>'Comp HP'!N273</f>
        <v>461.19840465345675</v>
      </c>
      <c r="O29" s="16">
        <f>'Comp HP'!N315</f>
        <v>480.30062076859582</v>
      </c>
      <c r="P29" s="16">
        <f>'Comp HP'!N357</f>
        <v>499.40145431083596</v>
      </c>
      <c r="Q29" s="16">
        <f>'Comp HP'!N399</f>
        <v>518.50089139117938</v>
      </c>
      <c r="R29" s="16">
        <f>'Comp HP'!N441</f>
        <v>537.59891754122498</v>
      </c>
    </row>
    <row r="30" spans="2:18" s="16" customFormat="1" x14ac:dyDescent="0.25">
      <c r="B30" s="28" t="s">
        <v>218</v>
      </c>
      <c r="C30" s="16">
        <f>'[1]Comp LP'!U122</f>
        <v>279.76967039800991</v>
      </c>
      <c r="D30" s="16">
        <f>'[1]Comp LP'!U162</f>
        <v>296.41161089483938</v>
      </c>
      <c r="E30" s="16">
        <f>'[1]Comp LP'!U204</f>
        <v>317.55831220419907</v>
      </c>
      <c r="F30" s="16">
        <f>'[1]Comp IP'!U102</f>
        <v>333.83848743487829</v>
      </c>
      <c r="G30" s="16">
        <f>'[1]Comp IP'!U142</f>
        <v>349.03277373231998</v>
      </c>
      <c r="H30" s="16">
        <f>'[1]Comp IP'!U184</f>
        <v>364.23973540501902</v>
      </c>
      <c r="I30" s="16">
        <f>'[1]Comp IP'!U226</f>
        <v>381.82199889360948</v>
      </c>
      <c r="J30" s="16">
        <f>'[1]Comp HP'!U108</f>
        <v>396.14018636323419</v>
      </c>
      <c r="K30" s="16">
        <f>'[1]Comp HP'!U148</f>
        <v>415.15785038998877</v>
      </c>
      <c r="L30" s="16">
        <f>'[1]Comp HP'!U190</f>
        <v>434.26279216495863</v>
      </c>
      <c r="M30" s="16">
        <f>'[1]Comp HP'!U232</f>
        <v>453.36637751577985</v>
      </c>
      <c r="N30" s="16">
        <f>'[1]Comp HP'!U274</f>
        <v>472.46859363091892</v>
      </c>
      <c r="O30" s="16">
        <f>'[1]Comp HP'!U316</f>
        <v>491.56942717315906</v>
      </c>
      <c r="P30" s="16">
        <f>'[1]Comp HP'!U358</f>
        <v>510.66886425350242</v>
      </c>
      <c r="Q30" s="16">
        <f>'[1]Comp HP'!U400</f>
        <v>529.76689040354802</v>
      </c>
      <c r="R30" s="16">
        <f>'[1]Comp HP'!U442</f>
        <v>548.57293775548237</v>
      </c>
    </row>
    <row r="31" spans="2:18" s="18" customFormat="1" x14ac:dyDescent="0.25">
      <c r="B31" s="28" t="s">
        <v>19</v>
      </c>
      <c r="C31" s="16">
        <f>'Comp LP'!N122</f>
        <v>294.87654783471271</v>
      </c>
      <c r="D31" s="16">
        <f>'Comp LP'!N162</f>
        <v>311.76644960451677</v>
      </c>
      <c r="E31" s="16">
        <f>'Comp LP'!N204</f>
        <v>332.59240311329</v>
      </c>
      <c r="F31" s="16">
        <f>'Comp IP'!N102</f>
        <v>339.90548020233308</v>
      </c>
      <c r="G31" s="16">
        <f>'Comp IP'!N142</f>
        <v>355.2529251592274</v>
      </c>
      <c r="H31" s="16">
        <f>'Comp IP'!N184</f>
        <v>370.45988683192644</v>
      </c>
      <c r="I31" s="16">
        <f>'Comp IP'!N226</f>
        <v>390.42133960415111</v>
      </c>
      <c r="J31" s="16">
        <f>'Comp HP'!N108</f>
        <v>403.12685107226389</v>
      </c>
      <c r="K31" s="16">
        <f>'Comp HP'!N148</f>
        <v>422.98987752766567</v>
      </c>
      <c r="L31" s="16">
        <f>'Comp HP'!N190</f>
        <v>442.09481930263553</v>
      </c>
      <c r="M31" s="16">
        <f>'Comp HP'!N232</f>
        <v>461.19840465345675</v>
      </c>
      <c r="N31" s="16">
        <f>'Comp HP'!N274</f>
        <v>480.30062076859582</v>
      </c>
      <c r="O31" s="16">
        <f>'Comp HP'!N316</f>
        <v>499.40145431083596</v>
      </c>
      <c r="P31" s="16">
        <f>'Comp HP'!N358</f>
        <v>518.50089139117938</v>
      </c>
      <c r="Q31" s="16">
        <f>'Comp HP'!N400</f>
        <v>537.59891754122498</v>
      </c>
      <c r="R31" s="16">
        <f>'Comp HP'!N442</f>
        <v>555.73718152668368</v>
      </c>
    </row>
    <row r="32" spans="2:18" s="18" customFormat="1" x14ac:dyDescent="0.25">
      <c r="B32" s="30" t="s">
        <v>95</v>
      </c>
      <c r="C32" s="18">
        <f>'Comp LP'!N123</f>
        <v>111450.99457239109</v>
      </c>
      <c r="D32" s="18">
        <f>'Comp LP'!N163</f>
        <v>131518.13863177586</v>
      </c>
      <c r="E32" s="18">
        <f>'Comp LP'!N205</f>
        <v>163393.40159116933</v>
      </c>
      <c r="F32" s="18">
        <f>'Comp IP'!N103</f>
        <v>205375.81941179046</v>
      </c>
      <c r="G32" s="18">
        <f>'Comp IP'!N143</f>
        <v>237076.4365863995</v>
      </c>
      <c r="H32" s="18">
        <f>'Comp IP'!N185</f>
        <v>270949.31332521472</v>
      </c>
      <c r="I32" s="18">
        <f>'Comp IP'!N227</f>
        <v>308053.83833408903</v>
      </c>
      <c r="J32" s="18">
        <f>'Comp HP'!N109</f>
        <v>342769.32431356283</v>
      </c>
      <c r="K32" s="18">
        <f>'Comp HP'!N149</f>
        <v>400240.22564886627</v>
      </c>
      <c r="L32" s="18">
        <f>'Comp HP'!N191</f>
        <v>462462.42525765917</v>
      </c>
      <c r="M32" s="18">
        <f>'Comp HP'!N233</f>
        <v>531193.96452692896</v>
      </c>
      <c r="N32" s="18">
        <f>'Comp HP'!N275</f>
        <v>606748.0002254463</v>
      </c>
      <c r="O32" s="18">
        <f>'Comp HP'!N317</f>
        <v>689494.59038778045</v>
      </c>
      <c r="P32" s="18">
        <f>'Comp HP'!N359</f>
        <v>779801.63231303589</v>
      </c>
      <c r="Q32" s="18">
        <f>'Comp HP'!N401</f>
        <v>878046.14720105915</v>
      </c>
      <c r="R32" s="18">
        <f>'Comp HP'!N443</f>
        <v>984607.03592014895</v>
      </c>
    </row>
    <row r="33" spans="2:40" s="18" customFormat="1" x14ac:dyDescent="0.25">
      <c r="B33" s="30" t="s">
        <v>219</v>
      </c>
      <c r="C33" s="18">
        <f>'[1]Comp LP'!U124</f>
        <v>111050.27309995353</v>
      </c>
      <c r="D33" s="18">
        <f>'[1]Comp LP'!U164</f>
        <v>133121.32059703063</v>
      </c>
      <c r="E33" s="18">
        <f>'[1]Comp LP'!U206</f>
        <v>164364.17429405134</v>
      </c>
      <c r="F33" s="18">
        <f>'[1]Comp IP'!U104</f>
        <v>204013.81943878924</v>
      </c>
      <c r="G33" s="18">
        <f>'[1]Comp IP'!U144</f>
        <v>233610.87583634481</v>
      </c>
      <c r="H33" s="18">
        <f>'[1]Comp IP'!U186</f>
        <v>266018.55690523598</v>
      </c>
      <c r="I33" s="18">
        <f>'[1]Comp IP'!U228</f>
        <v>301847.14281693281</v>
      </c>
      <c r="J33" s="18">
        <f>'[1]Comp HP'!U110</f>
        <v>341805.45944112435</v>
      </c>
      <c r="K33" s="18">
        <f>'[1]Comp HP'!U150</f>
        <v>395846.33061603387</v>
      </c>
      <c r="L33" s="18">
        <f>'[1]Comp HP'!U192</f>
        <v>455508.22263355867</v>
      </c>
      <c r="M33" s="18">
        <f>'[1]Comp HP'!U234</f>
        <v>521077.85678605654</v>
      </c>
      <c r="N33" s="18">
        <f>'[1]Comp HP'!U276</f>
        <v>592861.3204405366</v>
      </c>
      <c r="O33" s="18">
        <f>'[1]Comp HP'!U318</f>
        <v>671167.31619547214</v>
      </c>
      <c r="P33" s="18">
        <f>'[1]Comp HP'!U360</f>
        <v>756307.08023671387</v>
      </c>
      <c r="Q33" s="18">
        <f>'[1]Comp HP'!U402</f>
        <v>848594.30624061241</v>
      </c>
      <c r="R33" s="18">
        <f>'[1]Comp HP'!U444</f>
        <v>948271.79518081085</v>
      </c>
    </row>
    <row r="34" spans="2:40" s="18" customFormat="1" x14ac:dyDescent="0.25">
      <c r="B34" s="30" t="s">
        <v>96</v>
      </c>
      <c r="C34" s="18">
        <f>'Comp LP'!N133</f>
        <v>131518.13863177586</v>
      </c>
      <c r="D34" s="18">
        <f>'Comp LP'!N173</f>
        <v>163393.40159116933</v>
      </c>
      <c r="E34" s="18">
        <f>'Comp LP'!N215</f>
        <v>199311.0180852779</v>
      </c>
      <c r="F34" s="18">
        <f>'Comp IP'!N113</f>
        <v>237076.4365863995</v>
      </c>
      <c r="G34" s="18">
        <f>'Comp IP'!N153</f>
        <v>270949.31332521472</v>
      </c>
      <c r="H34" s="18">
        <f>'Comp IP'!N195</f>
        <v>308053.83833408903</v>
      </c>
      <c r="I34" s="18">
        <f>'Comp IP'!N237</f>
        <v>348437.40683917148</v>
      </c>
      <c r="J34" s="18">
        <f>'Comp HP'!N119</f>
        <v>400240.22564886627</v>
      </c>
      <c r="K34" s="18">
        <f>'Comp HP'!N159</f>
        <v>462462.42525765917</v>
      </c>
      <c r="L34" s="18">
        <f>'Comp HP'!N201</f>
        <v>531193.96452692896</v>
      </c>
      <c r="M34" s="18">
        <f>'Comp HP'!N243</f>
        <v>606748.0002254463</v>
      </c>
      <c r="N34" s="18">
        <f>'Comp HP'!N285</f>
        <v>689494.59038778045</v>
      </c>
      <c r="O34" s="18">
        <f>'Comp HP'!N327</f>
        <v>779801.63231303589</v>
      </c>
      <c r="P34" s="18">
        <f>'Comp HP'!N369</f>
        <v>878046.14720105915</v>
      </c>
      <c r="Q34" s="18">
        <f>'Comp HP'!N411</f>
        <v>984607.03592014895</v>
      </c>
      <c r="R34" s="18">
        <f>'Comp HP'!N453</f>
        <v>1089086.2475717333</v>
      </c>
    </row>
    <row r="35" spans="2:40" s="18" customFormat="1" x14ac:dyDescent="0.25">
      <c r="B35" s="30" t="s">
        <v>130</v>
      </c>
      <c r="C35" s="18">
        <f>'Comp LP'!N102</f>
        <v>98610</v>
      </c>
      <c r="D35" s="18">
        <f>'Comp LP'!N142</f>
        <v>116581.81572660251</v>
      </c>
      <c r="E35" s="18">
        <f>'Comp LP'!N184</f>
        <v>139443.0549129986</v>
      </c>
      <c r="F35" s="18">
        <f>'Comp IP'!N82</f>
        <v>177970</v>
      </c>
      <c r="G35" s="18">
        <f>'Comp IP'!N122</f>
        <v>189763.08041359083</v>
      </c>
      <c r="H35" s="18">
        <f>'Comp IP'!N164</f>
        <v>219622.69198696531</v>
      </c>
      <c r="I35" s="18">
        <f>'Comp IP'!N206</f>
        <v>252269.3949017406</v>
      </c>
      <c r="J35" s="18">
        <f>'Comp HP'!N88</f>
        <v>297010</v>
      </c>
      <c r="K35" s="18">
        <f>'Comp HP'!N128</f>
        <v>327374.46508310002</v>
      </c>
      <c r="L35" s="18">
        <f>'Comp HP'!N170</f>
        <v>384402.49265600316</v>
      </c>
      <c r="M35" s="18">
        <f>'Comp HP'!N212</f>
        <v>445345.92592099099</v>
      </c>
      <c r="N35" s="18">
        <f>'Comp HP'!N254</f>
        <v>512721.22207098652</v>
      </c>
      <c r="O35" s="18">
        <f>'Comp HP'!N296</f>
        <v>586897.10490777704</v>
      </c>
      <c r="P35" s="18">
        <f>'Comp HP'!N338</f>
        <v>668241.21291703219</v>
      </c>
      <c r="Q35" s="18">
        <f>'Comp HP'!N380</f>
        <v>757129.60600701603</v>
      </c>
      <c r="R35" s="18">
        <f>'Comp HP'!N422</f>
        <v>853940.583073457</v>
      </c>
    </row>
    <row r="36" spans="2:40" s="18" customFormat="1" x14ac:dyDescent="0.25">
      <c r="B36" s="30" t="s">
        <v>220</v>
      </c>
      <c r="C36" s="18">
        <f>'[1]Comp LP'!U123</f>
        <v>100439.48995185169</v>
      </c>
      <c r="D36" s="18">
        <f>'[1]Comp LP'!U163</f>
        <v>120587.21411477897</v>
      </c>
      <c r="E36" s="18">
        <f>'[1]Comp LP'!U205</f>
        <v>150049.06065152536</v>
      </c>
      <c r="F36" s="18">
        <f>'[1]Comp IP'!U103</f>
        <v>179123.98219608405</v>
      </c>
      <c r="G36" s="18">
        <f>'[1]Comp IP'!U143</f>
        <v>206562.50196308392</v>
      </c>
      <c r="H36" s="18">
        <f>'[1]Comp IP'!U185</f>
        <v>236781.13357805257</v>
      </c>
      <c r="I36" s="18">
        <f>'[1]Comp IP'!U227</f>
        <v>275913.33569156437</v>
      </c>
      <c r="J36" s="18">
        <f>'[1]Comp HP'!U109</f>
        <v>309885.58681125275</v>
      </c>
      <c r="K36" s="18">
        <f>'[1]Comp HP'!U149</f>
        <v>360471.7414998975</v>
      </c>
      <c r="L36" s="18">
        <f>'[1]Comp HP'!U191</f>
        <v>416769.65826993115</v>
      </c>
      <c r="M36" s="18">
        <f>'[1]Comp HP'!U233</f>
        <v>478838.12681334786</v>
      </c>
      <c r="N36" s="18">
        <f>'[1]Comp HP'!U275</f>
        <v>546985.62215877592</v>
      </c>
      <c r="O36" s="18">
        <f>'[1]Comp HP'!U317</f>
        <v>621523.19089697977</v>
      </c>
      <c r="P36" s="18">
        <f>'[1]Comp HP'!U359</f>
        <v>702764.35682162491</v>
      </c>
      <c r="Q36" s="18">
        <f>'[1]Comp HP'!U401</f>
        <v>791025.03266412904</v>
      </c>
      <c r="R36" s="18">
        <f>'[1]Comp HP'!U443</f>
        <v>884951.74878550379</v>
      </c>
    </row>
    <row r="37" spans="2:40" s="17" customFormat="1" x14ac:dyDescent="0.25">
      <c r="B37" s="30" t="s">
        <v>146</v>
      </c>
      <c r="C37" s="18">
        <f>'Comp LP'!N134</f>
        <v>116581.81572660251</v>
      </c>
      <c r="D37" s="18">
        <f>'Comp LP'!N174</f>
        <v>139443.0549129986</v>
      </c>
      <c r="E37" s="18">
        <f>'Comp LP'!N216</f>
        <v>177970</v>
      </c>
      <c r="F37" s="18">
        <f>'Comp IP'!N114</f>
        <v>189763.08041359083</v>
      </c>
      <c r="G37" s="18">
        <f>'Comp IP'!N154</f>
        <v>219622.69198696531</v>
      </c>
      <c r="H37" s="18">
        <f>'Comp IP'!N196</f>
        <v>252269.3949017406</v>
      </c>
      <c r="I37" s="18">
        <f>'Comp IP'!N238</f>
        <v>297010</v>
      </c>
      <c r="J37" s="18">
        <f>'Comp HP'!N120</f>
        <v>327374.46508310002</v>
      </c>
      <c r="K37" s="18">
        <f>'Comp HP'!N160</f>
        <v>384402.49265600316</v>
      </c>
      <c r="L37" s="18">
        <f>'Comp HP'!N202</f>
        <v>445345.92592099099</v>
      </c>
      <c r="M37" s="18">
        <f>'Comp HP'!N244</f>
        <v>512721.22207098652</v>
      </c>
      <c r="N37" s="18">
        <f>'Comp HP'!N286</f>
        <v>586897.10490777704</v>
      </c>
      <c r="O37" s="18">
        <f>'Comp HP'!N328</f>
        <v>668241.21291703219</v>
      </c>
      <c r="P37" s="18">
        <f>'Comp HP'!N370</f>
        <v>757129.60600701603</v>
      </c>
      <c r="Q37" s="18">
        <f>'Comp HP'!N412</f>
        <v>853940.583073457</v>
      </c>
      <c r="R37" s="18">
        <f>'Comp HP'!N454</f>
        <v>909711.929</v>
      </c>
    </row>
    <row r="38" spans="2:40" s="35" customFormat="1" x14ac:dyDescent="0.25">
      <c r="B38" s="34" t="s">
        <v>144</v>
      </c>
      <c r="C38" s="35">
        <f>'Comp LP'!Q121</f>
        <v>1.2364802026351303</v>
      </c>
      <c r="D38" s="35">
        <f>'Comp LP'!Q161</f>
        <v>1.3775541668154452</v>
      </c>
      <c r="E38" s="35">
        <f>'Comp LP'!Q203</f>
        <v>1.5584239530875701</v>
      </c>
      <c r="F38" s="35">
        <f>'Comp IP'!Q101</f>
        <v>1.8655236057525719</v>
      </c>
      <c r="G38" s="35">
        <f>'Comp IP'!Q141</f>
        <v>1.9446068078363783</v>
      </c>
      <c r="H38" s="35">
        <f>'Comp IP'!Q183</f>
        <v>2.1540592811129575</v>
      </c>
      <c r="I38" s="35">
        <f>'Comp IP'!Q225</f>
        <v>2.3726926178131933</v>
      </c>
      <c r="J38" s="35">
        <f>'Comp HP'!Q107</f>
        <v>2.6512471221911915</v>
      </c>
      <c r="K38" s="35">
        <f>'Comp HP'!Q147</f>
        <v>2.8255967126571306</v>
      </c>
      <c r="L38" s="35">
        <f>'Comp HP'!Q189</f>
        <v>3.166462316641617</v>
      </c>
      <c r="M38" s="35">
        <f>'Comp HP'!Q231</f>
        <v>3.5099437883692279</v>
      </c>
      <c r="N38" s="35">
        <f>'Comp HP'!Q273</f>
        <v>3.8735717129515117</v>
      </c>
      <c r="O38" s="35">
        <f>'Comp HP'!Q315</f>
        <v>4.2576202472732598</v>
      </c>
      <c r="P38" s="35">
        <f>'Comp HP'!Q357</f>
        <v>4.6623144074396592</v>
      </c>
      <c r="Q38" s="35">
        <f>'Comp HP'!Q399</f>
        <v>5.0879030194477401</v>
      </c>
      <c r="R38" s="35">
        <f>'Comp HP'!Q441</f>
        <v>5.5346144335396286</v>
      </c>
      <c r="Y38" s="35">
        <v>-1.27070287856884E-2</v>
      </c>
      <c r="Z38" s="35">
        <v>-7.2915772944383396E-3</v>
      </c>
      <c r="AA38" s="35">
        <v>-2.0644129947875001E-2</v>
      </c>
      <c r="AB38" s="35">
        <v>-2.7046344717548501E-3</v>
      </c>
      <c r="AC38" s="35">
        <v>-1.7142184215192698E-2</v>
      </c>
      <c r="AD38" s="35">
        <v>-1.7357877821760001E-2</v>
      </c>
      <c r="AE38" s="35">
        <v>-2.6839013356771201E-2</v>
      </c>
      <c r="AF38" s="35">
        <v>-1.21235953618697E-2</v>
      </c>
      <c r="AG38" s="35">
        <v>-2.4282375628952101E-2</v>
      </c>
      <c r="AH38" s="35">
        <v>-2.41345300984959E-2</v>
      </c>
      <c r="AI38" s="35">
        <v>-2.43452529392808E-2</v>
      </c>
      <c r="AJ38" s="35">
        <v>-2.4541172128949299E-2</v>
      </c>
      <c r="AK38" s="35">
        <v>-2.4761720360608402E-2</v>
      </c>
      <c r="AL38" s="35">
        <v>-2.49777880056926E-2</v>
      </c>
      <c r="AM38" s="35">
        <v>-2.5198237681123701E-2</v>
      </c>
      <c r="AN38" s="35">
        <v>-2.41840300280355E-2</v>
      </c>
    </row>
    <row r="39" spans="2:40" s="17" customFormat="1" x14ac:dyDescent="0.25">
      <c r="B39" s="29" t="s">
        <v>221</v>
      </c>
      <c r="C39" s="17">
        <f>'[1]Comp LP'!X121</f>
        <v>1.2508982089634904</v>
      </c>
      <c r="D39" s="17">
        <f>'[1]Comp LP'!X161</f>
        <v>1.4175035446225945</v>
      </c>
      <c r="E39" s="17">
        <f>'[1]Comp LP'!X203</f>
        <v>1.6463717262868545</v>
      </c>
      <c r="F39" s="17">
        <f>'[1]Comp IP'!X101</f>
        <v>1.86954289872664</v>
      </c>
      <c r="G39" s="17">
        <f>'[1]Comp IP'!X141</f>
        <v>2.0620698861614155</v>
      </c>
      <c r="H39" s="17">
        <f>'[1]Comp IP'!X183</f>
        <v>2.2650504356278183</v>
      </c>
      <c r="I39" s="17">
        <f>'[1]Comp IP'!X225</f>
        <v>2.5178499678432309</v>
      </c>
      <c r="J39" s="17">
        <f>'[1]Comp HP'!X107</f>
        <v>2.725653083847063</v>
      </c>
      <c r="K39" s="17">
        <f>'[1]Comp HP'!X147</f>
        <v>3.0253531232106656</v>
      </c>
      <c r="L39" s="17">
        <f>'[1]Comp HP'!X189</f>
        <v>3.3439638722189327</v>
      </c>
      <c r="M39" s="17">
        <f>'[1]Comp HP'!X231</f>
        <v>3.6800821845424516</v>
      </c>
      <c r="N39" s="17">
        <f>'[1]Comp HP'!X273</f>
        <v>4.0338623003348406</v>
      </c>
      <c r="O39" s="17">
        <f>'[1]Comp HP'!X315</f>
        <v>4.4054530475042855</v>
      </c>
      <c r="P39" s="17">
        <f>'[1]Comp HP'!X357</f>
        <v>4.7949982208631141</v>
      </c>
      <c r="Q39" s="17">
        <f>'[1]Comp HP'!X399</f>
        <v>5.2026369196125666</v>
      </c>
      <c r="R39" s="17">
        <f>'[1]Comp HP'!X441</f>
        <v>5.6208670870592581</v>
      </c>
    </row>
    <row r="40" spans="2:40" s="21" customFormat="1" x14ac:dyDescent="0.25">
      <c r="B40" s="29" t="s">
        <v>152</v>
      </c>
      <c r="C40" s="17">
        <f>'Comp LP'!Q122</f>
        <v>1.3775541668154452</v>
      </c>
      <c r="D40" s="17">
        <f>'Comp LP'!Q162</f>
        <v>1.5584239530875701</v>
      </c>
      <c r="E40" s="17">
        <f>'Comp LP'!Q204</f>
        <v>1.8644578884307839</v>
      </c>
      <c r="F40" s="17">
        <f>'Comp IP'!Q102</f>
        <v>1.9452331328825947</v>
      </c>
      <c r="G40" s="17">
        <f>'Comp IP'!Q142</f>
        <v>2.1540592811129575</v>
      </c>
      <c r="H40" s="17">
        <f>'Comp IP'!Q184</f>
        <v>2.3726926178131933</v>
      </c>
      <c r="I40" s="17">
        <f>'Comp IP'!Q226</f>
        <v>2.6506697862103348</v>
      </c>
      <c r="J40" s="17">
        <f>'Comp HP'!Q108</f>
        <v>2.8295747992293463</v>
      </c>
      <c r="K40" s="17">
        <f>'Comp HP'!Q148</f>
        <v>3.166462316641617</v>
      </c>
      <c r="L40" s="17">
        <f>'Comp HP'!Q190</f>
        <v>3.5099437883692279</v>
      </c>
      <c r="M40" s="17">
        <f>'Comp HP'!Q232</f>
        <v>3.8735717129515117</v>
      </c>
      <c r="N40" s="17">
        <f>'Comp HP'!Q274</f>
        <v>4.2576202472732598</v>
      </c>
      <c r="O40" s="17">
        <f>'Comp HP'!Q316</f>
        <v>4.6623144074396592</v>
      </c>
      <c r="P40" s="17">
        <f>'Comp HP'!Q358</f>
        <v>5.0879030194477401</v>
      </c>
      <c r="Q40" s="17">
        <f>'Comp HP'!Q400</f>
        <v>5.5346144335396286</v>
      </c>
      <c r="R40" s="17">
        <f>'Comp HP'!Q442</f>
        <v>5.7036456817629029</v>
      </c>
      <c r="Y40" s="16">
        <v>1.4539157453682E-2</v>
      </c>
      <c r="Z40" s="16">
        <v>2.1130903061142899E-2</v>
      </c>
      <c r="AA40" s="16">
        <v>2.36822929599164E-2</v>
      </c>
      <c r="AB40" s="16">
        <v>1.6559085949740301E-2</v>
      </c>
      <c r="AC40" s="16">
        <v>1.67234635427005E-2</v>
      </c>
      <c r="AD40" s="16">
        <v>1.6976848456976001E-2</v>
      </c>
      <c r="AE40" s="16">
        <v>1.8024169732511801E-2</v>
      </c>
      <c r="AF40" s="16">
        <v>2.42157194943542E-2</v>
      </c>
      <c r="AG40" s="16">
        <v>2.3720060598325599E-2</v>
      </c>
      <c r="AH40" s="16">
        <v>2.39355818142317E-2</v>
      </c>
      <c r="AI40" s="16">
        <v>2.41271895314084E-2</v>
      </c>
      <c r="AJ40" s="16">
        <v>2.4343642347756E-2</v>
      </c>
      <c r="AK40" s="16">
        <v>2.4564835721381701E-2</v>
      </c>
      <c r="AL40" s="16">
        <v>2.4781567599106401E-2</v>
      </c>
      <c r="AM40" s="16">
        <v>2.5002686684042801E-2</v>
      </c>
      <c r="AN40" s="16">
        <v>2.2694272869130599E-2</v>
      </c>
    </row>
    <row r="41" spans="2:40" s="21" customFormat="1" x14ac:dyDescent="0.25">
      <c r="B41" s="31" t="s">
        <v>191</v>
      </c>
      <c r="C41" s="21">
        <f t="shared" ref="C41:R41" si="2">C6/(C10*3.14*C8*C38)</f>
        <v>0.41295301064962042</v>
      </c>
      <c r="D41" s="21">
        <f t="shared" si="2"/>
        <v>0.38672898972934161</v>
      </c>
      <c r="E41" s="21">
        <f t="shared" si="2"/>
        <v>0.35883777591930527</v>
      </c>
      <c r="F41" s="21">
        <f t="shared" si="2"/>
        <v>0.30333826854870843</v>
      </c>
      <c r="G41" s="21">
        <f t="shared" si="2"/>
        <v>0.29766115779917757</v>
      </c>
      <c r="H41" s="21">
        <f t="shared" si="2"/>
        <v>0.27459329309413294</v>
      </c>
      <c r="I41" s="21">
        <f t="shared" si="2"/>
        <v>0.25501592870129924</v>
      </c>
      <c r="J41" s="21">
        <f t="shared" si="2"/>
        <v>0.22996471164386395</v>
      </c>
      <c r="K41" s="21">
        <f t="shared" si="2"/>
        <v>0.21945323279000942</v>
      </c>
      <c r="L41" s="21">
        <f t="shared" si="2"/>
        <v>0.1989168639944541</v>
      </c>
      <c r="M41" s="21">
        <f t="shared" si="2"/>
        <v>0.18212052267919004</v>
      </c>
      <c r="N41" s="21">
        <f t="shared" si="2"/>
        <v>0.1673567918007311</v>
      </c>
      <c r="O41" s="21">
        <f t="shared" si="2"/>
        <v>0.15431864749346225</v>
      </c>
      <c r="P41" s="21">
        <f t="shared" si="2"/>
        <v>0.14275502672878718</v>
      </c>
      <c r="Q41" s="21">
        <f t="shared" si="2"/>
        <v>0.13245686655117422</v>
      </c>
      <c r="R41" s="21">
        <f t="shared" si="2"/>
        <v>0.1230645276073153</v>
      </c>
    </row>
    <row r="42" spans="2:40" s="21" customFormat="1" x14ac:dyDescent="0.25">
      <c r="B42" s="31" t="s">
        <v>222</v>
      </c>
      <c r="C42" s="21">
        <f>C6/(C10*3.14*C8*C39)</f>
        <v>0.40819326355093755</v>
      </c>
      <c r="D42" s="21">
        <f t="shared" ref="D42:R42" si="3">D6/(D10*3.14*D8*D39)</f>
        <v>0.37582984060320096</v>
      </c>
      <c r="E42" s="21">
        <f t="shared" si="3"/>
        <v>0.33966896803224123</v>
      </c>
      <c r="F42" s="21">
        <f t="shared" si="3"/>
        <v>0.3026861276578125</v>
      </c>
      <c r="G42" s="21">
        <f t="shared" si="3"/>
        <v>0.28070528441800296</v>
      </c>
      <c r="H42" s="21">
        <f t="shared" si="3"/>
        <v>0.26113777521993259</v>
      </c>
      <c r="I42" s="21">
        <f t="shared" si="3"/>
        <v>0.24031392623947725</v>
      </c>
      <c r="J42" s="21">
        <f t="shared" si="3"/>
        <v>0.22368704350693941</v>
      </c>
      <c r="K42" s="21">
        <f t="shared" si="3"/>
        <v>0.20496329119271936</v>
      </c>
      <c r="L42" s="21">
        <f t="shared" si="3"/>
        <v>0.18835812169376417</v>
      </c>
      <c r="M42" s="21">
        <f t="shared" si="3"/>
        <v>0.17370068527202109</v>
      </c>
      <c r="N42" s="21">
        <f t="shared" si="3"/>
        <v>0.16070665938096509</v>
      </c>
      <c r="O42" s="21">
        <f t="shared" si="3"/>
        <v>0.14914021123711693</v>
      </c>
      <c r="P42" s="21">
        <f t="shared" si="3"/>
        <v>0.13880481017827234</v>
      </c>
      <c r="Q42" s="21">
        <f t="shared" si="3"/>
        <v>0.12953579150060932</v>
      </c>
      <c r="R42" s="21">
        <f t="shared" si="3"/>
        <v>0.12117609262106407</v>
      </c>
      <c r="U42" s="21">
        <v>1</v>
      </c>
      <c r="V42" s="21">
        <v>2</v>
      </c>
      <c r="W42" s="21">
        <v>3</v>
      </c>
      <c r="X42" s="21">
        <v>4</v>
      </c>
      <c r="Y42" s="21">
        <v>5</v>
      </c>
      <c r="Z42" s="21">
        <v>6</v>
      </c>
      <c r="AA42" s="21">
        <v>7</v>
      </c>
      <c r="AB42" s="21">
        <v>8</v>
      </c>
      <c r="AC42" s="21">
        <v>9</v>
      </c>
      <c r="AD42" s="21">
        <v>10</v>
      </c>
      <c r="AE42" s="21">
        <v>11</v>
      </c>
      <c r="AF42" s="21">
        <v>12</v>
      </c>
      <c r="AG42" s="21">
        <v>13</v>
      </c>
      <c r="AH42" s="21">
        <v>14</v>
      </c>
      <c r="AI42" s="21">
        <v>15</v>
      </c>
      <c r="AJ42" s="21">
        <v>16</v>
      </c>
    </row>
    <row r="43" spans="2:40" s="22" customFormat="1" x14ac:dyDescent="0.25">
      <c r="B43" s="31" t="s">
        <v>192</v>
      </c>
      <c r="C43" s="21">
        <f t="shared" ref="C43:R43" si="4">C6/(C10*3.14*C8*C40)</f>
        <v>0.37066289993316642</v>
      </c>
      <c r="D43" s="21">
        <f t="shared" si="4"/>
        <v>0.34184544595487659</v>
      </c>
      <c r="E43" s="21">
        <f t="shared" si="4"/>
        <v>0.2999377935727916</v>
      </c>
      <c r="F43" s="21">
        <f t="shared" si="4"/>
        <v>0.29090842168987607</v>
      </c>
      <c r="G43" s="21">
        <f t="shared" si="4"/>
        <v>0.26871772701894614</v>
      </c>
      <c r="H43" s="21">
        <f t="shared" si="4"/>
        <v>0.2492907117762006</v>
      </c>
      <c r="I43" s="21">
        <f t="shared" si="4"/>
        <v>0.22827227088117372</v>
      </c>
      <c r="J43" s="21">
        <f t="shared" si="4"/>
        <v>0.21547169564747876</v>
      </c>
      <c r="K43" s="21">
        <f t="shared" si="4"/>
        <v>0.19582937396554922</v>
      </c>
      <c r="L43" s="21">
        <f t="shared" si="4"/>
        <v>0.17945095191271088</v>
      </c>
      <c r="M43" s="21">
        <f t="shared" si="4"/>
        <v>0.1650241288098703</v>
      </c>
      <c r="N43" s="21">
        <f t="shared" si="4"/>
        <v>0.15226076940629055</v>
      </c>
      <c r="O43" s="21">
        <f t="shared" si="4"/>
        <v>0.14092361447172375</v>
      </c>
      <c r="P43" s="21">
        <f t="shared" si="4"/>
        <v>0.13081397489457286</v>
      </c>
      <c r="Q43" s="21">
        <f t="shared" si="4"/>
        <v>0.12176596931275291</v>
      </c>
      <c r="R43" s="21">
        <f t="shared" si="4"/>
        <v>0.11941743031654484</v>
      </c>
      <c r="T43" s="22" t="s">
        <v>239</v>
      </c>
      <c r="U43" s="22">
        <f>AVERAGE(C44:C45)</f>
        <v>0.15385533434718479</v>
      </c>
      <c r="V43" s="22">
        <f t="shared" ref="V43:AJ43" si="5">AVERAGE(D44:D45)</f>
        <v>0.15358217065931107</v>
      </c>
      <c r="W43" s="22">
        <f t="shared" si="5"/>
        <v>0.15329498049149765</v>
      </c>
      <c r="X43" s="22">
        <f t="shared" si="5"/>
        <v>0.17255427653941405</v>
      </c>
      <c r="Y43" s="22">
        <f t="shared" si="5"/>
        <v>0.17221914325310506</v>
      </c>
      <c r="Z43" s="22">
        <f t="shared" si="5"/>
        <v>0.1760990792896297</v>
      </c>
      <c r="AA43" s="22">
        <f t="shared" si="5"/>
        <v>0.17923903477081682</v>
      </c>
      <c r="AB43" s="22">
        <f t="shared" si="5"/>
        <v>0.18736257345306598</v>
      </c>
      <c r="AC43" s="22">
        <f t="shared" si="5"/>
        <v>0.1896301866025373</v>
      </c>
      <c r="AD43" s="22">
        <f t="shared" si="5"/>
        <v>0.19432532810449182</v>
      </c>
      <c r="AE43" s="22">
        <f t="shared" si="5"/>
        <v>0.19792110572801952</v>
      </c>
      <c r="AF43" s="22">
        <f t="shared" si="5"/>
        <v>0.20086198608075112</v>
      </c>
      <c r="AG43" s="22">
        <f t="shared" si="5"/>
        <v>0.20324088673022103</v>
      </c>
      <c r="AH43" s="22">
        <f t="shared" si="5"/>
        <v>0.20513498074702108</v>
      </c>
      <c r="AI43" s="22">
        <f t="shared" si="5"/>
        <v>0.20660937901432486</v>
      </c>
      <c r="AJ43" s="22">
        <f t="shared" si="5"/>
        <v>0.20817615079892893</v>
      </c>
    </row>
    <row r="44" spans="2:40" s="22" customFormat="1" x14ac:dyDescent="0.25">
      <c r="B44" s="31" t="s">
        <v>193</v>
      </c>
      <c r="C44" s="22">
        <f t="shared" ref="C44:R44" si="6">C8/2-C41/2</f>
        <v>0.15266539757251407</v>
      </c>
      <c r="D44" s="22">
        <f t="shared" si="6"/>
        <v>0.15085738337777591</v>
      </c>
      <c r="E44" s="22">
        <f t="shared" si="6"/>
        <v>0.14850277851973162</v>
      </c>
      <c r="F44" s="22">
        <f t="shared" si="6"/>
        <v>0.17239124131669006</v>
      </c>
      <c r="G44" s="22">
        <f t="shared" si="6"/>
        <v>0.16798017490781142</v>
      </c>
      <c r="H44" s="22">
        <f t="shared" si="6"/>
        <v>0.1727351998210796</v>
      </c>
      <c r="I44" s="22">
        <f t="shared" si="6"/>
        <v>0.17556353415536133</v>
      </c>
      <c r="J44" s="22">
        <f t="shared" si="6"/>
        <v>0.18579315641883484</v>
      </c>
      <c r="K44" s="22">
        <f t="shared" si="6"/>
        <v>0.1860077012032148</v>
      </c>
      <c r="L44" s="22">
        <f t="shared" si="6"/>
        <v>0.19168564252931936</v>
      </c>
      <c r="M44" s="22">
        <f t="shared" si="6"/>
        <v>0.19581614637622727</v>
      </c>
      <c r="N44" s="22">
        <f t="shared" si="6"/>
        <v>0.19919945297580963</v>
      </c>
      <c r="O44" s="22">
        <f t="shared" si="6"/>
        <v>0.20194627766613471</v>
      </c>
      <c r="P44" s="22">
        <f t="shared" si="6"/>
        <v>0.20414742660939239</v>
      </c>
      <c r="Q44" s="22">
        <f t="shared" si="6"/>
        <v>0.20587911025168362</v>
      </c>
      <c r="R44" s="22">
        <f t="shared" si="6"/>
        <v>0.20770404205236612</v>
      </c>
      <c r="T44" s="22" t="s">
        <v>240</v>
      </c>
      <c r="U44" s="22">
        <f>AVERAGE(C47:C48)</f>
        <v>0.56442847144746378</v>
      </c>
      <c r="V44" s="22">
        <f t="shared" ref="V44:AJ44" si="7">AVERAGE(D47:D48)</f>
        <v>0.5348615858255823</v>
      </c>
      <c r="W44" s="22">
        <f t="shared" si="7"/>
        <v>0.50254835246727092</v>
      </c>
      <c r="X44" s="22">
        <f t="shared" si="7"/>
        <v>0.47556647464267454</v>
      </c>
      <c r="Y44" s="22">
        <f t="shared" si="7"/>
        <v>0.46140236436169535</v>
      </c>
      <c r="Z44" s="22">
        <f t="shared" si="7"/>
        <v>0.44396461344666249</v>
      </c>
      <c r="AA44" s="22">
        <f t="shared" si="7"/>
        <v>0.42690396224120508</v>
      </c>
      <c r="AB44" s="22">
        <f t="shared" si="7"/>
        <v>0.41418845102846763</v>
      </c>
      <c r="AC44" s="22">
        <f t="shared" si="7"/>
        <v>0.40183844859390172</v>
      </c>
      <c r="AD44" s="22">
        <f t="shared" si="7"/>
        <v>0.38796282094860096</v>
      </c>
      <c r="AE44" s="22">
        <f t="shared" si="7"/>
        <v>0.37583170970362512</v>
      </c>
      <c r="AF44" s="22">
        <f t="shared" si="7"/>
        <v>0.36489371167159923</v>
      </c>
      <c r="AG44" s="22">
        <f t="shared" si="7"/>
        <v>0.35497031609551066</v>
      </c>
      <c r="AH44" s="22">
        <f t="shared" si="7"/>
        <v>0.34591489920055085</v>
      </c>
      <c r="AI44" s="22">
        <f t="shared" si="7"/>
        <v>0.33760570804021661</v>
      </c>
      <c r="AJ44" s="22">
        <f t="shared" si="7"/>
        <v>0.33029646091311859</v>
      </c>
    </row>
    <row r="45" spans="2:40" s="22" customFormat="1" x14ac:dyDescent="0.25">
      <c r="B45" s="31" t="s">
        <v>199</v>
      </c>
      <c r="C45" s="22">
        <f>C8/2-C42/2</f>
        <v>0.15504527112185551</v>
      </c>
      <c r="D45" s="22">
        <f t="shared" ref="D45:R45" si="8">D8/2-D42/2</f>
        <v>0.15630695794084623</v>
      </c>
      <c r="E45" s="22">
        <f>E8/2-E42/2</f>
        <v>0.15808718246326364</v>
      </c>
      <c r="F45" s="22">
        <f t="shared" si="8"/>
        <v>0.17271731176213803</v>
      </c>
      <c r="G45" s="22">
        <f t="shared" si="8"/>
        <v>0.17645811159839872</v>
      </c>
      <c r="H45" s="22">
        <f t="shared" si="8"/>
        <v>0.17946295875817977</v>
      </c>
      <c r="I45" s="22">
        <f t="shared" si="8"/>
        <v>0.18291453538627234</v>
      </c>
      <c r="J45" s="22">
        <f t="shared" si="8"/>
        <v>0.18893199048729711</v>
      </c>
      <c r="K45" s="22">
        <f t="shared" si="8"/>
        <v>0.1932526720018598</v>
      </c>
      <c r="L45" s="22">
        <f t="shared" si="8"/>
        <v>0.19696501367966429</v>
      </c>
      <c r="M45" s="22">
        <f t="shared" si="8"/>
        <v>0.20002606507981174</v>
      </c>
      <c r="N45" s="22">
        <f t="shared" si="8"/>
        <v>0.20252451918569264</v>
      </c>
      <c r="O45" s="22">
        <f t="shared" si="8"/>
        <v>0.20453549579430735</v>
      </c>
      <c r="P45" s="22">
        <f t="shared" si="8"/>
        <v>0.20612253488464979</v>
      </c>
      <c r="Q45" s="22">
        <f t="shared" si="8"/>
        <v>0.20733964777696606</v>
      </c>
      <c r="R45" s="22">
        <f t="shared" si="8"/>
        <v>0.20864825954549171</v>
      </c>
      <c r="T45" s="22" t="s">
        <v>241</v>
      </c>
      <c r="U45" s="22">
        <f>AVERAGE(C45:C46)</f>
        <v>0.16442786202629828</v>
      </c>
      <c r="V45" s="22">
        <f t="shared" ref="V45:AJ45" si="9">AVERAGE(D45:D46)</f>
        <v>0.16480305660292732</v>
      </c>
      <c r="W45" s="22">
        <f t="shared" si="9"/>
        <v>0.16801997607812605</v>
      </c>
      <c r="X45" s="22">
        <f t="shared" si="9"/>
        <v>0.17566173825412212</v>
      </c>
      <c r="Y45" s="22">
        <f t="shared" si="9"/>
        <v>0.17945500094816291</v>
      </c>
      <c r="Z45" s="22">
        <f t="shared" si="9"/>
        <v>0.18242472461911277</v>
      </c>
      <c r="AA45" s="22">
        <f t="shared" si="9"/>
        <v>0.18592494922584821</v>
      </c>
      <c r="AB45" s="22">
        <f t="shared" si="9"/>
        <v>0.19098582745216228</v>
      </c>
      <c r="AC45" s="22">
        <f t="shared" si="9"/>
        <v>0.19553615130865235</v>
      </c>
      <c r="AD45" s="22">
        <f t="shared" si="9"/>
        <v>0.19919180612492762</v>
      </c>
      <c r="AE45" s="22">
        <f t="shared" si="9"/>
        <v>0.20219520419534945</v>
      </c>
      <c r="AF45" s="22">
        <f t="shared" si="9"/>
        <v>0.20463599167936128</v>
      </c>
      <c r="AG45" s="22">
        <f t="shared" si="9"/>
        <v>0.20658964498565566</v>
      </c>
      <c r="AH45" s="22">
        <f t="shared" si="9"/>
        <v>0.20812024370557466</v>
      </c>
      <c r="AI45" s="22">
        <f t="shared" si="9"/>
        <v>0.20928210332393016</v>
      </c>
      <c r="AJ45" s="22">
        <f t="shared" si="9"/>
        <v>0.20908792512162153</v>
      </c>
    </row>
    <row r="46" spans="2:40" s="22" customFormat="1" x14ac:dyDescent="0.25">
      <c r="B46" s="31" t="s">
        <v>194</v>
      </c>
      <c r="C46" s="22">
        <f t="shared" ref="C46:R46" si="10">C8/2-C43/2</f>
        <v>0.17381045293074107</v>
      </c>
      <c r="D46" s="22">
        <f t="shared" si="10"/>
        <v>0.17329915526500841</v>
      </c>
      <c r="E46" s="22">
        <f t="shared" si="10"/>
        <v>0.17795276969298846</v>
      </c>
      <c r="F46" s="22">
        <f t="shared" si="10"/>
        <v>0.17860616474610624</v>
      </c>
      <c r="G46" s="22">
        <f t="shared" si="10"/>
        <v>0.18245189029792713</v>
      </c>
      <c r="H46" s="22">
        <f t="shared" si="10"/>
        <v>0.18538649048004577</v>
      </c>
      <c r="I46" s="22">
        <f t="shared" si="10"/>
        <v>0.18893536306542408</v>
      </c>
      <c r="J46" s="22">
        <f t="shared" si="10"/>
        <v>0.19303966441702744</v>
      </c>
      <c r="K46" s="22">
        <f t="shared" si="10"/>
        <v>0.19781963061544489</v>
      </c>
      <c r="L46" s="22">
        <f t="shared" si="10"/>
        <v>0.20141859857019095</v>
      </c>
      <c r="M46" s="22">
        <f t="shared" si="10"/>
        <v>0.20436434331088715</v>
      </c>
      <c r="N46" s="22">
        <f t="shared" si="10"/>
        <v>0.20674746417302992</v>
      </c>
      <c r="O46" s="22">
        <f t="shared" si="10"/>
        <v>0.20864379417700396</v>
      </c>
      <c r="P46" s="22">
        <f t="shared" si="10"/>
        <v>0.21011795252649954</v>
      </c>
      <c r="Q46" s="22">
        <f t="shared" si="10"/>
        <v>0.21122455887089428</v>
      </c>
      <c r="R46" s="22">
        <f t="shared" si="10"/>
        <v>0.20952759069775134</v>
      </c>
      <c r="T46" s="22" t="s">
        <v>242</v>
      </c>
      <c r="U46" s="22">
        <f>AVERAGE(C48:C49)</f>
        <v>0.55385594376835035</v>
      </c>
      <c r="V46" s="22">
        <f t="shared" ref="V46:AJ46" si="11">AVERAGE(D48:D49)</f>
        <v>0.52364069988196604</v>
      </c>
      <c r="W46" s="22">
        <f t="shared" si="11"/>
        <v>0.48782335688064249</v>
      </c>
      <c r="X46" s="22">
        <f t="shared" si="11"/>
        <v>0.47245901292796644</v>
      </c>
      <c r="Y46" s="22">
        <f t="shared" si="11"/>
        <v>0.45416650666663749</v>
      </c>
      <c r="Z46" s="22">
        <f t="shared" si="11"/>
        <v>0.43763896811717939</v>
      </c>
      <c r="AA46" s="22">
        <f t="shared" si="11"/>
        <v>0.42021804778617367</v>
      </c>
      <c r="AB46" s="22">
        <f t="shared" si="11"/>
        <v>0.41056519702937133</v>
      </c>
      <c r="AC46" s="22">
        <f t="shared" si="11"/>
        <v>0.39593248388778668</v>
      </c>
      <c r="AD46" s="22">
        <f t="shared" si="11"/>
        <v>0.38309634292816519</v>
      </c>
      <c r="AE46" s="22">
        <f t="shared" si="11"/>
        <v>0.37155761123629516</v>
      </c>
      <c r="AF46" s="22">
        <f t="shared" si="11"/>
        <v>0.36111970607298904</v>
      </c>
      <c r="AG46" s="22">
        <f t="shared" si="11"/>
        <v>0.35162155784007598</v>
      </c>
      <c r="AH46" s="22">
        <f t="shared" si="11"/>
        <v>0.34292963624199724</v>
      </c>
      <c r="AI46" s="22">
        <f t="shared" si="11"/>
        <v>0.33493298373061131</v>
      </c>
      <c r="AJ46" s="22">
        <f t="shared" si="11"/>
        <v>0.32938468659042597</v>
      </c>
    </row>
    <row r="47" spans="2:40" s="22" customFormat="1" x14ac:dyDescent="0.25">
      <c r="B47" s="31" t="s">
        <v>195</v>
      </c>
      <c r="C47" s="22">
        <f t="shared" ref="C47:R47" si="12">C8/2+C41/2</f>
        <v>0.56561840822213449</v>
      </c>
      <c r="D47" s="22">
        <f t="shared" si="12"/>
        <v>0.53758637310711754</v>
      </c>
      <c r="E47" s="22">
        <f t="shared" si="12"/>
        <v>0.50734055443903692</v>
      </c>
      <c r="F47" s="22">
        <f t="shared" si="12"/>
        <v>0.47572950986539853</v>
      </c>
      <c r="G47" s="22">
        <f t="shared" si="12"/>
        <v>0.46564133270698899</v>
      </c>
      <c r="H47" s="22">
        <f t="shared" si="12"/>
        <v>0.44732849291521254</v>
      </c>
      <c r="I47" s="22">
        <f t="shared" si="12"/>
        <v>0.4305794628566606</v>
      </c>
      <c r="J47" s="22">
        <f t="shared" si="12"/>
        <v>0.41575786806269877</v>
      </c>
      <c r="K47" s="22">
        <f t="shared" si="12"/>
        <v>0.40546093399322419</v>
      </c>
      <c r="L47" s="22">
        <f t="shared" si="12"/>
        <v>0.39060250652377343</v>
      </c>
      <c r="M47" s="22">
        <f t="shared" si="12"/>
        <v>0.37793666905541734</v>
      </c>
      <c r="N47" s="22">
        <f t="shared" si="12"/>
        <v>0.3665562447765407</v>
      </c>
      <c r="O47" s="22">
        <f t="shared" si="12"/>
        <v>0.35626492515959696</v>
      </c>
      <c r="P47" s="22">
        <f t="shared" si="12"/>
        <v>0.34690245333817954</v>
      </c>
      <c r="Q47" s="22">
        <f t="shared" si="12"/>
        <v>0.33833597680285787</v>
      </c>
      <c r="R47" s="22">
        <f t="shared" si="12"/>
        <v>0.33076856965968143</v>
      </c>
    </row>
    <row r="48" spans="2:40" s="22" customFormat="1" x14ac:dyDescent="0.25">
      <c r="B48" s="31" t="s">
        <v>203</v>
      </c>
      <c r="C48" s="22">
        <f>C8/2+C42/2</f>
        <v>0.56323853467279306</v>
      </c>
      <c r="D48" s="22">
        <f t="shared" ref="D48:R48" si="13">D8/2+D42/2</f>
        <v>0.53213679854404716</v>
      </c>
      <c r="E48" s="22">
        <f t="shared" si="13"/>
        <v>0.49775615049550487</v>
      </c>
      <c r="F48" s="22">
        <f t="shared" si="13"/>
        <v>0.47540343941995056</v>
      </c>
      <c r="G48" s="22">
        <f t="shared" si="13"/>
        <v>0.45716339601640166</v>
      </c>
      <c r="H48" s="22">
        <f t="shared" si="13"/>
        <v>0.44060073397811239</v>
      </c>
      <c r="I48" s="22">
        <f t="shared" si="13"/>
        <v>0.42322846162574956</v>
      </c>
      <c r="J48" s="22">
        <f t="shared" si="13"/>
        <v>0.41261903399423649</v>
      </c>
      <c r="K48" s="22">
        <f t="shared" si="13"/>
        <v>0.39821596319457919</v>
      </c>
      <c r="L48" s="22">
        <f t="shared" si="13"/>
        <v>0.38532313537342849</v>
      </c>
      <c r="M48" s="22">
        <f t="shared" si="13"/>
        <v>0.37372675035183284</v>
      </c>
      <c r="N48" s="22">
        <f t="shared" si="13"/>
        <v>0.36323117856665771</v>
      </c>
      <c r="O48" s="22">
        <f t="shared" si="13"/>
        <v>0.35367570703142431</v>
      </c>
      <c r="P48" s="22">
        <f t="shared" si="13"/>
        <v>0.34492734506292211</v>
      </c>
      <c r="Q48" s="22">
        <f t="shared" si="13"/>
        <v>0.33687543927757541</v>
      </c>
      <c r="R48" s="22">
        <f t="shared" si="13"/>
        <v>0.32982435216655581</v>
      </c>
    </row>
    <row r="49" spans="1:40" s="20" customFormat="1" x14ac:dyDescent="0.25">
      <c r="B49" s="31" t="s">
        <v>196</v>
      </c>
      <c r="C49" s="22">
        <f t="shared" ref="C49:R49" si="14">C8/2+C43/2</f>
        <v>0.54447335286390752</v>
      </c>
      <c r="D49" s="22">
        <f t="shared" si="14"/>
        <v>0.51514460121988503</v>
      </c>
      <c r="E49" s="22">
        <f t="shared" si="14"/>
        <v>0.47789056326578006</v>
      </c>
      <c r="F49" s="22">
        <f t="shared" si="14"/>
        <v>0.46951458643598232</v>
      </c>
      <c r="G49" s="22">
        <f t="shared" si="14"/>
        <v>0.45116961731687327</v>
      </c>
      <c r="H49" s="22">
        <f t="shared" si="14"/>
        <v>0.4346772022562464</v>
      </c>
      <c r="I49" s="22">
        <f t="shared" si="14"/>
        <v>0.41720763394659782</v>
      </c>
      <c r="J49" s="22">
        <f t="shared" si="14"/>
        <v>0.40851136006450617</v>
      </c>
      <c r="K49" s="22">
        <f t="shared" si="14"/>
        <v>0.39364900458099411</v>
      </c>
      <c r="L49" s="22">
        <f t="shared" si="14"/>
        <v>0.38086955048290183</v>
      </c>
      <c r="M49" s="22">
        <f t="shared" si="14"/>
        <v>0.36938847212075743</v>
      </c>
      <c r="N49" s="22">
        <f t="shared" si="14"/>
        <v>0.35900823357932043</v>
      </c>
      <c r="O49" s="22">
        <f t="shared" si="14"/>
        <v>0.34956740864872771</v>
      </c>
      <c r="P49" s="22">
        <f t="shared" si="14"/>
        <v>0.34093192742107237</v>
      </c>
      <c r="Q49" s="22">
        <f t="shared" si="14"/>
        <v>0.33299052818364716</v>
      </c>
      <c r="R49" s="22">
        <f t="shared" si="14"/>
        <v>0.32894502101429618</v>
      </c>
    </row>
    <row r="50" spans="1:40" s="20" customFormat="1" x14ac:dyDescent="0.25">
      <c r="B50" s="29" t="s">
        <v>197</v>
      </c>
      <c r="C50" s="20">
        <f>C44/C47</f>
        <v>0.2699088207761407</v>
      </c>
      <c r="D50" s="20">
        <f t="shared" ref="D50:R51" si="15">D44/D47</f>
        <v>0.28061980534561765</v>
      </c>
      <c r="E50" s="20">
        <f t="shared" si="15"/>
        <v>0.29270827498489682</v>
      </c>
      <c r="F50" s="20">
        <f t="shared" si="15"/>
        <v>0.3623723938535281</v>
      </c>
      <c r="G50" s="20">
        <f t="shared" si="15"/>
        <v>0.36075013773211406</v>
      </c>
      <c r="H50" s="20">
        <f t="shared" si="15"/>
        <v>0.38614844025555989</v>
      </c>
      <c r="I50" s="20">
        <f t="shared" si="15"/>
        <v>0.40773782611598042</v>
      </c>
      <c r="J50" s="20">
        <f t="shared" si="15"/>
        <v>0.44687826903811267</v>
      </c>
      <c r="K50" s="20">
        <f t="shared" si="15"/>
        <v>0.45875616023299359</v>
      </c>
      <c r="L50" s="20">
        <f t="shared" si="15"/>
        <v>0.49074350350502088</v>
      </c>
      <c r="M50" s="20">
        <f t="shared" si="15"/>
        <v>0.51811894004790127</v>
      </c>
      <c r="N50" s="20">
        <f t="shared" si="15"/>
        <v>0.54343489113722565</v>
      </c>
      <c r="O50" s="20">
        <f t="shared" si="15"/>
        <v>0.56684299633388913</v>
      </c>
      <c r="P50" s="20">
        <f t="shared" si="15"/>
        <v>0.58848654613110585</v>
      </c>
      <c r="Q50" s="20">
        <f t="shared" si="15"/>
        <v>0.60850493109588988</v>
      </c>
      <c r="R50" s="20">
        <f t="shared" si="15"/>
        <v>0.62794370778960962</v>
      </c>
    </row>
    <row r="51" spans="1:40" s="20" customFormat="1" x14ac:dyDescent="0.25">
      <c r="B51" s="29" t="s">
        <v>223</v>
      </c>
      <c r="C51" s="20">
        <f>C45/C48</f>
        <v>0.27527461559768329</v>
      </c>
      <c r="D51" s="20">
        <f t="shared" si="15"/>
        <v>0.29373454038230368</v>
      </c>
      <c r="E51" s="20">
        <f t="shared" si="15"/>
        <v>0.31759965659066486</v>
      </c>
      <c r="F51" s="20">
        <f t="shared" si="15"/>
        <v>0.36330681993566127</v>
      </c>
      <c r="G51" s="20">
        <f t="shared" si="15"/>
        <v>0.38598477729408576</v>
      </c>
      <c r="H51" s="20">
        <f t="shared" si="15"/>
        <v>0.40731425283348466</v>
      </c>
      <c r="I51" s="20">
        <f t="shared" si="15"/>
        <v>0.43218864507278609</v>
      </c>
      <c r="J51" s="20">
        <f t="shared" si="15"/>
        <v>0.45788481606967296</v>
      </c>
      <c r="K51" s="20">
        <f t="shared" si="15"/>
        <v>0.48529614546725558</v>
      </c>
      <c r="L51" s="20">
        <f t="shared" si="15"/>
        <v>0.51116840801365182</v>
      </c>
      <c r="M51" s="20">
        <f t="shared" si="15"/>
        <v>0.53522009032402351</v>
      </c>
      <c r="N51" s="20">
        <f t="shared" si="15"/>
        <v>0.5575636980968216</v>
      </c>
      <c r="O51" s="20">
        <f t="shared" si="15"/>
        <v>0.57831366907010728</v>
      </c>
      <c r="P51" s="20">
        <f t="shared" si="15"/>
        <v>0.59758247014903576</v>
      </c>
      <c r="Q51" s="20">
        <f t="shared" si="15"/>
        <v>0.61547867134987044</v>
      </c>
      <c r="R51" s="20">
        <f t="shared" si="15"/>
        <v>0.63260416696013944</v>
      </c>
    </row>
    <row r="52" spans="1:40" x14ac:dyDescent="0.25">
      <c r="B52" s="29" t="s">
        <v>198</v>
      </c>
      <c r="C52" s="20">
        <f>C46/C49</f>
        <v>0.31922673904334381</v>
      </c>
      <c r="D52" s="20">
        <f t="shared" ref="D52:R52" si="16">D46/D49</f>
        <v>0.33640875756948324</v>
      </c>
      <c r="E52" s="20">
        <f t="shared" si="16"/>
        <v>0.37237138242886703</v>
      </c>
      <c r="F52" s="20">
        <f t="shared" si="16"/>
        <v>0.38040599782400786</v>
      </c>
      <c r="G52" s="20">
        <f t="shared" si="16"/>
        <v>0.40439755536504657</v>
      </c>
      <c r="H52" s="20">
        <f t="shared" si="16"/>
        <v>0.42649232469007803</v>
      </c>
      <c r="I52" s="20">
        <f t="shared" si="16"/>
        <v>0.45285691749736207</v>
      </c>
      <c r="J52" s="20">
        <f t="shared" si="16"/>
        <v>0.4725441769515184</v>
      </c>
      <c r="K52" s="20">
        <f t="shared" si="16"/>
        <v>0.50252795844360654</v>
      </c>
      <c r="L52" s="20">
        <f t="shared" si="16"/>
        <v>0.52883880665916649</v>
      </c>
      <c r="M52" s="20">
        <f t="shared" si="16"/>
        <v>0.55325046322527915</v>
      </c>
      <c r="N52" s="20">
        <f t="shared" si="16"/>
        <v>0.57588502110871631</v>
      </c>
      <c r="O52" s="20">
        <f t="shared" si="16"/>
        <v>0.59686283393388462</v>
      </c>
      <c r="P52" s="20">
        <f t="shared" si="16"/>
        <v>0.61630470961140182</v>
      </c>
      <c r="Q52" s="20">
        <f t="shared" si="16"/>
        <v>0.63432602729889698</v>
      </c>
      <c r="R52" s="20">
        <f t="shared" si="16"/>
        <v>0.63696842120204988</v>
      </c>
    </row>
    <row r="53" spans="1:40" x14ac:dyDescent="0.25">
      <c r="B53" s="31" t="s">
        <v>206</v>
      </c>
      <c r="C53">
        <f>C34/C32</f>
        <v>1.1800535216072072</v>
      </c>
      <c r="D53">
        <f t="shared" ref="D53:R53" si="17">D34/D32</f>
        <v>1.2423640061439567</v>
      </c>
      <c r="E53">
        <f t="shared" si="17"/>
        <v>1.2198229313077094</v>
      </c>
      <c r="F53">
        <f t="shared" si="17"/>
        <v>1.1543541847594407</v>
      </c>
      <c r="G53">
        <f t="shared" si="17"/>
        <v>1.1428774501023458</v>
      </c>
      <c r="H53">
        <f t="shared" si="17"/>
        <v>1.136942679623397</v>
      </c>
      <c r="I53">
        <f>I34/I32</f>
        <v>1.1310925672066643</v>
      </c>
      <c r="J53">
        <f t="shared" si="17"/>
        <v>1.1676664078688952</v>
      </c>
      <c r="K53">
        <f t="shared" si="17"/>
        <v>1.1554621340419213</v>
      </c>
      <c r="L53">
        <f t="shared" si="17"/>
        <v>1.1486208079088291</v>
      </c>
      <c r="M53">
        <f t="shared" si="17"/>
        <v>1.1422343639875583</v>
      </c>
      <c r="N53">
        <f t="shared" si="17"/>
        <v>1.1363771947028889</v>
      </c>
      <c r="O53">
        <f t="shared" si="17"/>
        <v>1.1309757076911446</v>
      </c>
      <c r="P53">
        <f t="shared" si="17"/>
        <v>1.1259865468562971</v>
      </c>
      <c r="Q53">
        <f t="shared" si="17"/>
        <v>1.1213613761176142</v>
      </c>
      <c r="R53">
        <f t="shared" si="17"/>
        <v>1.1061125990776055</v>
      </c>
    </row>
    <row r="54" spans="1:40" x14ac:dyDescent="0.25">
      <c r="B54" s="31" t="s">
        <v>216</v>
      </c>
      <c r="C54">
        <f xml:space="preserve"> 0.0002*((C28-C27)/2+C27) + 0.9435</f>
        <v>1.002842</v>
      </c>
      <c r="D54">
        <f t="shared" ref="D54:R54" si="18" xml:space="preserve"> 0.0002*((D28-D27)/2+D27) + 0.9435</f>
        <v>1.006642</v>
      </c>
      <c r="E54">
        <f t="shared" si="18"/>
        <v>1.010842</v>
      </c>
      <c r="F54">
        <f t="shared" si="18"/>
        <v>1.0144040000000001</v>
      </c>
      <c r="G54">
        <f t="shared" si="18"/>
        <v>1.017404</v>
      </c>
      <c r="H54">
        <f t="shared" si="18"/>
        <v>1.0204040000000001</v>
      </c>
      <c r="I54">
        <f t="shared" si="18"/>
        <v>1.0234529999999999</v>
      </c>
      <c r="J54">
        <f t="shared" si="18"/>
        <v>1.026902</v>
      </c>
      <c r="K54">
        <f t="shared" si="18"/>
        <v>1.030702</v>
      </c>
      <c r="L54">
        <f t="shared" si="18"/>
        <v>1.034502</v>
      </c>
      <c r="M54">
        <f t="shared" si="18"/>
        <v>1.0383020000000001</v>
      </c>
      <c r="N54">
        <f t="shared" si="18"/>
        <v>1.0421020000000001</v>
      </c>
      <c r="O54">
        <f t="shared" si="18"/>
        <v>1.0459020000000001</v>
      </c>
      <c r="P54">
        <f t="shared" si="18"/>
        <v>1.0497019999999999</v>
      </c>
      <c r="Q54">
        <f t="shared" si="18"/>
        <v>1.0535019999999999</v>
      </c>
      <c r="R54">
        <f t="shared" si="18"/>
        <v>1.05714</v>
      </c>
      <c r="Y54" s="25">
        <v>-0.97119963069084803</v>
      </c>
      <c r="Z54" s="25">
        <v>-0.541713835481892</v>
      </c>
      <c r="AA54" s="25">
        <v>-1.4706922860295</v>
      </c>
      <c r="AB54" s="25">
        <v>-0.16509052663361301</v>
      </c>
      <c r="AC54" s="25">
        <v>-0.96306969180025903</v>
      </c>
      <c r="AD54" s="25">
        <v>-0.98235431455220101</v>
      </c>
      <c r="AE54" s="25">
        <v>-1.6538884091525301</v>
      </c>
      <c r="AF54" s="25">
        <v>-0.74225131019373103</v>
      </c>
      <c r="AG54" s="25">
        <v>-1.4056307535738599</v>
      </c>
      <c r="AH54" s="25">
        <v>-1.4050490527243</v>
      </c>
      <c r="AI54" s="25">
        <v>-1.42331477657891</v>
      </c>
      <c r="AJ54" s="25">
        <v>-1.4410054894100299</v>
      </c>
      <c r="AK54" s="25">
        <v>-1.4602134790265799</v>
      </c>
      <c r="AL54" s="25">
        <v>-1.4792324117631901</v>
      </c>
      <c r="AM54" s="25">
        <v>-1.4986970440005201</v>
      </c>
      <c r="AN54" s="25">
        <v>-1.4295154544795701</v>
      </c>
    </row>
    <row r="55" spans="1:40" x14ac:dyDescent="0.25">
      <c r="B55" s="31" t="s">
        <v>217</v>
      </c>
      <c r="C55">
        <f>C54*(C28-C27)*1000</f>
        <v>17048.314000000002</v>
      </c>
      <c r="D55">
        <f t="shared" ref="D55:R55" si="19">D54*(D28-D27)*1000</f>
        <v>21139.482</v>
      </c>
      <c r="E55">
        <f t="shared" si="19"/>
        <v>21227.682000000001</v>
      </c>
      <c r="F55">
        <f t="shared" si="19"/>
        <v>15216.060000000001</v>
      </c>
      <c r="G55">
        <f t="shared" si="19"/>
        <v>15261.060000000001</v>
      </c>
      <c r="H55">
        <f t="shared" si="19"/>
        <v>15306.060000000001</v>
      </c>
      <c r="I55">
        <f t="shared" si="19"/>
        <v>15853.286970000008</v>
      </c>
      <c r="J55">
        <f t="shared" si="19"/>
        <v>19511.137999999999</v>
      </c>
      <c r="K55">
        <f t="shared" si="19"/>
        <v>19583.338</v>
      </c>
      <c r="L55">
        <f t="shared" si="19"/>
        <v>19655.538</v>
      </c>
      <c r="M55">
        <f t="shared" si="19"/>
        <v>19727.738000000001</v>
      </c>
      <c r="N55">
        <f t="shared" si="19"/>
        <v>19799.938000000002</v>
      </c>
      <c r="O55">
        <f t="shared" si="19"/>
        <v>19872.138000000003</v>
      </c>
      <c r="P55">
        <f t="shared" si="19"/>
        <v>19944.338</v>
      </c>
      <c r="Q55">
        <f t="shared" si="19"/>
        <v>20016.537999999997</v>
      </c>
      <c r="R55">
        <f t="shared" si="19"/>
        <v>18373.093199999996</v>
      </c>
      <c r="T55" s="24" t="s">
        <v>210</v>
      </c>
      <c r="Y55">
        <v>0.79329017578087813</v>
      </c>
      <c r="Z55">
        <v>0.82829942131348389</v>
      </c>
      <c r="AA55">
        <v>0.88701453520361084</v>
      </c>
      <c r="AB55">
        <v>0.55431930969514476</v>
      </c>
      <c r="AC55">
        <v>0.56112929604922046</v>
      </c>
      <c r="AD55">
        <v>0.57009937439794156</v>
      </c>
      <c r="AE55">
        <v>0.66676584917817017</v>
      </c>
      <c r="AF55">
        <v>0.69761218036215256</v>
      </c>
      <c r="AG55">
        <v>0.69312034651122933</v>
      </c>
      <c r="AH55">
        <v>0.69894791743721951</v>
      </c>
      <c r="AI55">
        <v>0.70483998776233925</v>
      </c>
      <c r="AJ55">
        <v>0.71079747001481164</v>
      </c>
      <c r="AK55">
        <v>0.71682129455231902</v>
      </c>
      <c r="AL55">
        <v>0.72291240996715234</v>
      </c>
      <c r="AM55">
        <v>0.72907178348776824</v>
      </c>
      <c r="AN55">
        <v>0.69724351461401424</v>
      </c>
    </row>
    <row r="56" spans="1:40" x14ac:dyDescent="0.25">
      <c r="B56" s="21"/>
      <c r="T56" s="24"/>
    </row>
    <row r="57" spans="1:40" x14ac:dyDescent="0.25">
      <c r="A57" t="s">
        <v>208</v>
      </c>
    </row>
    <row r="58" spans="1:40" x14ac:dyDescent="0.25">
      <c r="B58" t="s">
        <v>209</v>
      </c>
      <c r="C58">
        <f t="shared" ref="C58:R58" si="20">C41/3</f>
        <v>0.13765100354987347</v>
      </c>
      <c r="D58">
        <f t="shared" si="20"/>
        <v>0.12890966324311387</v>
      </c>
      <c r="E58">
        <f t="shared" si="20"/>
        <v>0.11961259197310176</v>
      </c>
      <c r="F58">
        <f t="shared" si="20"/>
        <v>0.10111275618290282</v>
      </c>
      <c r="G58">
        <f t="shared" si="20"/>
        <v>9.9220385933059194E-2</v>
      </c>
      <c r="H58">
        <f t="shared" si="20"/>
        <v>9.1531097698044309E-2</v>
      </c>
      <c r="I58">
        <f t="shared" si="20"/>
        <v>8.5005309567099743E-2</v>
      </c>
      <c r="J58">
        <f t="shared" si="20"/>
        <v>7.6654903881287983E-2</v>
      </c>
      <c r="K58">
        <f t="shared" si="20"/>
        <v>7.3151077596669806E-2</v>
      </c>
      <c r="L58">
        <f t="shared" si="20"/>
        <v>6.6305621331484696E-2</v>
      </c>
      <c r="M58">
        <f t="shared" si="20"/>
        <v>6.070684089306335E-2</v>
      </c>
      <c r="N58">
        <f t="shared" si="20"/>
        <v>5.5785597266910368E-2</v>
      </c>
      <c r="O58">
        <f t="shared" si="20"/>
        <v>5.1439549164487418E-2</v>
      </c>
      <c r="P58">
        <f t="shared" si="20"/>
        <v>4.7585008909595723E-2</v>
      </c>
      <c r="Q58">
        <f t="shared" si="20"/>
        <v>4.4152288850391408E-2</v>
      </c>
      <c r="R58">
        <f t="shared" si="20"/>
        <v>4.1021509202438432E-2</v>
      </c>
    </row>
    <row r="59" spans="1:40" x14ac:dyDescent="0.25">
      <c r="B59" t="s">
        <v>224</v>
      </c>
      <c r="C59">
        <f>C42/3</f>
        <v>0.13606442118364584</v>
      </c>
      <c r="D59">
        <f t="shared" ref="D59:R59" si="21">D42/3</f>
        <v>0.12527661353440031</v>
      </c>
      <c r="E59">
        <f t="shared" si="21"/>
        <v>0.11322298934408041</v>
      </c>
      <c r="F59">
        <f t="shared" si="21"/>
        <v>0.1008953758859375</v>
      </c>
      <c r="G59">
        <f t="shared" si="21"/>
        <v>9.3568428139334317E-2</v>
      </c>
      <c r="H59">
        <f t="shared" si="21"/>
        <v>8.7045925073310867E-2</v>
      </c>
      <c r="I59">
        <f t="shared" si="21"/>
        <v>8.0104642079825747E-2</v>
      </c>
      <c r="J59">
        <f t="shared" si="21"/>
        <v>7.456234783564647E-2</v>
      </c>
      <c r="K59">
        <f t="shared" si="21"/>
        <v>6.8321097064239791E-2</v>
      </c>
      <c r="L59">
        <f t="shared" si="21"/>
        <v>6.2786040564588058E-2</v>
      </c>
      <c r="M59">
        <f t="shared" si="21"/>
        <v>5.7900228424007029E-2</v>
      </c>
      <c r="N59">
        <f t="shared" si="21"/>
        <v>5.35688864603217E-2</v>
      </c>
      <c r="O59">
        <f t="shared" si="21"/>
        <v>4.9713403745705646E-2</v>
      </c>
      <c r="P59">
        <f t="shared" si="21"/>
        <v>4.6268270059424112E-2</v>
      </c>
      <c r="Q59">
        <f t="shared" si="21"/>
        <v>4.3178597166869774E-2</v>
      </c>
      <c r="R59">
        <f t="shared" si="21"/>
        <v>4.0392030873688027E-2</v>
      </c>
    </row>
    <row r="60" spans="1:40" x14ac:dyDescent="0.25">
      <c r="B60" t="s">
        <v>215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</row>
    <row r="61" spans="1:40" x14ac:dyDescent="0.25">
      <c r="B61" t="s">
        <v>225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</row>
    <row r="62" spans="1:40" x14ac:dyDescent="0.25">
      <c r="B62" s="16" t="s">
        <v>211</v>
      </c>
      <c r="C62" s="25">
        <f>C58*C60</f>
        <v>0.13765100354987347</v>
      </c>
      <c r="D62" s="25">
        <f t="shared" ref="D62:R63" si="22">D58*D60</f>
        <v>0.12890966324311387</v>
      </c>
      <c r="E62" s="25">
        <f t="shared" si="22"/>
        <v>0.11961259197310176</v>
      </c>
      <c r="F62" s="25">
        <f t="shared" si="22"/>
        <v>0.10111275618290282</v>
      </c>
      <c r="G62" s="25">
        <f t="shared" si="22"/>
        <v>9.9220385933059194E-2</v>
      </c>
      <c r="H62" s="25">
        <f t="shared" si="22"/>
        <v>9.1531097698044309E-2</v>
      </c>
      <c r="I62" s="25">
        <f t="shared" si="22"/>
        <v>8.5005309567099743E-2</v>
      </c>
      <c r="J62" s="25">
        <f t="shared" si="22"/>
        <v>7.6654903881287983E-2</v>
      </c>
      <c r="K62" s="25">
        <f t="shared" si="22"/>
        <v>7.3151077596669806E-2</v>
      </c>
      <c r="L62" s="25">
        <f t="shared" si="22"/>
        <v>6.6305621331484696E-2</v>
      </c>
      <c r="M62" s="25">
        <f t="shared" si="22"/>
        <v>6.070684089306335E-2</v>
      </c>
      <c r="N62" s="25">
        <f t="shared" si="22"/>
        <v>5.5785597266910368E-2</v>
      </c>
      <c r="O62" s="25">
        <f t="shared" si="22"/>
        <v>5.1439549164487418E-2</v>
      </c>
      <c r="P62" s="25">
        <f t="shared" si="22"/>
        <v>4.7585008909595723E-2</v>
      </c>
      <c r="Q62" s="25">
        <f t="shared" si="22"/>
        <v>4.4152288850391408E-2</v>
      </c>
      <c r="R62" s="25">
        <f t="shared" si="22"/>
        <v>4.1021509202438432E-2</v>
      </c>
    </row>
    <row r="63" spans="1:40" x14ac:dyDescent="0.25">
      <c r="B63" s="16" t="s">
        <v>226</v>
      </c>
      <c r="C63" s="25">
        <f>C59*C61</f>
        <v>0.13606442118364584</v>
      </c>
      <c r="D63" s="25">
        <f t="shared" si="22"/>
        <v>0.12527661353440031</v>
      </c>
      <c r="E63" s="25">
        <f t="shared" si="22"/>
        <v>0.11322298934408041</v>
      </c>
      <c r="F63" s="25">
        <f t="shared" si="22"/>
        <v>0.1008953758859375</v>
      </c>
      <c r="G63" s="25">
        <f t="shared" si="22"/>
        <v>9.3568428139334317E-2</v>
      </c>
      <c r="H63" s="25">
        <f t="shared" si="22"/>
        <v>8.7045925073310867E-2</v>
      </c>
      <c r="I63" s="25">
        <f t="shared" si="22"/>
        <v>8.0104642079825747E-2</v>
      </c>
      <c r="J63" s="25">
        <f t="shared" si="22"/>
        <v>7.456234783564647E-2</v>
      </c>
      <c r="K63" s="25">
        <f t="shared" si="22"/>
        <v>6.8321097064239791E-2</v>
      </c>
      <c r="L63" s="25">
        <f t="shared" si="22"/>
        <v>6.2786040564588058E-2</v>
      </c>
      <c r="M63" s="25">
        <f t="shared" si="22"/>
        <v>5.7900228424007029E-2</v>
      </c>
      <c r="N63" s="25">
        <f t="shared" si="22"/>
        <v>5.35688864603217E-2</v>
      </c>
      <c r="O63" s="25">
        <f t="shared" si="22"/>
        <v>4.9713403745705646E-2</v>
      </c>
      <c r="P63" s="25">
        <f t="shared" si="22"/>
        <v>4.6268270059424112E-2</v>
      </c>
      <c r="Q63" s="25">
        <f t="shared" si="22"/>
        <v>4.3178597166869774E-2</v>
      </c>
      <c r="R63" s="25">
        <f t="shared" si="22"/>
        <v>4.0392030873688027E-2</v>
      </c>
    </row>
    <row r="64" spans="1:40" x14ac:dyDescent="0.25">
      <c r="B64" s="47" t="s">
        <v>213</v>
      </c>
      <c r="C64" s="48">
        <f>2*SIN(RADIANS(C13))^2*(_xlfn.COT(RADIANS(C13))-(C8/D8)*_xlfn.COT(RADIANS(C12)))/SIN(RADIANS(C66))</f>
        <v>-1.2887777906235851</v>
      </c>
      <c r="D64" s="48">
        <f>2*SIN(RADIANS(D13))^2*(_xlfn.COT(RADIANS(D13))-(D8/E8)*_xlfn.COT(RADIANS(D12)))/SIN(RADIANS(D66))</f>
        <v>-0.73739304014652951</v>
      </c>
      <c r="E64" s="48">
        <f t="shared" ref="E64:Q64" si="23">2*SIN(RADIANS(E13))^2*(_xlfn.COT(RADIANS(E13))-(E8/F8)*_xlfn.COT(RADIANS(E12)))/SIN(RADIANS(E66))</f>
        <v>-1.877105456909655</v>
      </c>
      <c r="F64" s="48">
        <f t="shared" si="23"/>
        <v>-0.21937795369045818</v>
      </c>
      <c r="G64" s="48">
        <f t="shared" si="23"/>
        <v>-1.1659439570427232</v>
      </c>
      <c r="H64" s="48">
        <f t="shared" si="23"/>
        <v>-1.1778991459752819</v>
      </c>
      <c r="I64" s="48">
        <f t="shared" si="23"/>
        <v>-1.9354613515439254</v>
      </c>
      <c r="J64" s="48">
        <f t="shared" si="23"/>
        <v>-0.86200833230087381</v>
      </c>
      <c r="K64" s="48">
        <f t="shared" si="23"/>
        <v>-1.6180356743065947</v>
      </c>
      <c r="L64" s="48">
        <f t="shared" si="23"/>
        <v>-1.5955254735600992</v>
      </c>
      <c r="M64" s="48">
        <f t="shared" si="23"/>
        <v>-1.6000247073297447</v>
      </c>
      <c r="N64" s="48">
        <f t="shared" si="23"/>
        <v>-1.6068412229098228</v>
      </c>
      <c r="O64" s="48">
        <f t="shared" si="23"/>
        <v>-1.6155965767822302</v>
      </c>
      <c r="P64" s="48">
        <f t="shared" si="23"/>
        <v>-1.6259982229210688</v>
      </c>
      <c r="Q64" s="48">
        <f t="shared" si="23"/>
        <v>-1.6335558078464889</v>
      </c>
      <c r="R64" s="48">
        <f>2*SIN(RADIANS(R13))^2*(_xlfn.COT(RADIANS(R13))-_xlfn.COT(RADIANS(R12)))/SIN(RADIANS(R66))</f>
        <v>-1.5215149644625356</v>
      </c>
    </row>
    <row r="65" spans="1:41" x14ac:dyDescent="0.25">
      <c r="B65" s="47" t="s">
        <v>228</v>
      </c>
      <c r="C65" s="48">
        <f>2*SIN(RADIANS(C15))*((C8/D8)*_xlfn.COT(RADIANS(C14))-_xlfn.COT(RADIANS(C16))+((C8/D8)^2-1)*C11/C10)/SIN(RADIANS(C66))</f>
        <v>-0.99923478018905998</v>
      </c>
      <c r="D65" s="48">
        <f t="shared" ref="D65:Q65" si="24">2*SIN(RADIANS(D15))*((D8/E8)*_xlfn.COT(RADIANS(D14))-_xlfn.COT(RADIANS(D16))+((D8/E8)^2-1)*D11/D10)/SIN(RADIANS(D66))</f>
        <v>-1.1491573046166752</v>
      </c>
      <c r="E65" s="48">
        <f t="shared" si="24"/>
        <v>-1.4822971894235653</v>
      </c>
      <c r="F65" s="48">
        <f t="shared" si="24"/>
        <v>-0.93203176113746256</v>
      </c>
      <c r="G65" s="48">
        <f t="shared" si="24"/>
        <v>-1.0259394373000494</v>
      </c>
      <c r="H65" s="48">
        <f t="shared" si="24"/>
        <v>-1.0127205832145567</v>
      </c>
      <c r="I65" s="48">
        <f t="shared" si="24"/>
        <v>-1.1560968070060447</v>
      </c>
      <c r="J65" s="48">
        <f t="shared" si="24"/>
        <v>-1.2313523862185813</v>
      </c>
      <c r="K65" s="48">
        <f t="shared" si="24"/>
        <v>-1.2794634132720328</v>
      </c>
      <c r="L65" s="48">
        <f t="shared" si="24"/>
        <v>-1.2700982889632864</v>
      </c>
      <c r="M65" s="48">
        <f t="shared" si="24"/>
        <v>-1.2650840672637762</v>
      </c>
      <c r="N65" s="48">
        <f t="shared" si="24"/>
        <v>-1.2618624787367074</v>
      </c>
      <c r="O65" s="48">
        <f t="shared" si="24"/>
        <v>-1.2601157534490048</v>
      </c>
      <c r="P65" s="48">
        <f t="shared" si="24"/>
        <v>-1.2596053444083974</v>
      </c>
      <c r="Q65" s="48">
        <f t="shared" si="24"/>
        <v>-1.2666991186890877</v>
      </c>
      <c r="R65" s="48">
        <f>2*SIN(RADIANS(R15))*(_xlfn.COT(RADIANS(R14))-_xlfn.COT(RADIANS(R16)))/SIN(RADIANS(R66))</f>
        <v>-1.2290338365487441</v>
      </c>
    </row>
    <row r="66" spans="1:41" x14ac:dyDescent="0.25">
      <c r="B66" s="16" t="s">
        <v>214</v>
      </c>
      <c r="C66">
        <f>(C12+C13)/2</f>
        <v>74.604170673696558</v>
      </c>
      <c r="D66">
        <f>(D12+D13)/2</f>
        <v>67.568038913533712</v>
      </c>
      <c r="E66">
        <f t="shared" ref="E66:R66" si="25">(E12+E13)/2</f>
        <v>61.541055034446146</v>
      </c>
      <c r="F66">
        <f t="shared" si="25"/>
        <v>46.431677547222954</v>
      </c>
      <c r="G66">
        <f t="shared" si="25"/>
        <v>41.430826828084086</v>
      </c>
      <c r="H66">
        <f t="shared" si="25"/>
        <v>42.208198955481791</v>
      </c>
      <c r="I66">
        <f t="shared" si="25"/>
        <v>48.452617041436412</v>
      </c>
      <c r="J66">
        <f t="shared" si="25"/>
        <v>48.010850090016092</v>
      </c>
      <c r="K66">
        <f t="shared" si="25"/>
        <v>44.599648093887964</v>
      </c>
      <c r="L66">
        <f t="shared" si="25"/>
        <v>45.251310443432828</v>
      </c>
      <c r="M66">
        <f t="shared" si="25"/>
        <v>45.7692833398498</v>
      </c>
      <c r="N66">
        <f t="shared" si="25"/>
        <v>46.257262982892961</v>
      </c>
      <c r="O66">
        <f t="shared" si="25"/>
        <v>46.720928457598127</v>
      </c>
      <c r="P66">
        <f t="shared" si="25"/>
        <v>47.164771586030902</v>
      </c>
      <c r="Q66">
        <f t="shared" si="25"/>
        <v>47.592418164225677</v>
      </c>
      <c r="R66">
        <f t="shared" si="25"/>
        <v>47.290854792886016</v>
      </c>
    </row>
    <row r="67" spans="1:41" x14ac:dyDescent="0.25">
      <c r="B67" s="16" t="s">
        <v>227</v>
      </c>
      <c r="C67" s="25">
        <f>(C13+C15)/2</f>
        <v>77.316723978522504</v>
      </c>
      <c r="D67" s="25">
        <f t="shared" ref="D67:R67" si="26">(D13+D15)/2</f>
        <v>62.746164334039079</v>
      </c>
      <c r="E67" s="25">
        <f t="shared" si="26"/>
        <v>64.264463046763481</v>
      </c>
      <c r="F67" s="25">
        <f t="shared" si="26"/>
        <v>43.17917125132648</v>
      </c>
      <c r="G67" s="25">
        <f t="shared" si="26"/>
        <v>43.796077038229043</v>
      </c>
      <c r="H67" s="25">
        <f t="shared" si="26"/>
        <v>44.39234933307749</v>
      </c>
      <c r="I67" s="25">
        <f t="shared" si="26"/>
        <v>53.332855307061422</v>
      </c>
      <c r="J67" s="25">
        <f t="shared" si="26"/>
        <v>46.004201840996927</v>
      </c>
      <c r="K67" s="25">
        <f t="shared" si="26"/>
        <v>46.343772713007994</v>
      </c>
      <c r="L67" s="25">
        <f t="shared" si="26"/>
        <v>46.753661848357865</v>
      </c>
      <c r="M67" s="25">
        <f t="shared" si="26"/>
        <v>47.146737621226038</v>
      </c>
      <c r="N67" s="25">
        <f t="shared" si="26"/>
        <v>47.526423642981669</v>
      </c>
      <c r="O67" s="25">
        <f t="shared" si="26"/>
        <v>47.89556212640332</v>
      </c>
      <c r="P67" s="25">
        <f t="shared" si="26"/>
        <v>48.256400779132463</v>
      </c>
      <c r="Q67" s="25">
        <f t="shared" si="26"/>
        <v>48.61075395736222</v>
      </c>
      <c r="R67" s="25">
        <f t="shared" si="26"/>
        <v>48.592218646822275</v>
      </c>
    </row>
    <row r="68" spans="1:41" x14ac:dyDescent="0.2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71" spans="1:41" x14ac:dyDescent="0.25">
      <c r="X71" t="s">
        <v>205</v>
      </c>
    </row>
    <row r="72" spans="1:41" x14ac:dyDescent="0.25">
      <c r="Y72" s="21" t="s">
        <v>193</v>
      </c>
      <c r="Z72" s="22">
        <f t="shared" ref="Z72:AO72" si="27">C44</f>
        <v>0.15266539757251407</v>
      </c>
      <c r="AA72" s="22">
        <f t="shared" si="27"/>
        <v>0.15085738337777591</v>
      </c>
      <c r="AB72" s="22">
        <f t="shared" si="27"/>
        <v>0.14850277851973162</v>
      </c>
      <c r="AC72" s="22">
        <f t="shared" si="27"/>
        <v>0.17239124131669006</v>
      </c>
      <c r="AD72" s="22">
        <f t="shared" si="27"/>
        <v>0.16798017490781142</v>
      </c>
      <c r="AE72" s="22">
        <f t="shared" si="27"/>
        <v>0.1727351998210796</v>
      </c>
      <c r="AF72" s="22">
        <f t="shared" si="27"/>
        <v>0.17556353415536133</v>
      </c>
      <c r="AG72" s="22">
        <f t="shared" si="27"/>
        <v>0.18579315641883484</v>
      </c>
      <c r="AH72" s="22">
        <f t="shared" si="27"/>
        <v>0.1860077012032148</v>
      </c>
      <c r="AI72" s="22">
        <f t="shared" si="27"/>
        <v>0.19168564252931936</v>
      </c>
      <c r="AJ72" s="22">
        <f t="shared" si="27"/>
        <v>0.19581614637622727</v>
      </c>
      <c r="AK72" s="22">
        <f t="shared" si="27"/>
        <v>0.19919945297580963</v>
      </c>
      <c r="AL72" s="22">
        <f t="shared" si="27"/>
        <v>0.20194627766613471</v>
      </c>
      <c r="AM72" s="22">
        <f t="shared" si="27"/>
        <v>0.20414742660939239</v>
      </c>
      <c r="AN72" s="22">
        <f t="shared" si="27"/>
        <v>0.20587911025168362</v>
      </c>
      <c r="AO72" s="22">
        <f t="shared" si="27"/>
        <v>0.20770404205236612</v>
      </c>
    </row>
    <row r="73" spans="1:41" x14ac:dyDescent="0.25">
      <c r="Y73" s="21" t="s">
        <v>199</v>
      </c>
      <c r="Z73" s="22">
        <f t="shared" ref="Z73:AO73" si="28">(C44+C46)/2</f>
        <v>0.16323792525162756</v>
      </c>
      <c r="AA73" s="22">
        <f t="shared" si="28"/>
        <v>0.16207826932139216</v>
      </c>
      <c r="AB73" s="22">
        <f t="shared" si="28"/>
        <v>0.16322777410636002</v>
      </c>
      <c r="AC73" s="22">
        <f t="shared" si="28"/>
        <v>0.17549870303139814</v>
      </c>
      <c r="AD73" s="22">
        <f t="shared" si="28"/>
        <v>0.17521603260286928</v>
      </c>
      <c r="AE73" s="22">
        <f t="shared" si="28"/>
        <v>0.1790608451505627</v>
      </c>
      <c r="AF73" s="22">
        <f t="shared" si="28"/>
        <v>0.18224944861039272</v>
      </c>
      <c r="AG73" s="22">
        <f t="shared" si="28"/>
        <v>0.18941641041793114</v>
      </c>
      <c r="AH73" s="22">
        <f t="shared" si="28"/>
        <v>0.19191366590932984</v>
      </c>
      <c r="AI73" s="22">
        <f t="shared" si="28"/>
        <v>0.19655212054975515</v>
      </c>
      <c r="AJ73" s="22">
        <f t="shared" si="28"/>
        <v>0.2000902448435572</v>
      </c>
      <c r="AK73" s="22">
        <f t="shared" si="28"/>
        <v>0.20297345857441979</v>
      </c>
      <c r="AL73" s="22">
        <f t="shared" si="28"/>
        <v>0.20529503592156934</v>
      </c>
      <c r="AM73" s="22">
        <f t="shared" si="28"/>
        <v>0.20713268956794595</v>
      </c>
      <c r="AN73" s="22">
        <f t="shared" si="28"/>
        <v>0.20855183456128895</v>
      </c>
      <c r="AO73" s="22">
        <f t="shared" si="28"/>
        <v>0.20861581637505872</v>
      </c>
    </row>
    <row r="74" spans="1:41" x14ac:dyDescent="0.25">
      <c r="A74" s="13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13"/>
      <c r="Y74" s="21" t="s">
        <v>194</v>
      </c>
      <c r="Z74" s="22">
        <f t="shared" ref="Z74:AO74" si="29">C46</f>
        <v>0.17381045293074107</v>
      </c>
      <c r="AA74" s="22">
        <f t="shared" si="29"/>
        <v>0.17329915526500841</v>
      </c>
      <c r="AB74" s="22">
        <f t="shared" si="29"/>
        <v>0.17795276969298846</v>
      </c>
      <c r="AC74" s="22">
        <f t="shared" si="29"/>
        <v>0.17860616474610624</v>
      </c>
      <c r="AD74" s="22">
        <f t="shared" si="29"/>
        <v>0.18245189029792713</v>
      </c>
      <c r="AE74" s="22">
        <f t="shared" si="29"/>
        <v>0.18538649048004577</v>
      </c>
      <c r="AF74" s="22">
        <f t="shared" si="29"/>
        <v>0.18893536306542408</v>
      </c>
      <c r="AG74" s="22">
        <f t="shared" si="29"/>
        <v>0.19303966441702744</v>
      </c>
      <c r="AH74" s="22">
        <f t="shared" si="29"/>
        <v>0.19781963061544489</v>
      </c>
      <c r="AI74" s="22">
        <f t="shared" si="29"/>
        <v>0.20141859857019095</v>
      </c>
      <c r="AJ74" s="22">
        <f t="shared" si="29"/>
        <v>0.20436434331088715</v>
      </c>
      <c r="AK74" s="22">
        <f t="shared" si="29"/>
        <v>0.20674746417302992</v>
      </c>
      <c r="AL74" s="22">
        <f t="shared" si="29"/>
        <v>0.20864379417700396</v>
      </c>
      <c r="AM74" s="22">
        <f t="shared" si="29"/>
        <v>0.21011795252649954</v>
      </c>
      <c r="AN74" s="22">
        <f t="shared" si="29"/>
        <v>0.21122455887089428</v>
      </c>
      <c r="AO74" s="22">
        <f t="shared" si="29"/>
        <v>0.20952759069775134</v>
      </c>
    </row>
    <row r="75" spans="1:41" x14ac:dyDescent="0.25">
      <c r="A75" s="13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13"/>
      <c r="Y75" s="21" t="s">
        <v>200</v>
      </c>
      <c r="Z75">
        <f t="shared" ref="Z75:AO75" si="30">C8/2</f>
        <v>0.35914190289732428</v>
      </c>
      <c r="AA75">
        <f t="shared" si="30"/>
        <v>0.34422187824244671</v>
      </c>
      <c r="AB75">
        <f t="shared" si="30"/>
        <v>0.32792166647938426</v>
      </c>
      <c r="AC75">
        <f t="shared" si="30"/>
        <v>0.32406037559104428</v>
      </c>
      <c r="AD75">
        <f t="shared" si="30"/>
        <v>0.3168107538074002</v>
      </c>
      <c r="AE75">
        <f t="shared" si="30"/>
        <v>0.31003184636814607</v>
      </c>
      <c r="AF75">
        <f t="shared" si="30"/>
        <v>0.30307149850601095</v>
      </c>
      <c r="AG75">
        <f t="shared" si="30"/>
        <v>0.30077551224076682</v>
      </c>
      <c r="AH75">
        <f t="shared" si="30"/>
        <v>0.2957343175982195</v>
      </c>
      <c r="AI75">
        <f t="shared" si="30"/>
        <v>0.29114407452654639</v>
      </c>
      <c r="AJ75">
        <f t="shared" si="30"/>
        <v>0.28687640771582229</v>
      </c>
      <c r="AK75">
        <f t="shared" si="30"/>
        <v>0.28287784887617518</v>
      </c>
      <c r="AL75">
        <f t="shared" si="30"/>
        <v>0.27910560141286583</v>
      </c>
      <c r="AM75">
        <f t="shared" si="30"/>
        <v>0.27552493997378597</v>
      </c>
      <c r="AN75">
        <f t="shared" si="30"/>
        <v>0.27210754352727073</v>
      </c>
      <c r="AO75">
        <f t="shared" si="30"/>
        <v>0.26923630585602376</v>
      </c>
    </row>
    <row r="76" spans="1:4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Y76" s="21" t="s">
        <v>201</v>
      </c>
      <c r="Z76">
        <f t="shared" ref="Z76:AO76" si="31">C8/2</f>
        <v>0.35914190289732428</v>
      </c>
      <c r="AA76">
        <f t="shared" si="31"/>
        <v>0.34422187824244671</v>
      </c>
      <c r="AB76">
        <f t="shared" si="31"/>
        <v>0.32792166647938426</v>
      </c>
      <c r="AC76">
        <f t="shared" si="31"/>
        <v>0.32406037559104428</v>
      </c>
      <c r="AD76">
        <f t="shared" si="31"/>
        <v>0.3168107538074002</v>
      </c>
      <c r="AE76">
        <f t="shared" si="31"/>
        <v>0.31003184636814607</v>
      </c>
      <c r="AF76">
        <f t="shared" si="31"/>
        <v>0.30307149850601095</v>
      </c>
      <c r="AG76">
        <f t="shared" si="31"/>
        <v>0.30077551224076682</v>
      </c>
      <c r="AH76">
        <f t="shared" si="31"/>
        <v>0.2957343175982195</v>
      </c>
      <c r="AI76">
        <f t="shared" si="31"/>
        <v>0.29114407452654639</v>
      </c>
      <c r="AJ76">
        <f t="shared" si="31"/>
        <v>0.28687640771582229</v>
      </c>
      <c r="AK76">
        <f t="shared" si="31"/>
        <v>0.28287784887617518</v>
      </c>
      <c r="AL76">
        <f t="shared" si="31"/>
        <v>0.27910560141286583</v>
      </c>
      <c r="AM76">
        <f t="shared" si="31"/>
        <v>0.27552493997378597</v>
      </c>
      <c r="AN76">
        <f t="shared" si="31"/>
        <v>0.27210754352727073</v>
      </c>
      <c r="AO76">
        <f t="shared" si="31"/>
        <v>0.26923630585602376</v>
      </c>
    </row>
    <row r="77" spans="1:4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Y77" s="21" t="s">
        <v>202</v>
      </c>
      <c r="Z77">
        <f t="shared" ref="Z77:AO77" si="32">C8/2</f>
        <v>0.35914190289732428</v>
      </c>
      <c r="AA77">
        <f t="shared" si="32"/>
        <v>0.34422187824244671</v>
      </c>
      <c r="AB77">
        <f t="shared" si="32"/>
        <v>0.32792166647938426</v>
      </c>
      <c r="AC77">
        <f t="shared" si="32"/>
        <v>0.32406037559104428</v>
      </c>
      <c r="AD77">
        <f t="shared" si="32"/>
        <v>0.3168107538074002</v>
      </c>
      <c r="AE77">
        <f t="shared" si="32"/>
        <v>0.31003184636814607</v>
      </c>
      <c r="AF77">
        <f t="shared" si="32"/>
        <v>0.30307149850601095</v>
      </c>
      <c r="AG77">
        <f t="shared" si="32"/>
        <v>0.30077551224076682</v>
      </c>
      <c r="AH77">
        <f t="shared" si="32"/>
        <v>0.2957343175982195</v>
      </c>
      <c r="AI77">
        <f t="shared" si="32"/>
        <v>0.29114407452654639</v>
      </c>
      <c r="AJ77">
        <f t="shared" si="32"/>
        <v>0.28687640771582229</v>
      </c>
      <c r="AK77">
        <f t="shared" si="32"/>
        <v>0.28287784887617518</v>
      </c>
      <c r="AL77">
        <f t="shared" si="32"/>
        <v>0.27910560141286583</v>
      </c>
      <c r="AM77">
        <f t="shared" si="32"/>
        <v>0.27552493997378597</v>
      </c>
      <c r="AN77">
        <f t="shared" si="32"/>
        <v>0.27210754352727073</v>
      </c>
      <c r="AO77">
        <f t="shared" si="32"/>
        <v>0.26923630585602376</v>
      </c>
    </row>
    <row r="78" spans="1:4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Y78" s="21" t="s">
        <v>195</v>
      </c>
      <c r="Z78" s="22">
        <f t="shared" ref="Z78:AO78" si="33">C47</f>
        <v>0.56561840822213449</v>
      </c>
      <c r="AA78" s="22">
        <f t="shared" si="33"/>
        <v>0.53758637310711754</v>
      </c>
      <c r="AB78" s="22">
        <f t="shared" si="33"/>
        <v>0.50734055443903692</v>
      </c>
      <c r="AC78" s="22">
        <f t="shared" si="33"/>
        <v>0.47572950986539853</v>
      </c>
      <c r="AD78" s="22">
        <f t="shared" si="33"/>
        <v>0.46564133270698899</v>
      </c>
      <c r="AE78" s="22">
        <f t="shared" si="33"/>
        <v>0.44732849291521254</v>
      </c>
      <c r="AF78" s="22">
        <f t="shared" si="33"/>
        <v>0.4305794628566606</v>
      </c>
      <c r="AG78" s="22">
        <f t="shared" si="33"/>
        <v>0.41575786806269877</v>
      </c>
      <c r="AH78" s="22">
        <f t="shared" si="33"/>
        <v>0.40546093399322419</v>
      </c>
      <c r="AI78" s="22">
        <f t="shared" si="33"/>
        <v>0.39060250652377343</v>
      </c>
      <c r="AJ78" s="22">
        <f t="shared" si="33"/>
        <v>0.37793666905541734</v>
      </c>
      <c r="AK78" s="22">
        <f t="shared" si="33"/>
        <v>0.3665562447765407</v>
      </c>
      <c r="AL78" s="22">
        <f t="shared" si="33"/>
        <v>0.35626492515959696</v>
      </c>
      <c r="AM78" s="22">
        <f t="shared" si="33"/>
        <v>0.34690245333817954</v>
      </c>
      <c r="AN78" s="22">
        <f t="shared" si="33"/>
        <v>0.33833597680285787</v>
      </c>
      <c r="AO78" s="22">
        <f t="shared" si="33"/>
        <v>0.33076856965968143</v>
      </c>
    </row>
    <row r="79" spans="1:4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Y79" s="21" t="s">
        <v>203</v>
      </c>
      <c r="Z79" s="22">
        <f t="shared" ref="Z79:AO79" si="34">(C47+C49)/2</f>
        <v>0.55504588054302095</v>
      </c>
      <c r="AA79" s="22">
        <f t="shared" si="34"/>
        <v>0.52636548716350129</v>
      </c>
      <c r="AB79" s="22">
        <f t="shared" si="34"/>
        <v>0.49261555885240849</v>
      </c>
      <c r="AC79" s="22">
        <f t="shared" si="34"/>
        <v>0.47262204815069042</v>
      </c>
      <c r="AD79" s="22">
        <f t="shared" si="34"/>
        <v>0.45840547501193113</v>
      </c>
      <c r="AE79" s="22">
        <f t="shared" si="34"/>
        <v>0.4410028475857295</v>
      </c>
      <c r="AF79" s="22">
        <f t="shared" si="34"/>
        <v>0.42389354840162918</v>
      </c>
      <c r="AG79" s="22">
        <f t="shared" si="34"/>
        <v>0.41213461406360247</v>
      </c>
      <c r="AH79" s="22">
        <f t="shared" si="34"/>
        <v>0.39955496928710915</v>
      </c>
      <c r="AI79" s="22">
        <f t="shared" si="34"/>
        <v>0.38573602850333766</v>
      </c>
      <c r="AJ79" s="22">
        <f t="shared" si="34"/>
        <v>0.37366257058808738</v>
      </c>
      <c r="AK79" s="22">
        <f t="shared" si="34"/>
        <v>0.36278223917793057</v>
      </c>
      <c r="AL79" s="22">
        <f t="shared" si="34"/>
        <v>0.35291616690416233</v>
      </c>
      <c r="AM79" s="22">
        <f t="shared" si="34"/>
        <v>0.34391719037962598</v>
      </c>
      <c r="AN79" s="22">
        <f t="shared" si="34"/>
        <v>0.33566325249325252</v>
      </c>
      <c r="AO79" s="22">
        <f t="shared" si="34"/>
        <v>0.32985679533698881</v>
      </c>
    </row>
    <row r="80" spans="1:4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Y80" s="21" t="s">
        <v>196</v>
      </c>
      <c r="Z80" s="22">
        <f t="shared" ref="Z80:AO80" si="35">C49</f>
        <v>0.54447335286390752</v>
      </c>
      <c r="AA80" s="22">
        <f t="shared" si="35"/>
        <v>0.51514460121988503</v>
      </c>
      <c r="AB80" s="22">
        <f t="shared" si="35"/>
        <v>0.47789056326578006</v>
      </c>
      <c r="AC80" s="22">
        <f t="shared" si="35"/>
        <v>0.46951458643598232</v>
      </c>
      <c r="AD80" s="22">
        <f t="shared" si="35"/>
        <v>0.45116961731687327</v>
      </c>
      <c r="AE80" s="22">
        <f t="shared" si="35"/>
        <v>0.4346772022562464</v>
      </c>
      <c r="AF80" s="22">
        <f t="shared" si="35"/>
        <v>0.41720763394659782</v>
      </c>
      <c r="AG80" s="22">
        <f t="shared" si="35"/>
        <v>0.40851136006450617</v>
      </c>
      <c r="AH80" s="22">
        <f t="shared" si="35"/>
        <v>0.39364900458099411</v>
      </c>
      <c r="AI80" s="22">
        <f t="shared" si="35"/>
        <v>0.38086955048290183</v>
      </c>
      <c r="AJ80" s="22">
        <f t="shared" si="35"/>
        <v>0.36938847212075743</v>
      </c>
      <c r="AK80" s="22">
        <f t="shared" si="35"/>
        <v>0.35900823357932043</v>
      </c>
      <c r="AL80" s="22">
        <f t="shared" si="35"/>
        <v>0.34956740864872771</v>
      </c>
      <c r="AM80" s="22">
        <f t="shared" si="35"/>
        <v>0.34093192742107237</v>
      </c>
      <c r="AN80" s="22">
        <f t="shared" si="35"/>
        <v>0.33299052818364716</v>
      </c>
      <c r="AO80" s="22">
        <f t="shared" si="35"/>
        <v>0.32894502101429618</v>
      </c>
    </row>
    <row r="81" spans="1:4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Y81" s="16" t="s">
        <v>204</v>
      </c>
      <c r="Z81">
        <f t="shared" ref="Z81:AO81" si="36">1-(1-C25)*Z77^2/Z72^2</f>
        <v>0.39604188813975549</v>
      </c>
      <c r="AA81">
        <f t="shared" si="36"/>
        <v>-0.30161878418441979</v>
      </c>
      <c r="AB81">
        <f t="shared" si="36"/>
        <v>-0.21902068344751546</v>
      </c>
      <c r="AC81">
        <f t="shared" si="36"/>
        <v>-0.76681660689424369</v>
      </c>
      <c r="AD81">
        <f t="shared" si="36"/>
        <v>-0.77849961599089301</v>
      </c>
      <c r="AE81">
        <f t="shared" si="36"/>
        <v>-0.61072323799857253</v>
      </c>
      <c r="AF81">
        <f t="shared" si="36"/>
        <v>-0.13241381696935495</v>
      </c>
      <c r="AG81">
        <f t="shared" si="36"/>
        <v>-0.31037478814819086</v>
      </c>
      <c r="AH81">
        <f t="shared" si="36"/>
        <v>-0.26389676136212725</v>
      </c>
      <c r="AI81">
        <f t="shared" si="36"/>
        <v>-0.15347117391019438</v>
      </c>
      <c r="AJ81">
        <f t="shared" si="36"/>
        <v>-7.3155543600008199E-2</v>
      </c>
      <c r="AK81">
        <f t="shared" si="36"/>
        <v>-8.3042621370654768E-3</v>
      </c>
      <c r="AL81">
        <f t="shared" si="36"/>
        <v>4.4929558540800385E-2</v>
      </c>
      <c r="AM81">
        <f t="shared" si="36"/>
        <v>8.9239854756526849E-2</v>
      </c>
      <c r="AN81">
        <f t="shared" si="36"/>
        <v>0.1265730213702817</v>
      </c>
      <c r="AO81">
        <f t="shared" si="36"/>
        <v>0.15986833480306151</v>
      </c>
    </row>
    <row r="82" spans="1:4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4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4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4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4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4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41" x14ac:dyDescent="0.25">
      <c r="A88" s="13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13"/>
    </row>
    <row r="89" spans="1:41" x14ac:dyDescent="0.25">
      <c r="A89" s="13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13"/>
    </row>
    <row r="90" spans="1:41" x14ac:dyDescent="0.25">
      <c r="A90" s="13"/>
      <c r="B90" s="41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41" x14ac:dyDescent="0.25">
      <c r="A91" s="13"/>
      <c r="B91" s="41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4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4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41" x14ac:dyDescent="0.25">
      <c r="A94" s="13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13"/>
    </row>
    <row r="95" spans="1:41" x14ac:dyDescent="0.25">
      <c r="A95" s="13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13"/>
    </row>
    <row r="96" spans="1:4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x14ac:dyDescent="0.25">
      <c r="A98" s="13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13"/>
    </row>
    <row r="99" spans="1:19" x14ac:dyDescent="0.25">
      <c r="A99" s="13"/>
      <c r="B99" s="40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40"/>
      <c r="S99" s="13"/>
    </row>
    <row r="100" spans="1:19" x14ac:dyDescent="0.25">
      <c r="A100" s="13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13"/>
    </row>
    <row r="101" spans="1:19" x14ac:dyDescent="0.25">
      <c r="A101" s="13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13"/>
    </row>
    <row r="102" spans="1:19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x14ac:dyDescent="0.25">
      <c r="A112" s="13"/>
      <c r="B112" s="13"/>
      <c r="C112" s="13"/>
      <c r="D112" s="13"/>
      <c r="E112" s="40"/>
      <c r="F112" s="13"/>
      <c r="G112" s="13"/>
      <c r="H112" s="13"/>
      <c r="I112" s="40"/>
      <c r="J112" s="13"/>
      <c r="K112" s="13"/>
      <c r="L112" s="13"/>
      <c r="M112" s="13"/>
      <c r="N112" s="13"/>
      <c r="O112" s="13"/>
      <c r="P112" s="13"/>
      <c r="Q112" s="13"/>
      <c r="R112" s="40"/>
      <c r="S112" s="40"/>
    </row>
    <row r="113" spans="1:19" x14ac:dyDescent="0.25">
      <c r="A113" s="13"/>
      <c r="B113" s="13"/>
      <c r="C113" s="13"/>
      <c r="D113" s="13"/>
      <c r="E113" s="40"/>
      <c r="F113" s="13"/>
      <c r="G113" s="13"/>
      <c r="H113" s="13"/>
      <c r="I113" s="40"/>
      <c r="J113" s="13"/>
      <c r="K113" s="13"/>
      <c r="L113" s="13"/>
      <c r="M113" s="13"/>
      <c r="N113" s="13"/>
      <c r="O113" s="13"/>
      <c r="P113" s="13"/>
      <c r="Q113" s="13"/>
      <c r="R113" s="40"/>
      <c r="S113" s="40"/>
    </row>
    <row r="114" spans="1:19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x14ac:dyDescent="0.25">
      <c r="A115" s="13"/>
      <c r="B115" s="43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13"/>
    </row>
    <row r="116" spans="1:19" x14ac:dyDescent="0.25">
      <c r="A116" s="1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13"/>
    </row>
    <row r="117" spans="1:19" x14ac:dyDescent="0.25">
      <c r="A117" s="13"/>
      <c r="B117" s="13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13"/>
    </row>
    <row r="118" spans="1:19" x14ac:dyDescent="0.25">
      <c r="A118" s="13"/>
      <c r="B118" s="13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13"/>
    </row>
    <row r="119" spans="1:19" x14ac:dyDescent="0.25">
      <c r="A119" s="13"/>
      <c r="B119" s="13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13"/>
    </row>
    <row r="120" spans="1:19" x14ac:dyDescent="0.25">
      <c r="A120" s="13"/>
      <c r="B120" s="13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13"/>
    </row>
    <row r="121" spans="1:19" x14ac:dyDescent="0.25">
      <c r="A121" s="13"/>
      <c r="B121" s="13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13"/>
    </row>
    <row r="122" spans="1:19" x14ac:dyDescent="0.25">
      <c r="A122" s="13"/>
      <c r="B122" s="13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13"/>
    </row>
    <row r="123" spans="1:19" x14ac:dyDescent="0.25">
      <c r="A123" s="13"/>
      <c r="B123" s="13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13"/>
    </row>
    <row r="124" spans="1:19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x14ac:dyDescent="0.25">
      <c r="A127" s="13"/>
      <c r="B127" s="13"/>
      <c r="C127" s="4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x14ac:dyDescent="0.25">
      <c r="A128" s="13"/>
      <c r="B128" s="13"/>
      <c r="C128" s="4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x14ac:dyDescent="0.25">
      <c r="A129" s="13"/>
      <c r="B129" s="13"/>
      <c r="C129" s="4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x14ac:dyDescent="0.25">
      <c r="A130" s="13"/>
      <c r="B130" s="13"/>
      <c r="C130" s="4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 LP</vt:lpstr>
      <vt:lpstr>Comp IP</vt:lpstr>
      <vt:lpstr>Comp HP</vt:lpstr>
      <vt:lpstr>Comp_combine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Le Tran</dc:creator>
  <cp:lastModifiedBy>Windows User</cp:lastModifiedBy>
  <dcterms:created xsi:type="dcterms:W3CDTF">2016-03-20T03:18:50Z</dcterms:created>
  <dcterms:modified xsi:type="dcterms:W3CDTF">2016-05-10T02:38:15Z</dcterms:modified>
</cp:coreProperties>
</file>