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Velocity,angles and geometry" sheetId="1" r:id="rId1"/>
    <sheet name="thermodynamics properties" sheetId="2" r:id="rId2"/>
    <sheet name="Sheet3" sheetId="3" r:id="rId3"/>
    <sheet name="turbine blade twist angles" sheetId="4" r:id="rId4"/>
    <sheet name="stress analysis" sheetId="5" r:id="rId5"/>
  </sheets>
  <calcPr calcId="152511"/>
</workbook>
</file>

<file path=xl/calcChain.xml><?xml version="1.0" encoding="utf-8"?>
<calcChain xmlns="http://schemas.openxmlformats.org/spreadsheetml/2006/main">
  <c r="F8" i="5" l="1"/>
  <c r="C30" i="1" l="1"/>
  <c r="N30" i="1"/>
  <c r="K30" i="1"/>
  <c r="H30" i="1"/>
  <c r="E30" i="1"/>
  <c r="B30" i="1"/>
  <c r="B31" i="1"/>
  <c r="Q12" i="5" l="1"/>
  <c r="Q15" i="5" s="1"/>
  <c r="Q16" i="5" s="1"/>
  <c r="P12" i="5"/>
  <c r="P15" i="5" s="1"/>
  <c r="P16" i="5" s="1"/>
  <c r="O12" i="5"/>
  <c r="O15" i="5" s="1"/>
  <c r="O16" i="5" s="1"/>
  <c r="N12" i="5"/>
  <c r="N15" i="5" s="1"/>
  <c r="N16" i="5" s="1"/>
  <c r="M12" i="5"/>
  <c r="M15" i="5" s="1"/>
  <c r="M16" i="5" s="1"/>
  <c r="L12" i="5"/>
  <c r="L15" i="5" s="1"/>
  <c r="L16" i="5" s="1"/>
  <c r="K12" i="5"/>
  <c r="K15" i="5" s="1"/>
  <c r="K16" i="5" s="1"/>
  <c r="J12" i="5"/>
  <c r="J15" i="5" s="1"/>
  <c r="J16" i="5" s="1"/>
  <c r="I12" i="5"/>
  <c r="I15" i="5" s="1"/>
  <c r="I16" i="5" s="1"/>
  <c r="H12" i="5"/>
  <c r="H15" i="5" s="1"/>
  <c r="H16" i="5" s="1"/>
  <c r="G12" i="5"/>
  <c r="G15" i="5" s="1"/>
  <c r="G16" i="5" s="1"/>
  <c r="F12" i="5"/>
  <c r="F15" i="5" s="1"/>
  <c r="F16" i="5" s="1"/>
  <c r="E12" i="5"/>
  <c r="E15" i="5" s="1"/>
  <c r="E16" i="5" s="1"/>
  <c r="D12" i="5"/>
  <c r="D15" i="5" s="1"/>
  <c r="D16" i="5" s="1"/>
  <c r="C12" i="5"/>
  <c r="C15" i="5" s="1"/>
  <c r="C16" i="5" s="1"/>
  <c r="B12" i="5"/>
  <c r="B15" i="5" s="1"/>
  <c r="B16" i="5" s="1"/>
  <c r="F6" i="5"/>
  <c r="E6" i="5"/>
  <c r="E7" i="5" s="1"/>
  <c r="E8" i="5" s="1"/>
  <c r="D6" i="5"/>
  <c r="D7" i="5" s="1"/>
  <c r="D8" i="5" s="1"/>
  <c r="C6" i="5"/>
  <c r="B6" i="5"/>
  <c r="C4" i="5"/>
  <c r="D4" i="5"/>
  <c r="E4" i="5"/>
  <c r="F4" i="5"/>
  <c r="B4" i="5"/>
  <c r="B7" i="5" l="1"/>
  <c r="B8" i="5" s="1"/>
  <c r="C7" i="5"/>
  <c r="C8" i="5" s="1"/>
  <c r="F7" i="5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F24" i="4"/>
  <c r="G24" i="4"/>
  <c r="H24" i="4"/>
  <c r="I24" i="4"/>
  <c r="J24" i="4"/>
  <c r="K24" i="4"/>
  <c r="L24" i="4"/>
  <c r="M24" i="4"/>
  <c r="N24" i="4"/>
  <c r="O24" i="4"/>
  <c r="P24" i="4"/>
  <c r="C24" i="4"/>
  <c r="D24" i="4"/>
  <c r="E24" i="4"/>
  <c r="B24" i="4"/>
  <c r="P23" i="4"/>
  <c r="B23" i="4"/>
  <c r="P21" i="4"/>
  <c r="B21" i="4"/>
  <c r="I19" i="4"/>
  <c r="I22" i="4" s="1"/>
  <c r="I21" i="4" s="1"/>
  <c r="I7" i="4" s="1"/>
  <c r="C17" i="4"/>
  <c r="C19" i="4" s="1"/>
  <c r="C22" i="4" s="1"/>
  <c r="D17" i="4"/>
  <c r="D19" i="4" s="1"/>
  <c r="D22" i="4" s="1"/>
  <c r="D23" i="4" s="1"/>
  <c r="E17" i="4"/>
  <c r="E19" i="4" s="1"/>
  <c r="E22" i="4" s="1"/>
  <c r="F17" i="4"/>
  <c r="F19" i="4" s="1"/>
  <c r="F22" i="4" s="1"/>
  <c r="G17" i="4"/>
  <c r="G19" i="4" s="1"/>
  <c r="G22" i="4" s="1"/>
  <c r="H17" i="4"/>
  <c r="H19" i="4" s="1"/>
  <c r="H22" i="4" s="1"/>
  <c r="I17" i="4"/>
  <c r="J17" i="4"/>
  <c r="J19" i="4" s="1"/>
  <c r="J22" i="4" s="1"/>
  <c r="K17" i="4"/>
  <c r="K19" i="4" s="1"/>
  <c r="K22" i="4" s="1"/>
  <c r="L17" i="4"/>
  <c r="L19" i="4" s="1"/>
  <c r="L22" i="4" s="1"/>
  <c r="L23" i="4" s="1"/>
  <c r="M17" i="4"/>
  <c r="M19" i="4" s="1"/>
  <c r="N17" i="4"/>
  <c r="N19" i="4" s="1"/>
  <c r="N22" i="4" s="1"/>
  <c r="O17" i="4"/>
  <c r="O19" i="4" s="1"/>
  <c r="O22" i="4" s="1"/>
  <c r="P17" i="4"/>
  <c r="P19" i="4" s="1"/>
  <c r="B17" i="4"/>
  <c r="B19" i="4" s="1"/>
  <c r="D9" i="4" l="1"/>
  <c r="P7" i="4"/>
  <c r="M22" i="4"/>
  <c r="M23" i="4" s="1"/>
  <c r="M9" i="4" s="1"/>
  <c r="P9" i="4"/>
  <c r="D5" i="4"/>
  <c r="L5" i="4"/>
  <c r="L9" i="4"/>
  <c r="I3" i="4"/>
  <c r="E23" i="4"/>
  <c r="E5" i="4" s="1"/>
  <c r="E21" i="4"/>
  <c r="E3" i="4" s="1"/>
  <c r="M21" i="4"/>
  <c r="J21" i="4"/>
  <c r="J23" i="4"/>
  <c r="K21" i="4"/>
  <c r="K3" i="4" s="1"/>
  <c r="K23" i="4"/>
  <c r="K5" i="4" s="1"/>
  <c r="C21" i="4"/>
  <c r="C23" i="4"/>
  <c r="G21" i="4"/>
  <c r="G23" i="4"/>
  <c r="F21" i="4"/>
  <c r="F23" i="4"/>
  <c r="O21" i="4"/>
  <c r="O23" i="4"/>
  <c r="H21" i="4"/>
  <c r="H3" i="4" s="1"/>
  <c r="H23" i="4"/>
  <c r="H5" i="4" s="1"/>
  <c r="N21" i="4"/>
  <c r="N3" i="4" s="1"/>
  <c r="N23" i="4"/>
  <c r="N5" i="4" s="1"/>
  <c r="L21" i="4"/>
  <c r="D21" i="4"/>
  <c r="I23" i="4"/>
  <c r="O25" i="2"/>
  <c r="O26" i="2" s="1"/>
  <c r="N25" i="2"/>
  <c r="N26" i="2" s="1"/>
  <c r="L25" i="2"/>
  <c r="L26" i="2" s="1"/>
  <c r="K25" i="2"/>
  <c r="K26" i="2" s="1"/>
  <c r="I25" i="2"/>
  <c r="I26" i="2" s="1"/>
  <c r="H25" i="2"/>
  <c r="H26" i="2" s="1"/>
  <c r="F25" i="2"/>
  <c r="F26" i="2" s="1"/>
  <c r="E25" i="2"/>
  <c r="E26" i="2" s="1"/>
  <c r="C25" i="2"/>
  <c r="C26" i="2" s="1"/>
  <c r="B25" i="2"/>
  <c r="B26" i="2" s="1"/>
  <c r="M5" i="4" l="1"/>
  <c r="L3" i="4"/>
  <c r="L7" i="4"/>
  <c r="F7" i="4"/>
  <c r="F3" i="4"/>
  <c r="J7" i="4"/>
  <c r="J3" i="4"/>
  <c r="G5" i="4"/>
  <c r="G9" i="4"/>
  <c r="M3" i="4"/>
  <c r="M7" i="4"/>
  <c r="G7" i="4"/>
  <c r="G3" i="4"/>
  <c r="C5" i="4"/>
  <c r="C9" i="4"/>
  <c r="C3" i="4"/>
  <c r="C7" i="4"/>
  <c r="O5" i="4"/>
  <c r="O9" i="4"/>
  <c r="I5" i="4"/>
  <c r="I9" i="4"/>
  <c r="O3" i="4"/>
  <c r="O7" i="4"/>
  <c r="D3" i="4"/>
  <c r="D7" i="4"/>
  <c r="F9" i="4"/>
  <c r="F5" i="4"/>
  <c r="J9" i="4"/>
  <c r="J5" i="4"/>
  <c r="N24" i="1"/>
  <c r="O24" i="1"/>
  <c r="K24" i="1"/>
  <c r="L24" i="1"/>
  <c r="H24" i="1"/>
  <c r="I24" i="1"/>
  <c r="E24" i="1"/>
  <c r="F24" i="1"/>
  <c r="B24" i="1"/>
  <c r="C24" i="1"/>
  <c r="O23" i="1"/>
  <c r="N23" i="1"/>
  <c r="L23" i="1"/>
  <c r="K23" i="1"/>
  <c r="I23" i="1"/>
  <c r="H23" i="1"/>
  <c r="F23" i="1"/>
  <c r="E23" i="1"/>
  <c r="C23" i="1"/>
  <c r="B23" i="1"/>
  <c r="O25" i="1"/>
  <c r="O26" i="1" s="1"/>
  <c r="N25" i="1"/>
  <c r="N26" i="1" s="1"/>
  <c r="L25" i="1"/>
  <c r="L26" i="1" s="1"/>
  <c r="K25" i="1"/>
  <c r="K26" i="1" s="1"/>
  <c r="I25" i="1"/>
  <c r="I26" i="1" s="1"/>
  <c r="H25" i="1"/>
  <c r="H26" i="1" s="1"/>
  <c r="F25" i="1"/>
  <c r="F26" i="1" s="1"/>
  <c r="E25" i="1"/>
  <c r="E26" i="1" s="1"/>
  <c r="C25" i="1"/>
  <c r="C26" i="1" s="1"/>
  <c r="B25" i="1"/>
  <c r="B26" i="1" s="1"/>
  <c r="B19" i="2" l="1"/>
  <c r="R5" i="2"/>
  <c r="B18" i="2" s="1"/>
  <c r="B20" i="2" s="1"/>
  <c r="B41" i="1" l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B40" i="1"/>
  <c r="O42" i="1" l="1"/>
  <c r="N42" i="1"/>
  <c r="L42" i="1"/>
  <c r="K42" i="1"/>
  <c r="I42" i="1"/>
  <c r="H42" i="1"/>
  <c r="F42" i="1"/>
  <c r="E42" i="1"/>
  <c r="C42" i="1"/>
  <c r="B42" i="1"/>
  <c r="I27" i="1"/>
  <c r="O30" i="1"/>
  <c r="O31" i="1" s="1"/>
  <c r="O34" i="1" s="1"/>
  <c r="N31" i="1"/>
  <c r="N34" i="1" s="1"/>
  <c r="L30" i="1"/>
  <c r="L31" i="1" s="1"/>
  <c r="L34" i="1" s="1"/>
  <c r="K31" i="1"/>
  <c r="K34" i="1" s="1"/>
  <c r="I30" i="1"/>
  <c r="I31" i="1" s="1"/>
  <c r="I34" i="1" s="1"/>
  <c r="H31" i="1"/>
  <c r="H34" i="1" s="1"/>
  <c r="F30" i="1"/>
  <c r="F31" i="1" s="1"/>
  <c r="F34" i="1" s="1"/>
  <c r="E31" i="1"/>
  <c r="C31" i="1"/>
  <c r="C34" i="1" s="1"/>
  <c r="B34" i="1"/>
  <c r="B13" i="2"/>
  <c r="E13" i="2"/>
  <c r="H13" i="2"/>
  <c r="K13" i="2"/>
  <c r="N13" i="2"/>
  <c r="H44" i="1" l="1"/>
  <c r="H45" i="1" s="1"/>
  <c r="H60" i="1"/>
  <c r="B44" i="1"/>
  <c r="B45" i="1" s="1"/>
  <c r="B60" i="1"/>
  <c r="C44" i="1"/>
  <c r="C45" i="1" s="1"/>
  <c r="C60" i="1"/>
  <c r="L27" i="1"/>
  <c r="L28" i="1" s="1"/>
  <c r="L60" i="1"/>
  <c r="F27" i="1"/>
  <c r="F28" i="1" s="1"/>
  <c r="F60" i="1"/>
  <c r="E44" i="1"/>
  <c r="E45" i="1" s="1"/>
  <c r="E60" i="1"/>
  <c r="O44" i="1"/>
  <c r="O45" i="1" s="1"/>
  <c r="O60" i="1"/>
  <c r="N44" i="1"/>
  <c r="N45" i="1" s="1"/>
  <c r="N60" i="1"/>
  <c r="K27" i="1"/>
  <c r="K60" i="1"/>
  <c r="I44" i="1"/>
  <c r="I45" i="1" s="1"/>
  <c r="I60" i="1"/>
  <c r="I61" i="1" s="1"/>
  <c r="F44" i="1"/>
  <c r="F45" i="1" s="1"/>
  <c r="L44" i="1"/>
  <c r="L45" i="1" s="1"/>
  <c r="E34" i="1"/>
  <c r="K44" i="1"/>
  <c r="K45" i="1" s="1"/>
  <c r="B27" i="1"/>
  <c r="B28" i="1" s="1"/>
  <c r="N27" i="1"/>
  <c r="C27" i="1"/>
  <c r="C28" i="1" s="1"/>
  <c r="O27" i="1"/>
  <c r="E27" i="1"/>
  <c r="E28" i="1" s="1"/>
  <c r="H27" i="1"/>
  <c r="H28" i="1" s="1"/>
  <c r="E32" i="1"/>
  <c r="F32" i="1"/>
  <c r="N32" i="1"/>
  <c r="O32" i="1"/>
  <c r="H32" i="1"/>
  <c r="I32" i="1"/>
  <c r="B32" i="1"/>
  <c r="C32" i="1"/>
  <c r="K32" i="1"/>
  <c r="L32" i="1"/>
  <c r="F16" i="2"/>
  <c r="P8" i="2"/>
  <c r="P9" i="2" s="1"/>
  <c r="M8" i="2"/>
  <c r="M9" i="2" s="1"/>
  <c r="J8" i="2"/>
  <c r="J9" i="2" s="1"/>
  <c r="G8" i="2"/>
  <c r="G9" i="2" s="1"/>
  <c r="D8" i="2"/>
  <c r="D9" i="2" s="1"/>
  <c r="N18" i="1"/>
  <c r="O18" i="1" s="1"/>
  <c r="P18" i="1" s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7" i="1"/>
  <c r="B17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3" i="1"/>
  <c r="N12" i="1"/>
  <c r="P12" i="1" s="1"/>
  <c r="K12" i="1"/>
  <c r="M12" i="1" s="1"/>
  <c r="H12" i="1"/>
  <c r="I12" i="1" s="1"/>
  <c r="E12" i="1"/>
  <c r="F12" i="1" s="1"/>
  <c r="B12" i="1"/>
  <c r="C12" i="1" s="1"/>
  <c r="O61" i="1" l="1"/>
  <c r="C61" i="1"/>
  <c r="B61" i="1"/>
  <c r="K46" i="1"/>
  <c r="K63" i="1"/>
  <c r="K62" i="1" s="1"/>
  <c r="F46" i="1"/>
  <c r="F63" i="1"/>
  <c r="F62" i="1" s="1"/>
  <c r="L46" i="1"/>
  <c r="L63" i="1"/>
  <c r="L62" i="1" s="1"/>
  <c r="O46" i="1"/>
  <c r="O63" i="1"/>
  <c r="O62" i="1" s="1"/>
  <c r="B46" i="1"/>
  <c r="B63" i="1"/>
  <c r="B62" i="1" s="1"/>
  <c r="N46" i="1"/>
  <c r="N63" i="1"/>
  <c r="N62" i="1" s="1"/>
  <c r="C46" i="1"/>
  <c r="C63" i="1"/>
  <c r="C62" i="1" s="1"/>
  <c r="I46" i="1"/>
  <c r="I63" i="1"/>
  <c r="I62" i="1" s="1"/>
  <c r="I65" i="1" s="1"/>
  <c r="E46" i="1"/>
  <c r="E63" i="1"/>
  <c r="E62" i="1" s="1"/>
  <c r="H46" i="1"/>
  <c r="H63" i="1"/>
  <c r="H62" i="1" s="1"/>
  <c r="F61" i="1"/>
  <c r="N61" i="1"/>
  <c r="K61" i="1"/>
  <c r="G10" i="2"/>
  <c r="G35" i="1"/>
  <c r="E36" i="1" s="1"/>
  <c r="J10" i="2"/>
  <c r="J35" i="1"/>
  <c r="D10" i="2"/>
  <c r="D35" i="1"/>
  <c r="B36" i="1" s="1"/>
  <c r="M10" i="2"/>
  <c r="M35" i="1"/>
  <c r="K36" i="1" s="1"/>
  <c r="P10" i="2"/>
  <c r="P35" i="1"/>
  <c r="L61" i="1"/>
  <c r="E61" i="1"/>
  <c r="H61" i="1"/>
  <c r="C17" i="1"/>
  <c r="C14" i="1" s="1"/>
  <c r="B56" i="1"/>
  <c r="O17" i="1"/>
  <c r="O56" i="1" s="1"/>
  <c r="N56" i="1"/>
  <c r="P17" i="1"/>
  <c r="P14" i="1" s="1"/>
  <c r="D12" i="1"/>
  <c r="J12" i="1"/>
  <c r="L12" i="1"/>
  <c r="N14" i="1"/>
  <c r="N15" i="1"/>
  <c r="G12" i="1"/>
  <c r="B14" i="1"/>
  <c r="O12" i="1"/>
  <c r="B15" i="1"/>
  <c r="C64" i="1" l="1"/>
  <c r="B64" i="1"/>
  <c r="O64" i="1"/>
  <c r="O65" i="1"/>
  <c r="F65" i="1"/>
  <c r="F64" i="1"/>
  <c r="B65" i="1"/>
  <c r="I64" i="1"/>
  <c r="I66" i="1" s="1"/>
  <c r="C65" i="1"/>
  <c r="N65" i="1"/>
  <c r="N64" i="1"/>
  <c r="E65" i="1"/>
  <c r="E64" i="1"/>
  <c r="K64" i="1"/>
  <c r="K65" i="1"/>
  <c r="H65" i="1"/>
  <c r="H64" i="1"/>
  <c r="L65" i="1"/>
  <c r="L64" i="1"/>
  <c r="H47" i="1"/>
  <c r="E47" i="1"/>
  <c r="H36" i="1"/>
  <c r="D11" i="2"/>
  <c r="B47" i="1"/>
  <c r="K47" i="1"/>
  <c r="N50" i="1"/>
  <c r="N36" i="1"/>
  <c r="N47" i="1"/>
  <c r="N57" i="1"/>
  <c r="C15" i="1"/>
  <c r="O14" i="1"/>
  <c r="D17" i="1"/>
  <c r="E17" i="1" s="1"/>
  <c r="C56" i="1"/>
  <c r="B57" i="1" s="1"/>
  <c r="P15" i="1"/>
  <c r="O15" i="1"/>
  <c r="C66" i="1" l="1"/>
  <c r="B66" i="1"/>
  <c r="F66" i="1"/>
  <c r="O66" i="1"/>
  <c r="H66" i="1"/>
  <c r="H67" i="1" s="1"/>
  <c r="L66" i="1"/>
  <c r="E66" i="1"/>
  <c r="K66" i="1"/>
  <c r="N66" i="1"/>
  <c r="D15" i="1"/>
  <c r="E56" i="1"/>
  <c r="E14" i="1"/>
  <c r="F17" i="1"/>
  <c r="E15" i="1"/>
  <c r="D14" i="1"/>
  <c r="B67" i="1" l="1"/>
  <c r="B69" i="1" s="1"/>
  <c r="E67" i="1"/>
  <c r="N67" i="1"/>
  <c r="N69" i="1" s="1"/>
  <c r="N70" i="1" s="1"/>
  <c r="K67" i="1"/>
  <c r="F15" i="1"/>
  <c r="F56" i="1"/>
  <c r="E57" i="1" s="1"/>
  <c r="G17" i="1"/>
  <c r="F14" i="1"/>
  <c r="E69" i="1" l="1"/>
  <c r="E71" i="1" s="1"/>
  <c r="C73" i="1" s="1"/>
  <c r="N71" i="1"/>
  <c r="F73" i="1" s="1"/>
  <c r="H17" i="1"/>
  <c r="G14" i="1"/>
  <c r="G15" i="1"/>
  <c r="E70" i="1" l="1"/>
  <c r="H15" i="1"/>
  <c r="H56" i="1"/>
  <c r="I17" i="1"/>
  <c r="H14" i="1"/>
  <c r="I15" i="1" l="1"/>
  <c r="I56" i="1"/>
  <c r="H57" i="1" s="1"/>
  <c r="H69" i="1" s="1"/>
  <c r="I14" i="1"/>
  <c r="J17" i="1"/>
  <c r="H71" i="1" l="1"/>
  <c r="D73" i="1" s="1"/>
  <c r="H70" i="1"/>
  <c r="J15" i="1"/>
  <c r="J14" i="1"/>
  <c r="K17" i="1"/>
  <c r="L17" i="1" l="1"/>
  <c r="K56" i="1"/>
  <c r="K15" i="1"/>
  <c r="K14" i="1"/>
  <c r="L56" i="1" l="1"/>
  <c r="K57" i="1" s="1"/>
  <c r="K69" i="1" s="1"/>
  <c r="L15" i="1"/>
  <c r="M17" i="1"/>
  <c r="L14" i="1"/>
  <c r="K70" i="1" l="1"/>
  <c r="K71" i="1"/>
  <c r="E73" i="1" s="1"/>
  <c r="M14" i="1"/>
  <c r="M15" i="1"/>
  <c r="B71" i="1" l="1"/>
  <c r="B73" i="1" s="1"/>
  <c r="B70" i="1"/>
</calcChain>
</file>

<file path=xl/sharedStrings.xml><?xml version="1.0" encoding="utf-8"?>
<sst xmlns="http://schemas.openxmlformats.org/spreadsheetml/2006/main" count="179" uniqueCount="132">
  <si>
    <t>stage 1</t>
  </si>
  <si>
    <t>stage 2</t>
  </si>
  <si>
    <t>stage 3</t>
  </si>
  <si>
    <t>stage 4</t>
  </si>
  <si>
    <t>stage 5</t>
  </si>
  <si>
    <t>V</t>
  </si>
  <si>
    <t>W</t>
  </si>
  <si>
    <t>U</t>
  </si>
  <si>
    <t>alpha</t>
  </si>
  <si>
    <t>beta</t>
  </si>
  <si>
    <t>Temperature</t>
  </si>
  <si>
    <t>Total Temperature</t>
  </si>
  <si>
    <t>D_hub</t>
  </si>
  <si>
    <t>D_tip</t>
  </si>
  <si>
    <t>Annulus area</t>
  </si>
  <si>
    <t>blade height</t>
  </si>
  <si>
    <t>degree of reaction</t>
  </si>
  <si>
    <t>lambda</t>
  </si>
  <si>
    <t>phi</t>
  </si>
  <si>
    <t>D_mean</t>
  </si>
  <si>
    <t>hub/tip ratio</t>
  </si>
  <si>
    <t>reaction at hub</t>
  </si>
  <si>
    <t>reaction at tip</t>
  </si>
  <si>
    <t>R</t>
  </si>
  <si>
    <t>lm</t>
  </si>
  <si>
    <t>w rad/s</t>
  </si>
  <si>
    <t>m (kg/s)</t>
  </si>
  <si>
    <t>cp (J/kgK)</t>
  </si>
  <si>
    <t>total output power MW</t>
  </si>
  <si>
    <t>efficiency</t>
  </si>
  <si>
    <t>reaction based on p</t>
  </si>
  <si>
    <t>Profile loss</t>
  </si>
  <si>
    <t>Stage Loss analysis</t>
  </si>
  <si>
    <t>Secondary loss</t>
  </si>
  <si>
    <t>Exit loss</t>
  </si>
  <si>
    <t>Stage clearance leakage loss</t>
  </si>
  <si>
    <t>zeta_p</t>
  </si>
  <si>
    <t>c/s</t>
  </si>
  <si>
    <t>alpha_infinity</t>
  </si>
  <si>
    <t>stator</t>
  </si>
  <si>
    <t>rotor</t>
  </si>
  <si>
    <t>lift-solidity</t>
  </si>
  <si>
    <t>CL</t>
  </si>
  <si>
    <t>Z_p</t>
  </si>
  <si>
    <t>zeta_s</t>
  </si>
  <si>
    <t>Z_S</t>
  </si>
  <si>
    <t>Re</t>
  </si>
  <si>
    <t>h/c</t>
  </si>
  <si>
    <t>Blade number N</t>
  </si>
  <si>
    <t>chord length c</t>
  </si>
  <si>
    <t>spacing s</t>
  </si>
  <si>
    <t>density</t>
  </si>
  <si>
    <t>characteristic length</t>
  </si>
  <si>
    <t>viscosity miu</t>
  </si>
  <si>
    <t>averaged T</t>
  </si>
  <si>
    <t>Z_e</t>
  </si>
  <si>
    <t>m1/m</t>
  </si>
  <si>
    <t>contraction factor</t>
  </si>
  <si>
    <t>labrinth number n</t>
  </si>
  <si>
    <t>D/Dm=1</t>
  </si>
  <si>
    <t>clearance C</t>
  </si>
  <si>
    <t>Z_LC</t>
  </si>
  <si>
    <t>total loss</t>
  </si>
  <si>
    <t>Z=</t>
  </si>
  <si>
    <t>eta_s</t>
  </si>
  <si>
    <t>Z_s=</t>
  </si>
  <si>
    <t>Trailing edge loss</t>
  </si>
  <si>
    <t>G1</t>
  </si>
  <si>
    <t>G2</t>
  </si>
  <si>
    <t>D</t>
  </si>
  <si>
    <t>Trailing edge b</t>
  </si>
  <si>
    <t>deta2</t>
  </si>
  <si>
    <t>deta1</t>
  </si>
  <si>
    <t>zeta_t</t>
  </si>
  <si>
    <t>Z_t</t>
  </si>
  <si>
    <t>Temperature (K)</t>
  </si>
  <si>
    <t>Density (kg/m3)</t>
  </si>
  <si>
    <t>dT0 (K)</t>
  </si>
  <si>
    <t>lm (J/kg)</t>
  </si>
  <si>
    <t>Power (W)</t>
  </si>
  <si>
    <t>Static Pressure (Pa)</t>
  </si>
  <si>
    <t>Total Pressure (Pa)</t>
  </si>
  <si>
    <t>total efficiency</t>
  </si>
  <si>
    <t>T3s</t>
  </si>
  <si>
    <t>polytrophic efficiency</t>
  </si>
  <si>
    <t>recovery factor</t>
  </si>
  <si>
    <t>R_hub</t>
  </si>
  <si>
    <t>R_tip</t>
  </si>
  <si>
    <t>isentropic temperature</t>
  </si>
  <si>
    <t>stage1</t>
  </si>
  <si>
    <t>stage2</t>
  </si>
  <si>
    <t>stage3</t>
  </si>
  <si>
    <t>stage4</t>
  </si>
  <si>
    <t>stage5</t>
  </si>
  <si>
    <t>isentropic efficiency</t>
  </si>
  <si>
    <t>alpha m</t>
  </si>
  <si>
    <t>alpha h</t>
  </si>
  <si>
    <t>alpha t</t>
  </si>
  <si>
    <t>beta h</t>
  </si>
  <si>
    <t>beta m</t>
  </si>
  <si>
    <t>beta t</t>
  </si>
  <si>
    <t>Vu h</t>
  </si>
  <si>
    <t>Vu t</t>
  </si>
  <si>
    <t>U h</t>
  </si>
  <si>
    <t>U t</t>
  </si>
  <si>
    <t>Vu m</t>
  </si>
  <si>
    <t>U m</t>
  </si>
  <si>
    <t>Dh</t>
  </si>
  <si>
    <t>Dt</t>
  </si>
  <si>
    <t>Dm</t>
  </si>
  <si>
    <t>Vax</t>
  </si>
  <si>
    <t>w</t>
  </si>
  <si>
    <t>U3m</t>
  </si>
  <si>
    <t>blade density</t>
  </si>
  <si>
    <t>stress (MN/m2)</t>
  </si>
  <si>
    <t>allowable stress</t>
  </si>
  <si>
    <t>A (m2)</t>
  </si>
  <si>
    <t>safty factor 2</t>
  </si>
  <si>
    <t>turbine</t>
  </si>
  <si>
    <t>compressor</t>
  </si>
  <si>
    <t>N rev/s</t>
  </si>
  <si>
    <t>nickel based super alloy</t>
  </si>
  <si>
    <t>stress (MPa)</t>
  </si>
  <si>
    <t>blade density kg/m3</t>
  </si>
  <si>
    <t>Row number</t>
  </si>
  <si>
    <t>Pressure</t>
  </si>
  <si>
    <t>Velocity</t>
  </si>
  <si>
    <t>stage number</t>
  </si>
  <si>
    <t>load coefficient</t>
  </si>
  <si>
    <t>Isentropic Efficiency</t>
  </si>
  <si>
    <t>final efficiency</t>
  </si>
  <si>
    <t>The twisted angles are calculated based on radial equilibrium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</si>
</sst>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E+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zoomScale="85" zoomScaleNormal="85" workbookViewId="0">
      <selection activeCell="T66" sqref="T66"/>
    </sheetView>
  </sheetViews>
  <sheetFormatPr defaultRowHeight="15" x14ac:dyDescent="0.25"/>
  <cols>
    <col min="1" max="1" width="16.28515625" customWidth="1"/>
    <col min="2" max="16" width="9.28515625" customWidth="1"/>
  </cols>
  <sheetData>
    <row r="1" spans="1:16" ht="14.45" x14ac:dyDescent="0.35">
      <c r="B1" t="s">
        <v>0</v>
      </c>
      <c r="E1" t="s">
        <v>1</v>
      </c>
      <c r="H1" t="s">
        <v>2</v>
      </c>
      <c r="K1" t="s">
        <v>3</v>
      </c>
      <c r="N1" t="s">
        <v>4</v>
      </c>
    </row>
    <row r="2" spans="1:16" ht="14.45" x14ac:dyDescent="0.35"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1</v>
      </c>
      <c r="L2">
        <v>2</v>
      </c>
      <c r="M2">
        <v>3</v>
      </c>
      <c r="N2">
        <v>1</v>
      </c>
      <c r="O2">
        <v>2</v>
      </c>
      <c r="P2">
        <v>3</v>
      </c>
    </row>
    <row r="3" spans="1:16" ht="14.45" x14ac:dyDescent="0.35">
      <c r="A3" t="s">
        <v>5</v>
      </c>
      <c r="B3" s="2">
        <v>174.45739500000002</v>
      </c>
      <c r="C3" s="2">
        <v>378.99389479979868</v>
      </c>
      <c r="D3" s="2">
        <v>195.049297198766</v>
      </c>
      <c r="E3" s="2">
        <v>195.049297198766</v>
      </c>
      <c r="F3" s="2">
        <v>380.59980113369608</v>
      </c>
      <c r="G3" s="2">
        <v>195.87577727164208</v>
      </c>
      <c r="H3" s="2">
        <v>195.87577727164208</v>
      </c>
      <c r="I3" s="2">
        <v>382.20570746759358</v>
      </c>
      <c r="J3" s="2">
        <v>196.70225734451824</v>
      </c>
      <c r="K3" s="2">
        <v>196.70225734451824</v>
      </c>
      <c r="L3" s="2">
        <v>383.81161380149103</v>
      </c>
      <c r="M3" s="2">
        <v>197.52873741739438</v>
      </c>
      <c r="N3" s="2">
        <v>197.52873741739438</v>
      </c>
      <c r="O3" s="2">
        <v>269.41998260917848</v>
      </c>
      <c r="P3" s="2">
        <v>177.41430000000003</v>
      </c>
    </row>
    <row r="4" spans="1:16" ht="14.45" x14ac:dyDescent="0.35">
      <c r="A4" t="s">
        <v>6</v>
      </c>
      <c r="B4" s="2">
        <v>0</v>
      </c>
      <c r="C4" s="2">
        <v>195.049297198766</v>
      </c>
      <c r="D4" s="2">
        <v>378.99389479979868</v>
      </c>
      <c r="E4" s="2">
        <v>0</v>
      </c>
      <c r="F4" s="2">
        <v>195.87577727164208</v>
      </c>
      <c r="G4" s="2">
        <v>380.59980113369608</v>
      </c>
      <c r="H4" s="2">
        <v>0</v>
      </c>
      <c r="I4" s="2">
        <v>196.70225734451824</v>
      </c>
      <c r="J4" s="2">
        <v>382.20570746759358</v>
      </c>
      <c r="K4" s="2">
        <v>0</v>
      </c>
      <c r="L4" s="2">
        <v>197.52873741739438</v>
      </c>
      <c r="M4" s="2">
        <v>383.81161380149103</v>
      </c>
      <c r="N4" s="2">
        <v>0</v>
      </c>
      <c r="O4" s="2">
        <v>184.51365713282581</v>
      </c>
      <c r="P4" s="2">
        <v>309.37393142520915</v>
      </c>
    </row>
    <row r="5" spans="1:16" ht="14.45" x14ac:dyDescent="0.35">
      <c r="A5" t="s">
        <v>7</v>
      </c>
      <c r="B5" s="2">
        <v>0</v>
      </c>
      <c r="C5" s="2">
        <v>249.22485000000003</v>
      </c>
      <c r="D5" s="2">
        <v>249.22485000000003</v>
      </c>
      <c r="E5" s="2">
        <v>0</v>
      </c>
      <c r="F5" s="2">
        <v>250.28088750000001</v>
      </c>
      <c r="G5" s="2">
        <v>250.28088750000001</v>
      </c>
      <c r="H5" s="2">
        <v>0</v>
      </c>
      <c r="I5" s="2">
        <v>251.33692500000006</v>
      </c>
      <c r="J5" s="2">
        <v>251.33692500000006</v>
      </c>
      <c r="K5" s="2">
        <v>0</v>
      </c>
      <c r="L5" s="2">
        <v>252.39296250000004</v>
      </c>
      <c r="M5" s="2">
        <v>252.39296250000004</v>
      </c>
      <c r="N5" s="2">
        <v>0</v>
      </c>
      <c r="O5" s="2">
        <v>253.44900000000004</v>
      </c>
      <c r="P5" s="2">
        <v>253.44900000000004</v>
      </c>
    </row>
    <row r="6" spans="1:16" ht="14.45" x14ac:dyDescent="0.35">
      <c r="A6" t="s">
        <v>8</v>
      </c>
      <c r="B6" s="2">
        <v>90</v>
      </c>
      <c r="C6" s="2">
        <v>27.407575437818402</v>
      </c>
      <c r="D6" s="2">
        <v>116.56505117707799</v>
      </c>
      <c r="E6" s="2">
        <v>116.56505117707799</v>
      </c>
      <c r="F6" s="2">
        <v>27.407575437818402</v>
      </c>
      <c r="G6" s="2">
        <v>116.56505117707799</v>
      </c>
      <c r="H6" s="2">
        <v>116.56505117707799</v>
      </c>
      <c r="I6" s="2">
        <v>27.407575437818402</v>
      </c>
      <c r="J6" s="2">
        <v>116.56505117707799</v>
      </c>
      <c r="K6" s="2">
        <v>116.56505117707799</v>
      </c>
      <c r="L6" s="2">
        <v>27.407575437818402</v>
      </c>
      <c r="M6" s="2">
        <v>116.56505117707799</v>
      </c>
      <c r="N6" s="2">
        <v>116.56505117707799</v>
      </c>
      <c r="O6" s="2">
        <v>41.185925165709641</v>
      </c>
      <c r="P6" s="2">
        <v>90</v>
      </c>
    </row>
    <row r="7" spans="1:16" ht="14.45" x14ac:dyDescent="0.35">
      <c r="A7" t="s">
        <v>9</v>
      </c>
      <c r="B7" s="2">
        <v>0</v>
      </c>
      <c r="C7" s="2">
        <v>63.43494882292201</v>
      </c>
      <c r="D7" s="2">
        <v>152.59242456218161</v>
      </c>
      <c r="E7" s="2">
        <v>0</v>
      </c>
      <c r="F7" s="2">
        <v>63.43494882292201</v>
      </c>
      <c r="G7" s="2">
        <v>152.59242456218161</v>
      </c>
      <c r="H7" s="2">
        <v>0</v>
      </c>
      <c r="I7" s="2">
        <v>63.43494882292201</v>
      </c>
      <c r="J7" s="2">
        <v>152.59242456218161</v>
      </c>
      <c r="K7" s="2">
        <v>0</v>
      </c>
      <c r="L7" s="2">
        <v>63.43494882292201</v>
      </c>
      <c r="M7" s="2">
        <v>152.59242456218161</v>
      </c>
      <c r="N7" s="2">
        <v>0</v>
      </c>
      <c r="O7" s="2">
        <v>105.94539590092285</v>
      </c>
      <c r="P7" s="2">
        <v>145.00797980144134</v>
      </c>
    </row>
    <row r="8" spans="1:16" ht="14.45" x14ac:dyDescent="0.35">
      <c r="A8" t="s">
        <v>12</v>
      </c>
      <c r="B8" s="1">
        <v>0.95755476301466991</v>
      </c>
      <c r="C8" s="1">
        <v>0.94064397315319759</v>
      </c>
      <c r="D8" s="1">
        <v>0.92030087843787323</v>
      </c>
      <c r="E8" s="1">
        <v>0.92599412888738952</v>
      </c>
      <c r="F8" s="1">
        <v>0.90235070116645144</v>
      </c>
      <c r="G8" s="1">
        <v>0.89276163566915723</v>
      </c>
      <c r="H8" s="1">
        <v>0.87838348855273995</v>
      </c>
      <c r="I8" s="1">
        <v>0.84237799207433084</v>
      </c>
      <c r="J8" s="1">
        <v>0.80070124674575172</v>
      </c>
      <c r="K8" s="1">
        <v>0.80745842896073872</v>
      </c>
      <c r="L8" s="1">
        <v>0.75117081419812393</v>
      </c>
      <c r="M8" s="1">
        <v>0.68489857133452436</v>
      </c>
      <c r="N8" s="1">
        <v>0.69264680196526673</v>
      </c>
      <c r="O8" s="1">
        <v>0.65593387086787325</v>
      </c>
      <c r="P8" s="1">
        <v>0.58913653368038998</v>
      </c>
    </row>
    <row r="9" spans="1:16" ht="14.45" x14ac:dyDescent="0.35">
      <c r="A9" t="s">
        <v>13</v>
      </c>
      <c r="B9" s="1">
        <v>1.1664452369853302</v>
      </c>
      <c r="C9" s="1">
        <v>1.1833560268468024</v>
      </c>
      <c r="D9" s="1">
        <v>1.2036991215621269</v>
      </c>
      <c r="E9" s="1">
        <v>1.2070058711126106</v>
      </c>
      <c r="F9" s="1">
        <v>1.2306492988335487</v>
      </c>
      <c r="G9" s="1">
        <v>1.2402383643308428</v>
      </c>
      <c r="H9" s="1">
        <v>1.2636165114472604</v>
      </c>
      <c r="I9" s="1">
        <v>1.2996220079256695</v>
      </c>
      <c r="J9" s="1">
        <v>1.3412987532542486</v>
      </c>
      <c r="K9" s="1">
        <v>1.3435415710392615</v>
      </c>
      <c r="L9" s="1">
        <v>1.3998291858018763</v>
      </c>
      <c r="M9" s="1">
        <v>1.4661014286654759</v>
      </c>
      <c r="N9" s="1">
        <v>1.4673531980347334</v>
      </c>
      <c r="O9" s="1">
        <v>1.5040661291321269</v>
      </c>
      <c r="P9" s="1">
        <v>1.5708634663196102</v>
      </c>
    </row>
    <row r="10" spans="1:16" x14ac:dyDescent="0.25">
      <c r="A10" t="s">
        <v>14</v>
      </c>
      <c r="B10" s="1">
        <v>0.34846810134692269</v>
      </c>
      <c r="C10" s="1">
        <v>0.4048887769602274</v>
      </c>
      <c r="D10">
        <v>0.47276089631752649</v>
      </c>
      <c r="E10">
        <v>0.47076612460310657</v>
      </c>
      <c r="F10" s="1">
        <v>0.5499836316893334</v>
      </c>
      <c r="G10" s="1">
        <v>0.58211187776887674</v>
      </c>
      <c r="H10" s="1">
        <v>0.64808632315272663</v>
      </c>
      <c r="I10" s="1">
        <v>0.76923206320715487</v>
      </c>
      <c r="J10">
        <v>0.90945954650038696</v>
      </c>
      <c r="K10">
        <v>0.90565427643134777</v>
      </c>
      <c r="L10" s="1">
        <v>1.0958379066131583</v>
      </c>
      <c r="M10">
        <v>1.3197574274748101</v>
      </c>
      <c r="N10">
        <v>1.3142584381936651</v>
      </c>
      <c r="O10" s="1">
        <v>1.4388224787911705</v>
      </c>
      <c r="P10" s="1">
        <v>1.6654605044817326</v>
      </c>
    </row>
    <row r="11" spans="1:16" ht="14.45" x14ac:dyDescent="0.35">
      <c r="A11" t="s">
        <v>15</v>
      </c>
      <c r="B11" s="1">
        <v>0.10444523698533013</v>
      </c>
      <c r="C11" s="1">
        <v>0.12135602684680244</v>
      </c>
      <c r="D11" s="1">
        <v>0.14169912156212686</v>
      </c>
      <c r="E11" s="1">
        <v>0.14050587111261048</v>
      </c>
      <c r="F11" s="1">
        <v>0.16414929883354856</v>
      </c>
      <c r="G11" s="1">
        <v>0.17373836433084278</v>
      </c>
      <c r="H11" s="1">
        <v>0.19261651144726027</v>
      </c>
      <c r="I11" s="1">
        <v>0.22862200792566939</v>
      </c>
      <c r="J11" s="1">
        <v>0.2702987532542484</v>
      </c>
      <c r="K11" s="1">
        <v>0.26804157103926135</v>
      </c>
      <c r="L11" s="1">
        <v>0.32432918580187614</v>
      </c>
      <c r="M11" s="1">
        <v>0.3906014286654757</v>
      </c>
      <c r="N11" s="1">
        <v>0.38735319803473334</v>
      </c>
      <c r="O11" s="1">
        <v>0.42406612913212688</v>
      </c>
      <c r="P11" s="1">
        <v>0.49086346631961009</v>
      </c>
    </row>
    <row r="12" spans="1:16" ht="14.45" x14ac:dyDescent="0.35">
      <c r="A12" t="s">
        <v>19</v>
      </c>
      <c r="B12" s="1">
        <f>Sheet3!B4</f>
        <v>1.0620000000000001</v>
      </c>
      <c r="C12" s="1">
        <f>B12</f>
        <v>1.0620000000000001</v>
      </c>
      <c r="D12" s="1">
        <f>B12</f>
        <v>1.0620000000000001</v>
      </c>
      <c r="E12" s="1">
        <f>Sheet3!C4</f>
        <v>1.0665</v>
      </c>
      <c r="F12" s="1">
        <f>E12</f>
        <v>1.0665</v>
      </c>
      <c r="G12" s="1">
        <f>E12</f>
        <v>1.0665</v>
      </c>
      <c r="H12" s="1">
        <f>Sheet3!D4</f>
        <v>1.0710000000000002</v>
      </c>
      <c r="I12" s="1">
        <f>H12</f>
        <v>1.0710000000000002</v>
      </c>
      <c r="J12" s="1">
        <f>H12</f>
        <v>1.0710000000000002</v>
      </c>
      <c r="K12" s="1">
        <f>Sheet3!E4</f>
        <v>1.0755000000000001</v>
      </c>
      <c r="L12" s="1">
        <f>K12</f>
        <v>1.0755000000000001</v>
      </c>
      <c r="M12" s="1">
        <f>K12</f>
        <v>1.0755000000000001</v>
      </c>
      <c r="N12" s="1">
        <f>Sheet3!F4</f>
        <v>1.08</v>
      </c>
      <c r="O12" s="1">
        <f>N12</f>
        <v>1.08</v>
      </c>
      <c r="P12" s="1">
        <f>N12</f>
        <v>1.08</v>
      </c>
    </row>
    <row r="13" spans="1:16" x14ac:dyDescent="0.25">
      <c r="A13" t="s">
        <v>20</v>
      </c>
      <c r="B13" s="2">
        <f>B8/B9</f>
        <v>0.82091703292429197</v>
      </c>
      <c r="C13" s="2">
        <f t="shared" ref="C13:P13" si="0">C8/C9</f>
        <v>0.79489515565290958</v>
      </c>
      <c r="D13" s="2">
        <f t="shared" si="0"/>
        <v>0.76456056331048294</v>
      </c>
      <c r="E13" s="2">
        <f t="shared" si="0"/>
        <v>0.76718278763119341</v>
      </c>
      <c r="F13" s="2">
        <f t="shared" si="0"/>
        <v>0.73323139420932526</v>
      </c>
      <c r="G13" s="2">
        <f t="shared" si="0"/>
        <v>0.71983068847482168</v>
      </c>
      <c r="H13" s="2">
        <f t="shared" si="0"/>
        <v>0.69513454485229798</v>
      </c>
      <c r="I13" s="2">
        <f t="shared" si="0"/>
        <v>0.64817153521342163</v>
      </c>
      <c r="J13" s="2">
        <f t="shared" si="0"/>
        <v>0.59695965928775863</v>
      </c>
      <c r="K13" s="2">
        <f t="shared" si="0"/>
        <v>0.60099251587440672</v>
      </c>
      <c r="L13" s="2">
        <f t="shared" si="0"/>
        <v>0.53661605417079816</v>
      </c>
      <c r="M13" s="2">
        <f t="shared" si="0"/>
        <v>0.46715633580546728</v>
      </c>
      <c r="N13" s="2">
        <f t="shared" si="0"/>
        <v>0.47203822698784975</v>
      </c>
      <c r="O13" s="2">
        <f t="shared" si="0"/>
        <v>0.43610706880711347</v>
      </c>
      <c r="P13" s="2">
        <f t="shared" si="0"/>
        <v>0.37503993587723011</v>
      </c>
    </row>
    <row r="14" spans="1:16" x14ac:dyDescent="0.25">
      <c r="A14" t="s">
        <v>21</v>
      </c>
      <c r="B14" s="2">
        <f t="shared" ref="B14:P14" si="1">1-(1-B17)*(B12/B8)^2</f>
        <v>0.38497637869843704</v>
      </c>
      <c r="C14" s="2">
        <f t="shared" si="1"/>
        <v>0.36266395160373721</v>
      </c>
      <c r="D14" s="2">
        <f t="shared" si="1"/>
        <v>0.33417612386986195</v>
      </c>
      <c r="E14" s="2">
        <f t="shared" si="1"/>
        <v>0.33675305587502946</v>
      </c>
      <c r="F14" s="2">
        <f t="shared" si="1"/>
        <v>0.30154086200176888</v>
      </c>
      <c r="G14" s="2">
        <f t="shared" si="1"/>
        <v>0.28645612016887967</v>
      </c>
      <c r="H14" s="2">
        <f t="shared" si="1"/>
        <v>0.25667178320243067</v>
      </c>
      <c r="I14" s="2">
        <f t="shared" si="1"/>
        <v>0.19177008291134445</v>
      </c>
      <c r="J14" s="2">
        <f t="shared" si="1"/>
        <v>0.10544316875393522</v>
      </c>
      <c r="K14" s="2">
        <f t="shared" si="1"/>
        <v>0.11294512111025912</v>
      </c>
      <c r="L14" s="2">
        <f t="shared" si="1"/>
        <v>-2.4975353622452401E-2</v>
      </c>
      <c r="M14" s="2">
        <f t="shared" si="1"/>
        <v>-0.23292969654798878</v>
      </c>
      <c r="N14" s="2">
        <f t="shared" si="1"/>
        <v>2.7512930403709834E-2</v>
      </c>
      <c r="O14" s="2">
        <f t="shared" si="1"/>
        <v>-8.4394702938183963E-2</v>
      </c>
      <c r="P14" s="2">
        <f t="shared" si="1"/>
        <v>-0.34423621647968528</v>
      </c>
    </row>
    <row r="15" spans="1:16" x14ac:dyDescent="0.25">
      <c r="A15" t="s">
        <v>22</v>
      </c>
      <c r="B15" s="2">
        <f t="shared" ref="B15:P15" si="2">1-(1-B17)*(B12/B9)^2</f>
        <v>0.58553264490077406</v>
      </c>
      <c r="C15" s="2">
        <f t="shared" si="2"/>
        <v>0.59729392252671465</v>
      </c>
      <c r="D15" s="2">
        <f t="shared" si="2"/>
        <v>0.61079075230117386</v>
      </c>
      <c r="E15" s="2">
        <f t="shared" si="2"/>
        <v>0.6096331243875055</v>
      </c>
      <c r="F15" s="2">
        <f t="shared" si="2"/>
        <v>0.62448861676589984</v>
      </c>
      <c r="G15" s="2">
        <f t="shared" si="2"/>
        <v>0.63027280037252764</v>
      </c>
      <c r="H15" s="2">
        <f t="shared" si="2"/>
        <v>0.64081485935604898</v>
      </c>
      <c r="I15" s="2">
        <f t="shared" si="2"/>
        <v>0.66044132381402909</v>
      </c>
      <c r="J15" s="2">
        <f t="shared" si="2"/>
        <v>0.68121498082594067</v>
      </c>
      <c r="K15" s="2">
        <f t="shared" si="2"/>
        <v>0.67960287051426715</v>
      </c>
      <c r="L15" s="2">
        <f t="shared" si="2"/>
        <v>0.70485138775807088</v>
      </c>
      <c r="M15" s="2">
        <f t="shared" si="2"/>
        <v>0.73093153578823433</v>
      </c>
      <c r="N15" s="2">
        <f t="shared" si="2"/>
        <v>0.78331034582864678</v>
      </c>
      <c r="O15" s="2">
        <f t="shared" si="2"/>
        <v>0.79375964869222404</v>
      </c>
      <c r="P15" s="2">
        <f t="shared" si="2"/>
        <v>0.81092651747427436</v>
      </c>
    </row>
    <row r="17" spans="1:16" ht="14.45" x14ac:dyDescent="0.35">
      <c r="A17" t="s">
        <v>16</v>
      </c>
      <c r="B17">
        <f>Sheet3!B2</f>
        <v>0.5</v>
      </c>
      <c r="C17">
        <f>B17</f>
        <v>0.5</v>
      </c>
      <c r="D17">
        <f t="shared" ref="D17:M17" si="3">C17</f>
        <v>0.5</v>
      </c>
      <c r="E17">
        <f t="shared" si="3"/>
        <v>0.5</v>
      </c>
      <c r="F17">
        <f t="shared" si="3"/>
        <v>0.5</v>
      </c>
      <c r="G17">
        <f t="shared" si="3"/>
        <v>0.5</v>
      </c>
      <c r="H17">
        <f t="shared" si="3"/>
        <v>0.5</v>
      </c>
      <c r="I17">
        <f t="shared" si="3"/>
        <v>0.5</v>
      </c>
      <c r="J17">
        <f t="shared" si="3"/>
        <v>0.5</v>
      </c>
      <c r="K17">
        <f t="shared" si="3"/>
        <v>0.5</v>
      </c>
      <c r="L17">
        <f t="shared" si="3"/>
        <v>0.5</v>
      </c>
      <c r="M17">
        <f t="shared" si="3"/>
        <v>0.5</v>
      </c>
      <c r="N17">
        <f>Sheet3!F2</f>
        <v>0.6</v>
      </c>
      <c r="O17">
        <f>N17</f>
        <v>0.6</v>
      </c>
      <c r="P17">
        <f>N17</f>
        <v>0.6</v>
      </c>
    </row>
    <row r="18" spans="1:16" ht="14.45" x14ac:dyDescent="0.35">
      <c r="A18" t="s">
        <v>17</v>
      </c>
      <c r="B18">
        <f>Sheet3!B3</f>
        <v>1.7</v>
      </c>
      <c r="C18">
        <f>B18</f>
        <v>1.7</v>
      </c>
      <c r="D18">
        <f t="shared" ref="D18:M18" si="4">C18</f>
        <v>1.7</v>
      </c>
      <c r="E18">
        <f t="shared" si="4"/>
        <v>1.7</v>
      </c>
      <c r="F18">
        <f t="shared" si="4"/>
        <v>1.7</v>
      </c>
      <c r="G18">
        <f t="shared" si="4"/>
        <v>1.7</v>
      </c>
      <c r="H18">
        <f t="shared" si="4"/>
        <v>1.7</v>
      </c>
      <c r="I18">
        <f t="shared" si="4"/>
        <v>1.7</v>
      </c>
      <c r="J18">
        <f t="shared" si="4"/>
        <v>1.7</v>
      </c>
      <c r="K18">
        <f t="shared" si="4"/>
        <v>1.7</v>
      </c>
      <c r="L18">
        <f t="shared" si="4"/>
        <v>1.7</v>
      </c>
      <c r="M18">
        <f t="shared" si="4"/>
        <v>1.7</v>
      </c>
      <c r="N18">
        <f>Sheet3!F3</f>
        <v>0.8</v>
      </c>
      <c r="O18">
        <f>N18</f>
        <v>0.8</v>
      </c>
      <c r="P18">
        <f>O18</f>
        <v>0.8</v>
      </c>
    </row>
    <row r="19" spans="1:16" ht="14.45" x14ac:dyDescent="0.35">
      <c r="A19" t="s">
        <v>18</v>
      </c>
      <c r="B19">
        <v>0.7</v>
      </c>
      <c r="C19">
        <v>0.7</v>
      </c>
      <c r="D19">
        <v>0.7</v>
      </c>
      <c r="E19">
        <v>0.7</v>
      </c>
      <c r="F19">
        <v>0.7</v>
      </c>
      <c r="G19">
        <v>0.7</v>
      </c>
      <c r="H19">
        <v>0.7</v>
      </c>
      <c r="I19">
        <v>0.7</v>
      </c>
      <c r="J19">
        <v>0.7</v>
      </c>
      <c r="K19">
        <v>0.7</v>
      </c>
      <c r="L19">
        <v>0.7</v>
      </c>
      <c r="M19">
        <v>0.7</v>
      </c>
      <c r="N19">
        <v>0.7</v>
      </c>
      <c r="O19">
        <v>0.7</v>
      </c>
      <c r="P19">
        <v>0.7</v>
      </c>
    </row>
    <row r="20" spans="1:16" ht="14.45" x14ac:dyDescent="0.35">
      <c r="A20" t="s">
        <v>32</v>
      </c>
    </row>
    <row r="21" spans="1:16" ht="14.45" x14ac:dyDescent="0.35">
      <c r="B21" t="s">
        <v>0</v>
      </c>
      <c r="E21" t="s">
        <v>1</v>
      </c>
      <c r="H21" t="s">
        <v>2</v>
      </c>
      <c r="K21" t="s">
        <v>3</v>
      </c>
      <c r="N21" t="s">
        <v>4</v>
      </c>
    </row>
    <row r="22" spans="1:16" ht="14.45" x14ac:dyDescent="0.35">
      <c r="B22" t="s">
        <v>39</v>
      </c>
      <c r="C22" t="s">
        <v>40</v>
      </c>
      <c r="E22" t="s">
        <v>39</v>
      </c>
      <c r="F22" t="s">
        <v>40</v>
      </c>
      <c r="H22" t="s">
        <v>39</v>
      </c>
      <c r="I22" t="s">
        <v>40</v>
      </c>
      <c r="K22" t="s">
        <v>39</v>
      </c>
      <c r="L22" t="s">
        <v>40</v>
      </c>
      <c r="N22" t="s">
        <v>39</v>
      </c>
      <c r="O22" t="s">
        <v>40</v>
      </c>
    </row>
    <row r="23" spans="1:16" ht="14.45" x14ac:dyDescent="0.35">
      <c r="A23" t="s">
        <v>86</v>
      </c>
      <c r="B23">
        <f>AVERAGE(B8:C8)/2</f>
        <v>0.47454968404196685</v>
      </c>
      <c r="C23">
        <f>AVERAGE(C8:D8)/2</f>
        <v>0.46523621289776773</v>
      </c>
      <c r="E23">
        <f>AVERAGE(E8:F8)/2</f>
        <v>0.45708620751346024</v>
      </c>
      <c r="F23">
        <f>AVERAGE(F8:G8)/2</f>
        <v>0.44877808420890219</v>
      </c>
      <c r="H23">
        <f>AVERAGE(H8:I8)/2</f>
        <v>0.4301903701567677</v>
      </c>
      <c r="I23">
        <f>AVERAGE(I8:J8)/2</f>
        <v>0.41076980970502064</v>
      </c>
      <c r="K23">
        <f>AVERAGE(K8:L8)/2</f>
        <v>0.38965731078971566</v>
      </c>
      <c r="L23">
        <f>AVERAGE(L8:M8)/2</f>
        <v>0.35901734638316207</v>
      </c>
      <c r="N23">
        <f>AVERAGE(N8:O8)/2</f>
        <v>0.337145168208285</v>
      </c>
      <c r="O23">
        <f>AVERAGE(O8:P8)/2</f>
        <v>0.31126760113706581</v>
      </c>
    </row>
    <row r="24" spans="1:16" ht="14.45" x14ac:dyDescent="0.35">
      <c r="A24" t="s">
        <v>87</v>
      </c>
      <c r="B24">
        <f>AVERAGE(B9:C9)/2</f>
        <v>0.5874503159580331</v>
      </c>
      <c r="C24">
        <f>AVERAGE(C9:D9)/2</f>
        <v>0.59676378710223232</v>
      </c>
      <c r="E24">
        <f>AVERAGE(E9:F9)/2</f>
        <v>0.60941379248653982</v>
      </c>
      <c r="F24">
        <f>AVERAGE(F9:G9)/2</f>
        <v>0.61772191579109781</v>
      </c>
      <c r="H24">
        <f>AVERAGE(H9:I9)/2</f>
        <v>0.64080962984323242</v>
      </c>
      <c r="I24">
        <f>AVERAGE(I9:J9)/2</f>
        <v>0.66023019029497954</v>
      </c>
      <c r="K24">
        <f>AVERAGE(K9:L9)/2</f>
        <v>0.68584268921028446</v>
      </c>
      <c r="L24">
        <f>AVERAGE(L9:M9)/2</f>
        <v>0.71648265361683805</v>
      </c>
      <c r="N24">
        <f>AVERAGE(N9:O9)/2</f>
        <v>0.74285483179171508</v>
      </c>
      <c r="O24">
        <f>AVERAGE(O9:P9)/2</f>
        <v>0.76873239886293421</v>
      </c>
    </row>
    <row r="25" spans="1:16" ht="14.45" x14ac:dyDescent="0.35">
      <c r="A25" t="s">
        <v>15</v>
      </c>
      <c r="B25" s="1">
        <f>AVERAGE(B11:C11)</f>
        <v>0.11290063191606628</v>
      </c>
      <c r="C25" s="1">
        <f>AVERAGE(C11:D11)</f>
        <v>0.13152757420446465</v>
      </c>
      <c r="E25" s="1">
        <f>AVERAGE(E11:F11)</f>
        <v>0.15232758497307952</v>
      </c>
      <c r="F25" s="1">
        <f>AVERAGE(F11:G11)</f>
        <v>0.16894383158219567</v>
      </c>
      <c r="H25" s="1">
        <f>AVERAGE(H11:I11)</f>
        <v>0.21061925968646483</v>
      </c>
      <c r="I25" s="1">
        <f>AVERAGE(I11:J11)</f>
        <v>0.2494603805899589</v>
      </c>
      <c r="K25" s="1">
        <f>AVERAGE(K11:L11)</f>
        <v>0.29618537842056875</v>
      </c>
      <c r="L25" s="1">
        <f>AVERAGE(L11:M11)</f>
        <v>0.35746530723367592</v>
      </c>
      <c r="N25" s="1">
        <f>AVERAGE(N11:O11)</f>
        <v>0.40570966358343008</v>
      </c>
      <c r="O25" s="1">
        <f>AVERAGE(O11:P11)</f>
        <v>0.45746479772586846</v>
      </c>
    </row>
    <row r="26" spans="1:16" ht="14.45" x14ac:dyDescent="0.35">
      <c r="A26" t="s">
        <v>49</v>
      </c>
      <c r="B26" s="1">
        <f>B25/B39</f>
        <v>9.4083859930055233E-2</v>
      </c>
      <c r="C26" s="1">
        <f>C25/C39</f>
        <v>0.10960631183705388</v>
      </c>
      <c r="D26" s="1"/>
      <c r="E26" s="1">
        <f>E25/E39</f>
        <v>0.12693965414423294</v>
      </c>
      <c r="F26" s="1">
        <f>F25/F39</f>
        <v>0.14078652631849639</v>
      </c>
      <c r="G26" s="1"/>
      <c r="H26" s="1">
        <f>H25/H39</f>
        <v>7.0206419895488273E-2</v>
      </c>
      <c r="I26" s="1">
        <f>I25/I39</f>
        <v>8.315346019665297E-2</v>
      </c>
      <c r="J26" s="1"/>
      <c r="K26" s="1">
        <f>K25/K39</f>
        <v>9.872845947352292E-2</v>
      </c>
      <c r="L26" s="1">
        <f>L25/L39</f>
        <v>0.1191551024112253</v>
      </c>
      <c r="M26" s="1"/>
      <c r="N26" s="1">
        <f>N25/N39</f>
        <v>0.13523655452781003</v>
      </c>
      <c r="O26" s="1">
        <f>O25/O39</f>
        <v>0.15248826590862283</v>
      </c>
      <c r="P26" s="2"/>
    </row>
    <row r="27" spans="1:16" ht="14.45" x14ac:dyDescent="0.35">
      <c r="A27" t="s">
        <v>50</v>
      </c>
      <c r="B27" s="1">
        <f>B26/B33</f>
        <v>8.5530781754595664E-2</v>
      </c>
      <c r="C27" s="1">
        <f>C26/C33</f>
        <v>9.9642101670048971E-2</v>
      </c>
      <c r="D27" s="1"/>
      <c r="E27" s="1">
        <f>E26/E33</f>
        <v>0.11539968558566631</v>
      </c>
      <c r="F27" s="1">
        <f>F26/F33</f>
        <v>0.12798775119863307</v>
      </c>
      <c r="G27" s="1"/>
      <c r="H27" s="1">
        <f>H26/H33</f>
        <v>6.3824018086807516E-2</v>
      </c>
      <c r="I27" s="1">
        <f>I26/I33</f>
        <v>7.5594054724229962E-2</v>
      </c>
      <c r="J27" s="1"/>
      <c r="K27" s="1">
        <f>K26/K33</f>
        <v>8.9753144975929913E-2</v>
      </c>
      <c r="L27" s="1">
        <f>L26/L33</f>
        <v>0.10832282037384118</v>
      </c>
      <c r="M27" s="1"/>
      <c r="N27" s="1">
        <f>N26/N33</f>
        <v>0.12294232229800911</v>
      </c>
      <c r="O27" s="1">
        <f>O26/O33</f>
        <v>0.1386256962805662</v>
      </c>
      <c r="P27" s="2"/>
    </row>
    <row r="28" spans="1:16" ht="14.45" x14ac:dyDescent="0.35">
      <c r="A28" t="s">
        <v>48</v>
      </c>
      <c r="B28" s="2">
        <f>ROUND(PI()*B8/B27,0)</f>
        <v>35</v>
      </c>
      <c r="C28" s="2">
        <f>ROUND(PI()*C8/C27,0)</f>
        <v>30</v>
      </c>
      <c r="D28" s="2"/>
      <c r="E28" s="2">
        <f>ROUND(PI()*E8/E27,0)</f>
        <v>25</v>
      </c>
      <c r="F28" s="2">
        <f>ROUND(PI()*F8/F27,0)</f>
        <v>22</v>
      </c>
      <c r="G28" s="2"/>
      <c r="H28" s="2">
        <f>ROUND(PI()*H8/H27,0)</f>
        <v>43</v>
      </c>
      <c r="I28" s="2">
        <v>32</v>
      </c>
      <c r="J28" s="2"/>
      <c r="K28" s="2">
        <v>27</v>
      </c>
      <c r="L28" s="2">
        <f>ROUND(PI()*L8/L27,0)</f>
        <v>22</v>
      </c>
      <c r="M28" s="2"/>
      <c r="N28" s="2">
        <v>19</v>
      </c>
      <c r="O28" s="2">
        <v>16</v>
      </c>
      <c r="P28" s="2"/>
    </row>
    <row r="29" spans="1:16" ht="14.45" x14ac:dyDescent="0.35">
      <c r="A29" t="s">
        <v>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4.45" x14ac:dyDescent="0.35">
      <c r="A30" t="s">
        <v>38</v>
      </c>
      <c r="B30" s="2">
        <f>ATAN(2/(1/TAN(RADIANS(B6))+1/TAN(RADIANS(C6))))*180/PI()</f>
        <v>46.041626676009969</v>
      </c>
      <c r="C30" s="2">
        <f>ATAN(2/(1/TAN(C6*PI()/180)+1/TAN(D6*PI()/180)))*180/PI()</f>
        <v>54.462322208025611</v>
      </c>
      <c r="D30" s="2"/>
      <c r="E30" s="2">
        <f>ATAN(2/(1/TAN(RADIANS(E6))+1/TAN(RADIANS(F6))))*180/PI()</f>
        <v>54.462322208025618</v>
      </c>
      <c r="F30" s="2">
        <f>ATAN(2/(1/TAN(F6*PI()/180)+1/TAN(G6*PI()/180)))*180/PI()</f>
        <v>54.462322208025611</v>
      </c>
      <c r="G30" s="2"/>
      <c r="H30" s="2">
        <f>ATAN(2/(1/TAN(RADIANS(H6))+1/TAN(RADIANS(I6))))*180/PI()</f>
        <v>54.462322208025618</v>
      </c>
      <c r="I30" s="2">
        <f>ATAN(2/(1/TAN(I6*PI()/180)+1/TAN(J6*PI()/180)))*180/PI()</f>
        <v>54.462322208025611</v>
      </c>
      <c r="J30" s="2"/>
      <c r="K30" s="2">
        <f>ATAN(2/(1/TAN(RADIANS(K6))+1/TAN(RADIANS(L6))))*180/PI()</f>
        <v>54.462322208025618</v>
      </c>
      <c r="L30" s="2">
        <f>ATAN(2/(1/TAN(L6*PI()/180)+1/TAN(M6*PI()/180)))*180/PI()</f>
        <v>54.462322208025611</v>
      </c>
      <c r="M30" s="2"/>
      <c r="N30" s="2">
        <f>ATAN(2/(1/TAN(RADIANS(N6))+1/TAN(RADIANS(O6))))*180/PI()</f>
        <v>72.181111085477212</v>
      </c>
      <c r="O30" s="2">
        <f>ATAN(2/(1/TAN(O6*PI()/180)+1/TAN(P6*PI()/180)))*180/PI()</f>
        <v>60.255118703057768</v>
      </c>
      <c r="P30" s="2"/>
    </row>
    <row r="31" spans="1:16" ht="14.45" x14ac:dyDescent="0.35">
      <c r="A31" t="s">
        <v>41</v>
      </c>
      <c r="B31" s="2">
        <f>2*SIN(C6*PI()/180)^2*(1/TAN(C6*PI()/180)-1/TAN(B6*PI()/180))/SIN(B30*PI()/180)</f>
        <v>1.1353806684258843</v>
      </c>
      <c r="C31" s="2">
        <f>2*SIN(D6*PI()/180)^2*(1/TAN(C7*PI()/180)-1/TAN(D7*PI()/180))/SIN(C30*PI()/180)</f>
        <v>4.7751683115012149</v>
      </c>
      <c r="D31" s="2"/>
      <c r="E31" s="2">
        <f>2*SIN(F6*PI()/180)^2*(1/TAN(F6*PI()/180)-1/TAN(E6*PI()/180))/SIN(E30*PI()/180)</f>
        <v>1.2647743095327533</v>
      </c>
      <c r="F31" s="2">
        <f>2*SIN(G6*PI()/180)^2*(1/TAN(F7*PI()/180)-1/TAN(G7*PI()/180))/SIN(F30*PI()/180)</f>
        <v>4.7751683115012149</v>
      </c>
      <c r="G31" s="2"/>
      <c r="H31" s="2">
        <f>2*SIN(I6*PI()/180)^2*(1/TAN(I6*PI()/180)-1/TAN(H6*PI()/180))/SIN(H30*PI()/180)</f>
        <v>1.2647743095327533</v>
      </c>
      <c r="I31" s="2">
        <f>2*SIN(J6*PI()/180)^2*(1/TAN(I7*PI()/180)-1/TAN(J7*PI()/180))/SIN(I30*PI()/180)</f>
        <v>4.7751683115012149</v>
      </c>
      <c r="J31" s="2"/>
      <c r="K31" s="2">
        <f>2*SIN(L6*PI()/180)^2*(1/TAN(L6*PI()/180)-1/TAN(K6*PI()/180))/SIN(K30*PI()/180)</f>
        <v>1.2647743095327533</v>
      </c>
      <c r="L31" s="2">
        <f>2*SIN(M6*PI()/180)^2*(1/TAN(L7*PI()/180)-1/TAN(M7*PI()/180))/SIN(L30*PI()/180)</f>
        <v>4.7751683115012149</v>
      </c>
      <c r="M31" s="2"/>
      <c r="N31" s="2">
        <f>2*SIN(O6*PI()/180)^2*(1/TAN(O6*PI()/180)-1/TAN(N6*PI()/180))/SIN(N30*PI()/180)</f>
        <v>1.4965714464894386</v>
      </c>
      <c r="O31" s="2">
        <f>2*SIN(P6*PI()/180)^2*(1/TAN(O7*PI()/180)-1/TAN(P7*PI()/180))/SIN(O30*PI()/180)</f>
        <v>2.632573958628099</v>
      </c>
      <c r="P31" s="2"/>
    </row>
    <row r="32" spans="1:16" ht="14.45" x14ac:dyDescent="0.35">
      <c r="A32" t="s">
        <v>42</v>
      </c>
      <c r="B32" s="2">
        <f>B31/B33</f>
        <v>1.032164244023531</v>
      </c>
      <c r="C32" s="2">
        <f>C31/C33</f>
        <v>4.3410621013647406</v>
      </c>
      <c r="D32" s="2"/>
      <c r="E32" s="2">
        <f>E31/E33</f>
        <v>1.1497948268479574</v>
      </c>
      <c r="F32" s="2">
        <f>F31/F33</f>
        <v>4.3410621013647406</v>
      </c>
      <c r="G32" s="2"/>
      <c r="H32" s="2">
        <f>H31/H33</f>
        <v>1.1497948268479574</v>
      </c>
      <c r="I32" s="2">
        <f>I31/I33</f>
        <v>4.3410621013647406</v>
      </c>
      <c r="J32" s="2"/>
      <c r="K32" s="2">
        <f>K31/K33</f>
        <v>1.1497948268479574</v>
      </c>
      <c r="L32" s="2">
        <f>L31/L33</f>
        <v>4.3410621013647406</v>
      </c>
      <c r="M32" s="2"/>
      <c r="N32" s="2">
        <f>N31/N33</f>
        <v>1.3605194968085805</v>
      </c>
      <c r="O32" s="2">
        <f>O31/O33</f>
        <v>2.3932490532982715</v>
      </c>
      <c r="P32" s="2"/>
    </row>
    <row r="33" spans="1:16" ht="14.45" x14ac:dyDescent="0.35">
      <c r="A33" t="s">
        <v>37</v>
      </c>
      <c r="B33" s="2">
        <v>1.1000000000000001</v>
      </c>
      <c r="C33" s="2">
        <v>1.1000000000000001</v>
      </c>
      <c r="D33" s="2"/>
      <c r="E33" s="2">
        <v>1.1000000000000001</v>
      </c>
      <c r="F33" s="2">
        <v>1.1000000000000001</v>
      </c>
      <c r="G33" s="2"/>
      <c r="H33" s="2">
        <v>1.1000000000000001</v>
      </c>
      <c r="I33" s="2">
        <v>1.1000000000000001</v>
      </c>
      <c r="J33" s="2"/>
      <c r="K33" s="2">
        <v>1.1000000000000001</v>
      </c>
      <c r="L33" s="2">
        <v>1.1000000000000001</v>
      </c>
      <c r="M33" s="2"/>
      <c r="N33" s="2">
        <v>1.1000000000000001</v>
      </c>
      <c r="O33" s="2">
        <v>1.1000000000000001</v>
      </c>
      <c r="P33" s="2"/>
    </row>
    <row r="34" spans="1:16" ht="14.45" x14ac:dyDescent="0.35">
      <c r="A34" t="s">
        <v>36</v>
      </c>
      <c r="B34" s="2">
        <f>0.0107*(1+0.25*B33^3)*B31/SIN(B30*PI()/180)</f>
        <v>2.2492379215250966E-2</v>
      </c>
      <c r="C34" s="2">
        <f>0.0107*(1+0.25*C33^3)*C31/SIN(C30*PI()/180)</f>
        <v>8.3683333644314906E-2</v>
      </c>
      <c r="D34" s="2"/>
      <c r="E34" s="2">
        <f>0.0107*(1+0.25*E33^3)*E31/SIN(E30*PI()/180)</f>
        <v>2.2164774857142848E-2</v>
      </c>
      <c r="F34" s="2">
        <f>0.0107*(1+0.25*F33^3)*F31/SIN(F30*PI()/180)</f>
        <v>8.3683333644314906E-2</v>
      </c>
      <c r="G34" s="2"/>
      <c r="H34" s="2">
        <f>0.0107*(1+0.25*H33^3)*H31/SIN(H30*PI()/180)</f>
        <v>2.2164774857142848E-2</v>
      </c>
      <c r="I34" s="2">
        <f>0.0107*(1+0.25*I33^3)*I31/SIN(I30*PI()/180)</f>
        <v>8.3683333644314906E-2</v>
      </c>
      <c r="J34" s="2"/>
      <c r="K34" s="2">
        <f>0.0107*(1+0.25*K33^3)*K31/SIN(K30*PI()/180)</f>
        <v>2.2164774857142848E-2</v>
      </c>
      <c r="L34" s="2">
        <f>0.0107*(1+0.25*L33^3)*L31/SIN(L30*PI()/180)</f>
        <v>8.3683333644314906E-2</v>
      </c>
      <c r="M34" s="2"/>
      <c r="N34" s="2">
        <f>0.0107*(1+0.25*N33^3)*N31/SIN(N30*PI()/180)</f>
        <v>2.2417126688922255E-2</v>
      </c>
      <c r="O34" s="2">
        <f>0.0107*(1+0.25*O33^3)*O31/SIN(O30*PI()/180)</f>
        <v>4.3238606413994199E-2</v>
      </c>
      <c r="P34" s="2"/>
    </row>
    <row r="35" spans="1:16" ht="14.45" x14ac:dyDescent="0.35">
      <c r="A35" t="s">
        <v>24</v>
      </c>
      <c r="B35" s="2"/>
      <c r="C35" s="2"/>
      <c r="D35" s="2">
        <f>'thermodynamics properties'!D9</f>
        <v>105592.14395778815</v>
      </c>
      <c r="E35" s="2"/>
      <c r="F35" s="2"/>
      <c r="G35" s="2">
        <f>'thermodynamics properties'!G9</f>
        <v>106488.88850123898</v>
      </c>
      <c r="H35" s="2"/>
      <c r="I35" s="2"/>
      <c r="J35" s="2">
        <f>'thermodynamics properties'!J9</f>
        <v>107389.42477637462</v>
      </c>
      <c r="K35" s="2"/>
      <c r="L35" s="2"/>
      <c r="M35" s="2">
        <f>'thermodynamics properties'!M9</f>
        <v>108293.75278319496</v>
      </c>
      <c r="N35" s="2"/>
      <c r="O35" s="2"/>
      <c r="P35" s="2">
        <f>'thermodynamics properties'!P9</f>
        <v>51389.116480800039</v>
      </c>
    </row>
    <row r="36" spans="1:16" ht="14.45" x14ac:dyDescent="0.35">
      <c r="A36" t="s">
        <v>43</v>
      </c>
      <c r="B36" s="1">
        <f>B34*(C3^2/2/D35)+C34*(D4^2/2/D35)</f>
        <v>7.2215098819925438E-2</v>
      </c>
      <c r="C36" s="1"/>
      <c r="D36" s="1"/>
      <c r="E36" s="1">
        <f>E34*(F3^2/2/G35)+F34*(G4^2/2/G35)</f>
        <v>7.1992279679300358E-2</v>
      </c>
      <c r="F36" s="1"/>
      <c r="G36" s="1"/>
      <c r="H36" s="1">
        <f>H34*(I3^2/2/J35)+I34*(J4^2/2/J35)</f>
        <v>7.1992279679300303E-2</v>
      </c>
      <c r="I36" s="1"/>
      <c r="J36" s="1"/>
      <c r="K36" s="1">
        <f>K34*(L3^2/2/M35)+L34*(M4^2/2/M35)</f>
        <v>7.1992279679300317E-2</v>
      </c>
      <c r="L36" s="1"/>
      <c r="M36" s="1"/>
      <c r="N36" s="1">
        <f>N34*(O3^2/2/P35)+O34*(P4^2/2/P35)</f>
        <v>5.609804794708341E-2</v>
      </c>
      <c r="O36" s="2"/>
      <c r="P36" s="2"/>
    </row>
    <row r="38" spans="1:16" ht="14.45" x14ac:dyDescent="0.35">
      <c r="A38" t="s">
        <v>33</v>
      </c>
    </row>
    <row r="39" spans="1:16" x14ac:dyDescent="0.25">
      <c r="A39" t="s">
        <v>47</v>
      </c>
      <c r="B39">
        <v>1.2</v>
      </c>
      <c r="C39">
        <v>1.2</v>
      </c>
      <c r="E39">
        <v>1.2</v>
      </c>
      <c r="F39">
        <v>1.2</v>
      </c>
      <c r="H39">
        <v>3</v>
      </c>
      <c r="I39">
        <v>3</v>
      </c>
      <c r="K39">
        <v>3</v>
      </c>
      <c r="L39">
        <v>3</v>
      </c>
      <c r="N39">
        <v>3</v>
      </c>
      <c r="O39">
        <v>3</v>
      </c>
    </row>
    <row r="40" spans="1:16" x14ac:dyDescent="0.25">
      <c r="A40" t="s">
        <v>51</v>
      </c>
      <c r="B40" s="2">
        <f>'thermodynamics properties'!B3</f>
        <v>2.4887800432526515</v>
      </c>
      <c r="C40" s="2">
        <f>'thermodynamics properties'!C3</f>
        <v>2.1419720814527676</v>
      </c>
      <c r="D40" s="2">
        <f>'thermodynamics properties'!D3</f>
        <v>1.8344589476365543</v>
      </c>
      <c r="E40" s="2">
        <f>'thermodynamics properties'!E3</f>
        <v>1.8344589476365543</v>
      </c>
      <c r="F40" s="2">
        <f>'thermodynamics properties'!F3</f>
        <v>1.5702306028085069</v>
      </c>
      <c r="G40" s="2">
        <f>'thermodynamics properties'!G3</f>
        <v>1.3269413697305115</v>
      </c>
      <c r="H40" s="2">
        <f>'thermodynamics properties'!H3</f>
        <v>1.3269413697305115</v>
      </c>
      <c r="I40" s="2">
        <f>'thermodynamics properties'!I3</f>
        <v>1.1179624387501625</v>
      </c>
      <c r="J40" s="2">
        <f>'thermodynamics properties'!J3</f>
        <v>0.94558637232087606</v>
      </c>
      <c r="K40" s="2">
        <f>'thermodynamics properties'!K3</f>
        <v>0.94558637232087606</v>
      </c>
      <c r="L40" s="2">
        <f>'thermodynamics properties'!L3</f>
        <v>0.78147902774631306</v>
      </c>
      <c r="M40" s="2">
        <f>'thermodynamics properties'!M3</f>
        <v>0.64888768496356986</v>
      </c>
      <c r="N40" s="2">
        <f>'thermodynamics properties'!N3</f>
        <v>0.64888768496356986</v>
      </c>
      <c r="O40" s="2">
        <f>'thermodynamics properties'!O3</f>
        <v>0.59271114260030944</v>
      </c>
      <c r="P40" s="2">
        <f>'thermodynamics properties'!P3</f>
        <v>0.51205424151964818</v>
      </c>
    </row>
    <row r="41" spans="1:16" ht="14.45" x14ac:dyDescent="0.35">
      <c r="A41" t="s">
        <v>10</v>
      </c>
      <c r="B41" s="2">
        <f>'thermodynamics properties'!B4</f>
        <v>1222.7</v>
      </c>
      <c r="C41" s="2">
        <f>'thermodynamics properties'!C4</f>
        <v>1173.396433090011</v>
      </c>
      <c r="D41" s="2">
        <f>'thermodynamics properties'!D4</f>
        <v>1127.4068233522985</v>
      </c>
      <c r="E41" s="2">
        <f>'thermodynamics properties'!E4</f>
        <v>1127.4068233522985</v>
      </c>
      <c r="F41" s="2">
        <f>'thermodynamics properties'!F4</f>
        <v>1080.8859260155054</v>
      </c>
      <c r="G41" s="2">
        <f>'thermodynamics properties'!G4</f>
        <v>1034.5057480968474</v>
      </c>
      <c r="H41" s="2">
        <f>'thermodynamics properties'!H4</f>
        <v>1034.5057480968474</v>
      </c>
      <c r="I41" s="2">
        <f>'thermodynamics properties'!I4</f>
        <v>987.59203611991632</v>
      </c>
      <c r="J41" s="2">
        <f>'thermodynamics properties'!J4</f>
        <v>940.81963856923051</v>
      </c>
      <c r="K41" s="2">
        <f>'thermodynamics properties'!K4</f>
        <v>940.81963856923051</v>
      </c>
      <c r="L41" s="2">
        <f>'thermodynamics properties'!L4</f>
        <v>893.511460501079</v>
      </c>
      <c r="M41" s="2">
        <f>'thermodynamics properties'!M4</f>
        <v>846.34519186728335</v>
      </c>
      <c r="N41" s="2">
        <f>'thermodynamics properties'!N4</f>
        <v>846.34519186728335</v>
      </c>
      <c r="O41" s="2">
        <f>'thermodynamics properties'!O4</f>
        <v>831.72431864279724</v>
      </c>
      <c r="P41" s="2">
        <f>'thermodynamics properties'!P4</f>
        <v>804.86589539499232</v>
      </c>
    </row>
    <row r="42" spans="1:16" ht="14.45" x14ac:dyDescent="0.35">
      <c r="A42" t="s">
        <v>54</v>
      </c>
      <c r="B42" s="2">
        <f>AVERAGE(B41:C41)</f>
        <v>1198.0482165450055</v>
      </c>
      <c r="C42" s="2">
        <f>AVERAGE(C41:D41)</f>
        <v>1150.4016282211546</v>
      </c>
      <c r="D42" s="2"/>
      <c r="E42" s="2">
        <f>AVERAGE(E41:F41)</f>
        <v>1104.146374683902</v>
      </c>
      <c r="F42" s="2">
        <f>AVERAGE(F41:G41)</f>
        <v>1057.6958370561765</v>
      </c>
      <c r="G42" s="2"/>
      <c r="H42" s="2">
        <f>AVERAGE(H41:I41)</f>
        <v>1011.0488921083818</v>
      </c>
      <c r="I42" s="2">
        <f>AVERAGE(I41:J41)</f>
        <v>964.20583734457341</v>
      </c>
      <c r="J42" s="2"/>
      <c r="K42" s="2">
        <f>AVERAGE(K41:L41)</f>
        <v>917.1655495351547</v>
      </c>
      <c r="L42" s="2">
        <f>AVERAGE(L41:M41)</f>
        <v>869.92832618418117</v>
      </c>
      <c r="M42" s="2"/>
      <c r="N42" s="2">
        <f>AVERAGE(N41:O41)</f>
        <v>839.0347552550403</v>
      </c>
      <c r="O42" s="2">
        <f>AVERAGE(O41:P41)</f>
        <v>818.29510701889478</v>
      </c>
      <c r="P42" s="2"/>
    </row>
    <row r="43" spans="1:16" x14ac:dyDescent="0.25">
      <c r="A43" t="s">
        <v>53</v>
      </c>
      <c r="B43" s="2">
        <v>4.6260000000000001E-5</v>
      </c>
      <c r="C43" s="2">
        <v>4.511E-5</v>
      </c>
      <c r="D43" s="2"/>
      <c r="E43" s="2">
        <v>4.511E-5</v>
      </c>
      <c r="F43" s="2">
        <v>4.2759999999999997E-5</v>
      </c>
      <c r="G43" s="2"/>
      <c r="H43" s="2">
        <v>4.1529999999999997E-5</v>
      </c>
      <c r="I43" s="2">
        <v>4.1499999999999999E-5</v>
      </c>
      <c r="J43" s="2"/>
      <c r="K43" s="2">
        <v>4.0259999999999997E-5</v>
      </c>
      <c r="L43" s="2">
        <v>3.8970000000000001E-5</v>
      </c>
      <c r="M43" s="2"/>
      <c r="N43" s="2">
        <v>3.7629999999999997E-5</v>
      </c>
      <c r="O43" s="2">
        <v>3.7629999999999997E-5</v>
      </c>
      <c r="P43" s="2"/>
    </row>
    <row r="44" spans="1:16" x14ac:dyDescent="0.25">
      <c r="A44" t="s">
        <v>52</v>
      </c>
      <c r="B44" s="2">
        <f>B26</f>
        <v>9.4083859930055233E-2</v>
      </c>
      <c r="C44" s="2">
        <f>C26</f>
        <v>0.10960631183705388</v>
      </c>
      <c r="D44" s="2"/>
      <c r="E44" s="2">
        <f>E26</f>
        <v>0.12693965414423294</v>
      </c>
      <c r="F44" s="2">
        <f>F26</f>
        <v>0.14078652631849639</v>
      </c>
      <c r="G44" s="2"/>
      <c r="H44" s="2">
        <f>H26</f>
        <v>7.0206419895488273E-2</v>
      </c>
      <c r="I44" s="2">
        <f>I26</f>
        <v>8.315346019665297E-2</v>
      </c>
      <c r="J44" s="2"/>
      <c r="K44" s="2">
        <f>K26</f>
        <v>9.872845947352292E-2</v>
      </c>
      <c r="L44" s="2">
        <f>L26</f>
        <v>0.1191551024112253</v>
      </c>
      <c r="M44" s="2"/>
      <c r="N44" s="2">
        <f>N26</f>
        <v>0.13523655452781003</v>
      </c>
      <c r="O44" s="2">
        <f>O26</f>
        <v>0.15248826590862283</v>
      </c>
      <c r="P44" s="2"/>
    </row>
    <row r="45" spans="1:16" ht="14.45" x14ac:dyDescent="0.35">
      <c r="A45" t="s">
        <v>46</v>
      </c>
      <c r="B45" s="2">
        <f>C3*B40*B44/B43</f>
        <v>1918351.6849217962</v>
      </c>
      <c r="C45" s="2">
        <f>D4*C40*C44/C43</f>
        <v>1972462.5086271106</v>
      </c>
      <c r="D45" s="2"/>
      <c r="E45" s="2">
        <f>F3*E40*E44/E43</f>
        <v>1964721.6824719647</v>
      </c>
      <c r="F45" s="2">
        <f>G4*F40*F44/F43</f>
        <v>1967684.1678673746</v>
      </c>
      <c r="G45" s="2"/>
      <c r="H45" s="2">
        <f>I3*H40*H44/H43</f>
        <v>857361.14629208983</v>
      </c>
      <c r="I45" s="2">
        <f>J4*I40*I44/I43</f>
        <v>856163.30402949499</v>
      </c>
      <c r="J45" s="2"/>
      <c r="K45" s="2">
        <f>L3*K40*K44/K43</f>
        <v>889995.6961288749</v>
      </c>
      <c r="L45" s="2">
        <f>M4*L40*L44/L43</f>
        <v>917102.07898687664</v>
      </c>
      <c r="M45" s="2"/>
      <c r="N45" s="2">
        <f>O3*N40*N44/N43</f>
        <v>628288.65089075954</v>
      </c>
      <c r="O45" s="2">
        <f>P4*O40*O44/O43</f>
        <v>743068.78091453633</v>
      </c>
      <c r="P45" s="2"/>
    </row>
    <row r="46" spans="1:16" ht="14.45" x14ac:dyDescent="0.35">
      <c r="A46" t="s">
        <v>44</v>
      </c>
      <c r="B46" s="2">
        <f>2*(0.074/B45^0.2)*(3.06+0.444*(B31)^2*SIN(B30*PI()/180)/SIN(C6*PI()/180)^2)/B39</f>
        <v>3.4186025925830275E-2</v>
      </c>
      <c r="C46" s="2">
        <f>2*(0.074/C45^0.2)*(3.06+0.444*(C31)^2*SIN(C30*PI()/180)/SIN(D6*PI()/180)^2)/C39</f>
        <v>9.0744410193742284E-2</v>
      </c>
      <c r="D46" s="2"/>
      <c r="E46" s="2">
        <f>2*(0.074/E45^0.2)*(3.06+0.444*(E31)^2*SIN(E30*PI()/180)/SIN(F6*PI()/180)^2)/E39</f>
        <v>3.9347485069340507E-2</v>
      </c>
      <c r="F46" s="2">
        <f>2*(0.074/F45^0.2)*(3.06+0.444*(F31)^2*SIN(F30*PI()/180)/SIN(G6*PI()/180)^2)/F39</f>
        <v>9.0788440342790391E-2</v>
      </c>
      <c r="G46" s="2"/>
      <c r="H46" s="2">
        <f>2*(0.074/H45^0.2)*(3.06+0.444*(H31)^2*SIN(H30*PI()/180)/SIN(I6*PI()/180)^2)/H39</f>
        <v>1.8578233564773595E-2</v>
      </c>
      <c r="I46" s="2">
        <f>2*(0.074/I45^0.2)*(3.06+0.444*(I31)^2*SIN(I30*PI()/180)/SIN(J6*PI()/180)^2)/I39</f>
        <v>4.2891407996669045E-2</v>
      </c>
      <c r="J46" s="2"/>
      <c r="K46" s="2">
        <f>2*(0.074/K45^0.2)*(3.06+0.444*(K31)^2*SIN(K30*PI()/180)/SIN(L6*PI()/180)^2)/K39</f>
        <v>1.8439943960451691E-2</v>
      </c>
      <c r="L46" s="2">
        <f>2*(0.074/L45^0.2)*(3.06+0.444*(L31)^2*SIN(L30*PI()/180)/SIN(M6*PI()/180)^2)/L39</f>
        <v>4.2305622460972796E-2</v>
      </c>
      <c r="M46" s="2"/>
      <c r="N46" s="2">
        <f>2*(0.074/N45^0.2)*(3.06+0.444*(N31)^2*SIN(N30*PI()/180)/SIN(O6*PI()/180)^2)/N39</f>
        <v>1.7910676706657584E-2</v>
      </c>
      <c r="O46" s="2">
        <f>2*(0.074/O45^0.2)*(3.06+0.444*(O31)^2*SIN(O30*PI()/180)/SIN(P6*PI()/180)^2)/O39</f>
        <v>1.8932897547051113E-2</v>
      </c>
      <c r="P46" s="2"/>
    </row>
    <row r="47" spans="1:16" ht="14.45" x14ac:dyDescent="0.35">
      <c r="A47" t="s">
        <v>45</v>
      </c>
      <c r="B47" s="1">
        <f>B46*C3^2/2/D35+C46*D4^2/2/D35</f>
        <v>8.4971068684268236E-2</v>
      </c>
      <c r="C47" s="1"/>
      <c r="D47" s="1"/>
      <c r="E47" s="1">
        <f>E46*F3^2/2/G35+F46*G4^2/2/G35</f>
        <v>8.8511566916339102E-2</v>
      </c>
      <c r="F47" s="1"/>
      <c r="G47" s="1"/>
      <c r="H47" s="1">
        <f>H46*I3^2/2/J35+I46*J4^2/2/J35</f>
        <v>4.1808395914951793E-2</v>
      </c>
      <c r="I47" s="1"/>
      <c r="J47" s="1"/>
      <c r="K47" s="1">
        <f>K46*L3^2/2/M35+L46*M4^2/2/M35</f>
        <v>4.1315918338101207E-2</v>
      </c>
      <c r="L47" s="1"/>
      <c r="M47" s="1"/>
      <c r="N47" s="1">
        <f>N46*O3^2/2/P35+O46*P4^2/2/P35</f>
        <v>3.0280676264768248E-2</v>
      </c>
      <c r="O47" s="2"/>
      <c r="P47" s="2"/>
    </row>
    <row r="49" spans="1:15" x14ac:dyDescent="0.25">
      <c r="A49" t="s">
        <v>34</v>
      </c>
      <c r="N49" t="s">
        <v>55</v>
      </c>
    </row>
    <row r="50" spans="1:15" x14ac:dyDescent="0.25">
      <c r="N50">
        <f>P3^2/2/P35</f>
        <v>0.30624999999999986</v>
      </c>
    </row>
    <row r="51" spans="1:15" x14ac:dyDescent="0.25">
      <c r="A51" t="s">
        <v>35</v>
      </c>
    </row>
    <row r="52" spans="1:15" x14ac:dyDescent="0.25">
      <c r="A52" t="s">
        <v>57</v>
      </c>
      <c r="B52">
        <v>0.9</v>
      </c>
      <c r="C52">
        <v>0.9</v>
      </c>
      <c r="E52">
        <v>0.9</v>
      </c>
      <c r="F52">
        <v>0.9</v>
      </c>
      <c r="H52">
        <v>0.9</v>
      </c>
      <c r="I52">
        <v>0.9</v>
      </c>
      <c r="K52">
        <v>0.9</v>
      </c>
      <c r="L52">
        <v>0.9</v>
      </c>
      <c r="N52">
        <v>0.9</v>
      </c>
      <c r="O52">
        <v>0.9</v>
      </c>
    </row>
    <row r="53" spans="1:15" x14ac:dyDescent="0.25">
      <c r="A53" t="s">
        <v>58</v>
      </c>
      <c r="B53">
        <v>5</v>
      </c>
      <c r="C53">
        <v>5</v>
      </c>
      <c r="E53">
        <v>5</v>
      </c>
      <c r="F53">
        <v>5</v>
      </c>
      <c r="H53">
        <v>5</v>
      </c>
      <c r="I53">
        <v>5</v>
      </c>
      <c r="K53">
        <v>5</v>
      </c>
      <c r="L53">
        <v>5</v>
      </c>
      <c r="N53">
        <v>5</v>
      </c>
      <c r="O53">
        <v>5</v>
      </c>
    </row>
    <row r="54" spans="1:15" x14ac:dyDescent="0.25">
      <c r="A54" t="s">
        <v>59</v>
      </c>
    </row>
    <row r="55" spans="1:15" x14ac:dyDescent="0.25">
      <c r="A55" t="s">
        <v>60</v>
      </c>
      <c r="B55" s="1">
        <v>1E-3</v>
      </c>
      <c r="C55" s="1">
        <v>1E-3</v>
      </c>
      <c r="D55" s="1"/>
      <c r="E55" s="1">
        <v>1E-3</v>
      </c>
      <c r="F55" s="1">
        <v>1E-3</v>
      </c>
      <c r="G55" s="1"/>
      <c r="H55" s="1">
        <v>1E-3</v>
      </c>
      <c r="I55" s="1">
        <v>1E-3</v>
      </c>
      <c r="J55" s="1"/>
      <c r="K55" s="1">
        <v>1E-3</v>
      </c>
      <c r="L55" s="1">
        <v>1E-3</v>
      </c>
      <c r="M55" s="1"/>
      <c r="N55" s="1">
        <v>1E-3</v>
      </c>
      <c r="O55" s="1">
        <v>1E-3</v>
      </c>
    </row>
    <row r="56" spans="1:15" x14ac:dyDescent="0.25">
      <c r="A56" t="s">
        <v>56</v>
      </c>
      <c r="B56" s="1">
        <f>B52*B55/B11*SQRT(2*(1-B17)*B18/B53/B19^2)</f>
        <v>7.1778650390427754E-3</v>
      </c>
      <c r="C56" s="1">
        <f>C52*C55/C11*SQRT(2*C17*C18/C53/C19^2)</f>
        <v>6.1776397475334123E-3</v>
      </c>
      <c r="D56" s="1"/>
      <c r="E56" s="1">
        <f>E52*E55/E11*SQRT(2*(1-E17)*E18/E53/E19^2)</f>
        <v>5.3356760761312646E-3</v>
      </c>
      <c r="F56" s="1">
        <f>F52*F55/F11*SQRT(2*F17*F18/F53/F19^2)</f>
        <v>4.5671460090228391E-3</v>
      </c>
      <c r="G56" s="1"/>
      <c r="H56" s="1">
        <f>H52*H55/H11*SQRT(2*(1-H17)*H18/H53/H19^2)</f>
        <v>3.892157579942517E-3</v>
      </c>
      <c r="I56" s="1">
        <f>I52*I55/I11*SQRT(2*I17*I18/I53/I19^2)</f>
        <v>3.2791848075067317E-3</v>
      </c>
      <c r="J56" s="1"/>
      <c r="K56" s="1">
        <f>K52*K55/K11*SQRT(2*(1-K17)*K18/K53/K19^2)</f>
        <v>2.7969311332745744E-3</v>
      </c>
      <c r="L56" s="1">
        <f>L52*L55/L11*SQRT(2*L17*L18/L53/L19^2)</f>
        <v>2.311521281065054E-3</v>
      </c>
      <c r="M56" s="1"/>
      <c r="N56" s="1">
        <f>N52*N55/N11*SQRT(2*(1-N17)*N18/N53/N19^2)</f>
        <v>1.1875237616050616E-3</v>
      </c>
      <c r="O56" s="1">
        <f>O52*O55/O11*SQRT(2*O17*O18/O53/O19^2)</f>
        <v>1.3284998134296989E-3</v>
      </c>
    </row>
    <row r="57" spans="1:15" x14ac:dyDescent="0.25">
      <c r="A57" t="s">
        <v>61</v>
      </c>
      <c r="B57" s="1">
        <f>B56*B19^2/B18/SIN(C6*PI()/180)^2+C56*B19^2/B18/SIN(D7*PI()/180)^2</f>
        <v>1.8167414599386731E-2</v>
      </c>
      <c r="C57" s="1"/>
      <c r="D57" s="1"/>
      <c r="E57" s="1">
        <f>E56*E19^2/E18/SIN(F6*PI()/180)^2+F56*E19^2/E18/SIN(G7*PI()/180)^2</f>
        <v>1.3470750630540512E-2</v>
      </c>
      <c r="F57" s="1"/>
      <c r="G57" s="1"/>
      <c r="H57" s="1">
        <f>H56*H19^2/H18/SIN(I6*PI()/180)^2+I56*H19^2/H18/SIN(J7*PI()/180)^2</f>
        <v>9.7551348652802315E-3</v>
      </c>
      <c r="I57" s="1"/>
      <c r="J57" s="1"/>
      <c r="K57" s="1">
        <f>K56*K19^2/K18/SIN(L6*PI()/180)^2+L56*K19^2/K18/SIN(M7*PI()/180)^2</f>
        <v>6.9489977695061144E-3</v>
      </c>
      <c r="L57" s="1"/>
      <c r="M57" s="1"/>
      <c r="N57" s="1">
        <f>N56*N19^2/N18/SIN(O6*PI()/180)^2+O56*N19^2/N18/SIN(P7*PI()/180)^2</f>
        <v>4.151708215779963E-3</v>
      </c>
      <c r="O57" s="1"/>
    </row>
    <row r="58" spans="1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t="s">
        <v>66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t="s">
        <v>70</v>
      </c>
      <c r="B60" s="1">
        <f>0.05*B26</f>
        <v>4.7041929965027617E-3</v>
      </c>
      <c r="C60" s="1">
        <f>0.05*C26</f>
        <v>5.4803155918526948E-3</v>
      </c>
      <c r="D60" s="1"/>
      <c r="E60" s="1">
        <f>0.05*E26</f>
        <v>6.3469827072116479E-3</v>
      </c>
      <c r="F60" s="1">
        <f>0.05*F26</f>
        <v>7.0393263159248196E-3</v>
      </c>
      <c r="G60" s="1"/>
      <c r="H60" s="1">
        <f>0.05*H26</f>
        <v>3.5103209947744138E-3</v>
      </c>
      <c r="I60" s="1">
        <f>0.05*I26</f>
        <v>4.1576730098326483E-3</v>
      </c>
      <c r="J60" s="1"/>
      <c r="K60" s="1">
        <f>0.05*K26</f>
        <v>4.936422973676146E-3</v>
      </c>
      <c r="L60" s="1">
        <f>0.05*L26</f>
        <v>5.9577551205612653E-3</v>
      </c>
      <c r="M60" s="1"/>
      <c r="N60" s="1">
        <f>0.05*N26</f>
        <v>6.7618277263905013E-3</v>
      </c>
      <c r="O60" s="1">
        <f>0.05*O26</f>
        <v>7.6244132954311414E-3</v>
      </c>
    </row>
    <row r="61" spans="1:15" x14ac:dyDescent="0.25">
      <c r="A61" t="s">
        <v>69</v>
      </c>
      <c r="B61" s="1">
        <f>B60/B27/SIN(C6*PI()/180)</f>
        <v>0.1194828354165722</v>
      </c>
      <c r="C61" s="1">
        <f>C60/C27/SIN(C7*PI()/180)</f>
        <v>6.1491869381244235E-2</v>
      </c>
      <c r="D61" s="1"/>
      <c r="E61" s="1">
        <f>E60/E27/SIN(F6*PI()/180)</f>
        <v>0.11948283541657222</v>
      </c>
      <c r="F61" s="1">
        <f>F60/F27/SIN(F7*PI()/180)</f>
        <v>6.1491869381244228E-2</v>
      </c>
      <c r="G61" s="1"/>
      <c r="H61" s="1">
        <f>H60/H27/SIN(I6*PI()/180)</f>
        <v>0.11948283541657222</v>
      </c>
      <c r="I61" s="1">
        <f>I60/I27/SIN(I7*PI()/180)</f>
        <v>6.1491869381244228E-2</v>
      </c>
      <c r="J61" s="1"/>
      <c r="K61" s="1">
        <f>K60/K27/SIN(L6*PI()/180)</f>
        <v>0.11948283541657222</v>
      </c>
      <c r="L61" s="1">
        <f>L60/L27/SIN(L7*PI()/180)</f>
        <v>6.1491869381244221E-2</v>
      </c>
      <c r="M61" s="1"/>
      <c r="N61" s="1">
        <f>N60/N27/SIN(O6*PI()/180)</f>
        <v>8.3522574242915107E-2</v>
      </c>
      <c r="O61" s="1">
        <f>O60/O27/SIN(O7*PI()/180)</f>
        <v>5.7200863415775495E-2</v>
      </c>
    </row>
    <row r="62" spans="1:15" x14ac:dyDescent="0.25">
      <c r="A62" t="s">
        <v>72</v>
      </c>
      <c r="B62" s="1">
        <f>1.5*B63</f>
        <v>6.7628541030661264E-3</v>
      </c>
      <c r="C62" s="1">
        <f>1.5*C63</f>
        <v>6.7253348510026819E-3</v>
      </c>
      <c r="D62" s="1"/>
      <c r="E62" s="1">
        <f>1.5*E63</f>
        <v>6.7306259614605974E-3</v>
      </c>
      <c r="F62" s="1">
        <f>1.5*F63</f>
        <v>6.7285980547113818E-3</v>
      </c>
      <c r="G62" s="1"/>
      <c r="H62" s="1">
        <f>1.5*H63</f>
        <v>7.9447988180683781E-3</v>
      </c>
      <c r="I62" s="1">
        <f>1.5*I63</f>
        <v>7.9470206592533853E-3</v>
      </c>
      <c r="J62" s="1"/>
      <c r="K62" s="1">
        <f>1.5*K63</f>
        <v>7.8856606292229646E-3</v>
      </c>
      <c r="L62" s="1">
        <f>1.5*L63</f>
        <v>7.8384849414604076E-3</v>
      </c>
      <c r="M62" s="1"/>
      <c r="N62" s="1">
        <f>1.5*N63</f>
        <v>8.4544200386889728E-3</v>
      </c>
      <c r="O62" s="1">
        <f>1.5*O63</f>
        <v>8.1754160042245005E-3</v>
      </c>
    </row>
    <row r="63" spans="1:15" x14ac:dyDescent="0.25">
      <c r="A63" t="s">
        <v>71</v>
      </c>
      <c r="B63" s="1">
        <f>B26*B45^(-0.2)/B27*0.074</f>
        <v>4.5085694020440843E-3</v>
      </c>
      <c r="C63" s="1">
        <f>C26*C45^(-0.2)/C27*0.074</f>
        <v>4.4835565673351212E-3</v>
      </c>
      <c r="D63" s="1"/>
      <c r="E63" s="1">
        <f>E26*E45^(-0.2)/E27*0.074</f>
        <v>4.4870839743070649E-3</v>
      </c>
      <c r="F63" s="1">
        <f>F26*F45^(-0.2)/F27*0.074</f>
        <v>4.4857320364742543E-3</v>
      </c>
      <c r="G63" s="1"/>
      <c r="H63" s="1">
        <f>H26*H45^(-0.2)/H27*0.074</f>
        <v>5.2965325453789187E-3</v>
      </c>
      <c r="I63" s="1">
        <f>I26*I45^(-0.2)/I27*0.074</f>
        <v>5.2980137728355905E-3</v>
      </c>
      <c r="J63" s="1"/>
      <c r="K63" s="1">
        <f>K26*K45^(-0.2)/K27*0.074</f>
        <v>5.2571070861486425E-3</v>
      </c>
      <c r="L63" s="1">
        <f>L26*L45^(-0.2)/L27*0.074</f>
        <v>5.2256566276402718E-3</v>
      </c>
      <c r="M63" s="1"/>
      <c r="N63" s="1">
        <f>N26*N45^(-0.2)/N27*0.074</f>
        <v>5.636280025792648E-3</v>
      </c>
      <c r="O63" s="1">
        <f>O26*O45^(-0.2)/O27*0.074</f>
        <v>5.450277336149667E-3</v>
      </c>
    </row>
    <row r="64" spans="1:15" x14ac:dyDescent="0.25">
      <c r="A64" t="s">
        <v>67</v>
      </c>
      <c r="B64" s="1">
        <f>1-B61-B62</f>
        <v>0.87375431048036167</v>
      </c>
      <c r="C64" s="1">
        <f>1-C61-C62</f>
        <v>0.93178279576775302</v>
      </c>
      <c r="D64" s="1"/>
      <c r="E64" s="1">
        <f>1-E61-E62</f>
        <v>0.8737865386219672</v>
      </c>
      <c r="F64" s="1">
        <f>1-F61-F62</f>
        <v>0.93177953256404444</v>
      </c>
      <c r="G64" s="1"/>
      <c r="H64" s="1">
        <f>1-H61-H62</f>
        <v>0.87257236576535935</v>
      </c>
      <c r="I64" s="1">
        <f>1-I61-I62</f>
        <v>0.93056110995950247</v>
      </c>
      <c r="J64" s="1"/>
      <c r="K64" s="1">
        <f>1-K61-K62</f>
        <v>0.87263150395420486</v>
      </c>
      <c r="L64" s="1">
        <f>1-L61-L62</f>
        <v>0.93066964567729538</v>
      </c>
      <c r="M64" s="1"/>
      <c r="N64" s="1">
        <f>1-N61-N62</f>
        <v>0.90802300571839589</v>
      </c>
      <c r="O64" s="1">
        <f>1-O61-O62</f>
        <v>0.93462372058000009</v>
      </c>
    </row>
    <row r="65" spans="1:15" x14ac:dyDescent="0.25">
      <c r="A65" t="s">
        <v>68</v>
      </c>
      <c r="B65" s="1">
        <f>1-B61-B62-B63</f>
        <v>0.86924574107831754</v>
      </c>
      <c r="C65" s="1">
        <f>1-C61-C62-C63</f>
        <v>0.9272992392004179</v>
      </c>
      <c r="D65" s="1"/>
      <c r="E65" s="1">
        <f>1-E61-E62-E63</f>
        <v>0.86929945464766012</v>
      </c>
      <c r="F65" s="1">
        <f>1-F61-F62-F63</f>
        <v>0.92729380052757016</v>
      </c>
      <c r="G65" s="1"/>
      <c r="H65" s="1">
        <f>1-H61-H62-H63</f>
        <v>0.86727583321998047</v>
      </c>
      <c r="I65" s="1">
        <f>1-I61-I62-I63</f>
        <v>0.92526309618666691</v>
      </c>
      <c r="J65" s="1"/>
      <c r="K65" s="1">
        <f>1-K61-K62-K63</f>
        <v>0.86737439686805617</v>
      </c>
      <c r="L65" s="1">
        <f>1-L61-L62-L63</f>
        <v>0.92544398904965508</v>
      </c>
      <c r="M65" s="1"/>
      <c r="N65" s="1">
        <f>1-N61-N62-N63</f>
        <v>0.90238672569260325</v>
      </c>
      <c r="O65" s="1">
        <f>1-O61-O62-O63</f>
        <v>0.92917344324385043</v>
      </c>
    </row>
    <row r="66" spans="1:15" x14ac:dyDescent="0.25">
      <c r="A66" t="s">
        <v>73</v>
      </c>
      <c r="B66" s="1">
        <f>(B64^2-2*B64+1)/B64^2-(COS(C6*PI()/180)^2)*((2*B64^2-2*B64+1)/B64^2-B64^2/B65^2)</f>
        <v>1.2620186074375053E-2</v>
      </c>
      <c r="C66" s="1">
        <f>(C64^2-2*C64+1)/C64^2-(COS(D7*PI()/180)^2)*((2*C64^2-2*C64+1)/C64^2-C64^2/C65^2)</f>
        <v>8.7752637556273456E-3</v>
      </c>
      <c r="D66" s="1"/>
      <c r="E66" s="1">
        <f>(E64^2-2*E64+1)/E64^2-(COS(F6*PI()/180)^2)*((2*E64^2-2*E64+1)/E64^2-E64^2/E65^2)</f>
        <v>1.2577934955757934E-2</v>
      </c>
      <c r="F66" s="1">
        <f>(F64^2-2*F64+1)/F64^2-(COS(G7*PI()/180)^2)*((2*F64^2-2*F64+1)/F64^2-F64^2/F65^2)</f>
        <v>8.7791410359915681E-3</v>
      </c>
      <c r="G66" s="1"/>
      <c r="H66" s="1">
        <f>(H64^2-2*H64+1)/H64^2-(COS(I6*PI()/180)^2)*((2*H64^2-2*H64+1)/H64^2-H64^2/H65^2)</f>
        <v>1.4174451583798132E-2</v>
      </c>
      <c r="I66" s="1">
        <f>(I64^2-2*I64+1)/I64^2-(COS(J7*PI()/180)^2)*((2*I64^2-2*I64+1)/I64^2-I64^2/I65^2)</f>
        <v>1.023103955426367E-2</v>
      </c>
      <c r="J66" s="1"/>
      <c r="K66" s="1">
        <f>(K64^2-2*K64+1)/K64^2-(COS(L6*PI()/180)^2)*((2*K64^2-2*K64+1)/K64^2-K64^2/K65^2)</f>
        <v>1.4096464803523962E-2</v>
      </c>
      <c r="L66" s="1">
        <f>(L64^2-2*L64+1)/L64^2-(COS(M7*PI()/180)^2)*((2*L64^2-2*L64+1)/L64^2-L64^2/L65^2)</f>
        <v>1.0101366145416221E-2</v>
      </c>
      <c r="M66" s="1"/>
      <c r="N66" s="1">
        <f>(N64^2-2*N64+1)/N64^2-(COS(O6*PI()/180)^2)*((2*N64^2-2*N64+1)/N64^2-N64^2/N65^2)</f>
        <v>1.1546380348631797E-2</v>
      </c>
      <c r="O66" s="1">
        <f>(O64^2-2*O64+1)/O64^2-(COS(P7*PI()/180)^2)*((2*O64^2-2*O64+1)/O64^2-O64^2/O65^2)</f>
        <v>9.5056264507243082E-3</v>
      </c>
    </row>
    <row r="67" spans="1:15" x14ac:dyDescent="0.25">
      <c r="A67" t="s">
        <v>74</v>
      </c>
      <c r="B67">
        <f>B66*C3^2/2/D35+C66*D4^2/2/D35</f>
        <v>1.4552052274082537E-2</v>
      </c>
      <c r="E67">
        <f>E66*F3^2/2/G35+F66*G4^2/2/G35</f>
        <v>1.4525952420859047E-2</v>
      </c>
      <c r="H67">
        <f>H66*I3^2/2/J35+I66*J4^2/2/J35</f>
        <v>1.6599323016696445E-2</v>
      </c>
      <c r="K67">
        <f>K66*L3^2/2/M35+L66*M4^2/2/M35</f>
        <v>1.6458083549830638E-2</v>
      </c>
      <c r="N67">
        <f>N66*O3^2/2/P35+O66*P4^2/2/P35</f>
        <v>1.7006745753458209E-2</v>
      </c>
      <c r="O67" s="1"/>
    </row>
    <row r="68" spans="1:15" x14ac:dyDescent="0.25">
      <c r="A68" t="s">
        <v>62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t="s">
        <v>63</v>
      </c>
      <c r="B69" s="1">
        <f>B57+B47+B36+B67</f>
        <v>0.18990563437766295</v>
      </c>
      <c r="C69" s="1"/>
      <c r="D69" s="1"/>
      <c r="E69" s="1">
        <f>E57+E47+E36+E67</f>
        <v>0.18850054964703902</v>
      </c>
      <c r="F69" s="1"/>
      <c r="G69" s="1"/>
      <c r="H69" s="1">
        <f>H57+H47+H36+H67</f>
        <v>0.14015513347622877</v>
      </c>
      <c r="I69" s="1"/>
      <c r="J69" s="1"/>
      <c r="K69" s="1">
        <f>K57+K47+K36+K67</f>
        <v>0.13671527933673827</v>
      </c>
      <c r="L69" s="1"/>
      <c r="M69" s="1"/>
      <c r="N69" s="1">
        <f>N57+N47+N36+N50+N67</f>
        <v>0.41378717818108973</v>
      </c>
      <c r="O69" s="1"/>
    </row>
    <row r="70" spans="1:15" x14ac:dyDescent="0.25">
      <c r="A70" t="s">
        <v>65</v>
      </c>
      <c r="B70" s="1">
        <f>B69/(B69+1)</f>
        <v>0.15959722257890327</v>
      </c>
      <c r="C70" s="1"/>
      <c r="D70" s="1"/>
      <c r="E70" s="1">
        <f>E69/(E69+1)</f>
        <v>0.1586036705687851</v>
      </c>
      <c r="F70" s="1"/>
      <c r="G70" s="1"/>
      <c r="H70" s="1">
        <f>H69/(H69+1)</f>
        <v>0.12292637147447522</v>
      </c>
      <c r="I70" s="1"/>
      <c r="J70" s="1"/>
      <c r="K70" s="1">
        <f>K69/(K69+1)</f>
        <v>0.12027222807853012</v>
      </c>
      <c r="L70" s="1"/>
      <c r="M70" s="1"/>
      <c r="N70" s="1">
        <f>N69/(N69+1)</f>
        <v>0.29267996242082794</v>
      </c>
      <c r="O70" s="1"/>
    </row>
    <row r="71" spans="1:15" x14ac:dyDescent="0.25">
      <c r="A71" t="s">
        <v>64</v>
      </c>
      <c r="B71" s="1">
        <f>1/(B69+1)</f>
        <v>0.84040277742109681</v>
      </c>
      <c r="C71" s="1"/>
      <c r="D71" s="1"/>
      <c r="E71" s="1">
        <f>1/(E69+1)</f>
        <v>0.84139632943121478</v>
      </c>
      <c r="F71" s="1"/>
      <c r="G71" s="1"/>
      <c r="H71" s="1">
        <f>1/(H69+1)</f>
        <v>0.87707362852552484</v>
      </c>
      <c r="I71" s="1"/>
      <c r="J71" s="1"/>
      <c r="K71" s="1">
        <f>1/(K69+1)</f>
        <v>0.87972777192146978</v>
      </c>
      <c r="L71" s="1"/>
      <c r="M71" s="1"/>
      <c r="N71" s="1">
        <f>1/(N69+1)</f>
        <v>0.70732003757917206</v>
      </c>
      <c r="O71" s="1"/>
    </row>
    <row r="73" spans="1:15" x14ac:dyDescent="0.25">
      <c r="A73" t="s">
        <v>130</v>
      </c>
      <c r="B73" s="1">
        <f>B71</f>
        <v>0.84040277742109681</v>
      </c>
      <c r="C73" s="1">
        <f>E71</f>
        <v>0.84139632943121478</v>
      </c>
      <c r="D73" s="1">
        <f>H71</f>
        <v>0.87707362852552484</v>
      </c>
      <c r="E73" s="1">
        <f>K71</f>
        <v>0.87972777192146978</v>
      </c>
      <c r="F73" s="1">
        <f>N71</f>
        <v>0.70732003757917206</v>
      </c>
    </row>
  </sheetData>
  <conditionalFormatting sqref="Q43:Q4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Normal="100" workbookViewId="0">
      <selection activeCell="G17" sqref="G17"/>
    </sheetView>
  </sheetViews>
  <sheetFormatPr defaultRowHeight="15" x14ac:dyDescent="0.25"/>
  <cols>
    <col min="1" max="1" width="20" customWidth="1"/>
    <col min="2" max="22" width="11.5703125" customWidth="1"/>
  </cols>
  <sheetData>
    <row r="1" spans="1:22" x14ac:dyDescent="0.35">
      <c r="B1" t="s">
        <v>0</v>
      </c>
      <c r="E1" t="s">
        <v>1</v>
      </c>
      <c r="H1" t="s">
        <v>2</v>
      </c>
      <c r="K1" t="s">
        <v>3</v>
      </c>
      <c r="N1" t="s">
        <v>4</v>
      </c>
    </row>
    <row r="2" spans="1:22" x14ac:dyDescent="0.35"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1</v>
      </c>
      <c r="L2">
        <v>2</v>
      </c>
      <c r="M2">
        <v>3</v>
      </c>
      <c r="N2">
        <v>1</v>
      </c>
      <c r="O2">
        <v>2</v>
      </c>
      <c r="P2">
        <v>3</v>
      </c>
    </row>
    <row r="3" spans="1:22" x14ac:dyDescent="0.35">
      <c r="A3" t="s">
        <v>76</v>
      </c>
      <c r="B3" s="2">
        <v>2.4887800432526515</v>
      </c>
      <c r="C3" s="2">
        <v>2.1419720814527676</v>
      </c>
      <c r="D3" s="2">
        <v>1.8344589476365543</v>
      </c>
      <c r="E3" s="2">
        <v>1.8344589476365543</v>
      </c>
      <c r="F3" s="2">
        <v>1.5702306028085069</v>
      </c>
      <c r="G3" s="2">
        <v>1.3269413697305115</v>
      </c>
      <c r="H3" s="2">
        <v>1.3269413697305115</v>
      </c>
      <c r="I3" s="2">
        <v>1.1179624387501625</v>
      </c>
      <c r="J3" s="2">
        <v>0.94558637232087606</v>
      </c>
      <c r="K3" s="2">
        <v>0.94558637232087606</v>
      </c>
      <c r="L3" s="2">
        <v>0.78147902774631306</v>
      </c>
      <c r="M3" s="2">
        <v>0.64888768496356986</v>
      </c>
      <c r="N3" s="2">
        <v>0.64888768496356986</v>
      </c>
      <c r="O3" s="2">
        <v>0.59271114260030944</v>
      </c>
      <c r="P3" s="2">
        <v>0.51205424151964818</v>
      </c>
      <c r="Q3" s="2"/>
    </row>
    <row r="4" spans="1:22" x14ac:dyDescent="0.35">
      <c r="A4" t="s">
        <v>75</v>
      </c>
      <c r="B4" s="2">
        <v>1222.7</v>
      </c>
      <c r="C4" s="2">
        <v>1173.396433090011</v>
      </c>
      <c r="D4" s="2">
        <v>1127.4068233522985</v>
      </c>
      <c r="E4" s="2">
        <v>1127.4068233522985</v>
      </c>
      <c r="F4" s="2">
        <v>1080.8859260155054</v>
      </c>
      <c r="G4" s="2">
        <v>1034.5057480968474</v>
      </c>
      <c r="H4" s="2">
        <v>1034.5057480968474</v>
      </c>
      <c r="I4" s="2">
        <v>987.59203611991632</v>
      </c>
      <c r="J4" s="2">
        <v>940.81963856923051</v>
      </c>
      <c r="K4" s="2">
        <v>940.81963856923051</v>
      </c>
      <c r="L4" s="2">
        <v>893.511460501079</v>
      </c>
      <c r="M4" s="2">
        <v>846.34519186728335</v>
      </c>
      <c r="N4" s="2">
        <v>846.34519186728335</v>
      </c>
      <c r="O4" s="2">
        <v>831.72431864279724</v>
      </c>
      <c r="P4" s="2">
        <v>804.86589539499232</v>
      </c>
      <c r="Q4" s="2"/>
      <c r="R4" s="2" t="s">
        <v>83</v>
      </c>
      <c r="S4" s="2"/>
      <c r="T4" s="2"/>
      <c r="U4" s="2"/>
      <c r="V4" s="2"/>
    </row>
    <row r="5" spans="1:22" x14ac:dyDescent="0.35">
      <c r="A5" t="s">
        <v>80</v>
      </c>
      <c r="B5" s="3">
        <v>873350</v>
      </c>
      <c r="C5" s="3">
        <v>721340.74884450343</v>
      </c>
      <c r="D5" s="3">
        <v>593568.10046611179</v>
      </c>
      <c r="E5" s="3">
        <v>593568.10046611179</v>
      </c>
      <c r="F5" s="3">
        <v>487107.92568309826</v>
      </c>
      <c r="G5" s="3">
        <v>393973.07214525715</v>
      </c>
      <c r="H5" s="3">
        <v>393973.07214525715</v>
      </c>
      <c r="I5" s="3">
        <v>316874.05994177691</v>
      </c>
      <c r="J5" s="3">
        <v>255322.72773531702</v>
      </c>
      <c r="K5" s="3">
        <v>255322.72773531702</v>
      </c>
      <c r="L5" s="3">
        <v>200400.75415314801</v>
      </c>
      <c r="M5" s="3">
        <v>157615.51303024241</v>
      </c>
      <c r="N5" s="3">
        <v>157615.51303024241</v>
      </c>
      <c r="O5" s="3">
        <v>141483.0418433648</v>
      </c>
      <c r="P5" s="3">
        <v>118282.74373476488</v>
      </c>
      <c r="Q5" s="2"/>
      <c r="R5" s="2">
        <f>(P5/B5)^(0.333/1.333)*B4</f>
        <v>742.02069736725662</v>
      </c>
      <c r="S5" s="2"/>
      <c r="T5" s="2"/>
      <c r="U5" s="2"/>
      <c r="V5" s="2"/>
    </row>
    <row r="6" spans="1:22" x14ac:dyDescent="0.35">
      <c r="A6" t="s">
        <v>81</v>
      </c>
      <c r="B6" s="3">
        <v>911873.3822870187</v>
      </c>
      <c r="C6" s="3">
        <v>875173.29851358419</v>
      </c>
      <c r="D6" s="3">
        <v>628463.38800615259</v>
      </c>
      <c r="E6" s="3">
        <v>629267.82141248393</v>
      </c>
      <c r="F6" s="3">
        <v>600836.75157642935</v>
      </c>
      <c r="G6" s="3">
        <v>419428.66430289234</v>
      </c>
      <c r="H6" s="3">
        <v>420072.32781796815</v>
      </c>
      <c r="I6" s="3">
        <v>398530.70882232836</v>
      </c>
      <c r="J6" s="3">
        <v>273615.93675515515</v>
      </c>
      <c r="K6" s="3">
        <v>274127.94420530152</v>
      </c>
      <c r="L6" s="3">
        <v>257961.12135043475</v>
      </c>
      <c r="M6" s="3">
        <v>170274.53378184434</v>
      </c>
      <c r="N6" s="3">
        <v>170671.12170648869</v>
      </c>
      <c r="O6" s="3">
        <v>162994.64134311953</v>
      </c>
      <c r="P6" s="3">
        <v>126341.41084748428</v>
      </c>
      <c r="Q6" s="2"/>
      <c r="R6" s="2"/>
      <c r="S6" s="2"/>
      <c r="T6" s="2"/>
      <c r="U6" s="2"/>
      <c r="V6" s="2"/>
    </row>
    <row r="7" spans="1:22" x14ac:dyDescent="0.35">
      <c r="A7" t="s">
        <v>11</v>
      </c>
      <c r="B7" s="2">
        <v>1235.9558286891054</v>
      </c>
      <c r="C7" s="2">
        <v>1235.9558286891054</v>
      </c>
      <c r="D7" s="2">
        <v>1143.9766092136801</v>
      </c>
      <c r="E7" s="2">
        <v>1143.9766092136801</v>
      </c>
      <c r="F7" s="2">
        <v>1143.9766092136801</v>
      </c>
      <c r="G7" s="2">
        <v>1051.216253376364</v>
      </c>
      <c r="H7" s="2">
        <v>1051.216253376364</v>
      </c>
      <c r="I7" s="2">
        <v>1051.216253376364</v>
      </c>
      <c r="J7" s="2">
        <v>957.67145827499235</v>
      </c>
      <c r="K7" s="2">
        <v>957.67145827499235</v>
      </c>
      <c r="L7" s="2">
        <v>957.67145827499235</v>
      </c>
      <c r="M7" s="2">
        <v>863.33892100740093</v>
      </c>
      <c r="N7" s="2">
        <v>863.33892100740093</v>
      </c>
      <c r="O7" s="2">
        <v>863.33892100740093</v>
      </c>
      <c r="P7" s="2">
        <v>818.57488226105943</v>
      </c>
      <c r="Q7" s="2"/>
      <c r="R7" s="2"/>
      <c r="S7" s="2"/>
      <c r="T7" s="2"/>
      <c r="U7" s="2"/>
      <c r="V7" s="2"/>
    </row>
    <row r="8" spans="1:22" x14ac:dyDescent="0.35">
      <c r="A8" t="s">
        <v>77</v>
      </c>
      <c r="B8" s="2"/>
      <c r="C8" s="2"/>
      <c r="D8" s="2">
        <f>C7-D7</f>
        <v>91.979219475425225</v>
      </c>
      <c r="E8" s="2"/>
      <c r="F8" s="2"/>
      <c r="G8" s="2">
        <f>F7-G7</f>
        <v>92.760355837316183</v>
      </c>
      <c r="H8" s="2"/>
      <c r="I8" s="2"/>
      <c r="J8" s="2">
        <f>I7-J7</f>
        <v>93.544795101371619</v>
      </c>
      <c r="K8" s="2"/>
      <c r="L8" s="2"/>
      <c r="M8" s="2">
        <f>L7-M7</f>
        <v>94.33253726759142</v>
      </c>
      <c r="N8" s="2"/>
      <c r="O8" s="2"/>
      <c r="P8" s="2">
        <f>O7-P7</f>
        <v>44.764038746341498</v>
      </c>
      <c r="Q8" s="2"/>
      <c r="R8" s="2"/>
      <c r="S8" s="2"/>
      <c r="T8" s="2"/>
      <c r="U8" s="2"/>
      <c r="V8" s="2"/>
    </row>
    <row r="9" spans="1:22" x14ac:dyDescent="0.35">
      <c r="A9" t="s">
        <v>78</v>
      </c>
      <c r="B9" s="2"/>
      <c r="C9" s="2"/>
      <c r="D9" s="3">
        <f>C$16*D8</f>
        <v>105592.14395778815</v>
      </c>
      <c r="E9" s="3"/>
      <c r="F9" s="3"/>
      <c r="G9" s="3">
        <f>C$16*G8</f>
        <v>106488.88850123898</v>
      </c>
      <c r="H9" s="3"/>
      <c r="I9" s="3"/>
      <c r="J9" s="3">
        <f>C$16*J8</f>
        <v>107389.42477637462</v>
      </c>
      <c r="K9" s="3"/>
      <c r="L9" s="3"/>
      <c r="M9" s="3">
        <f>C$16*M8</f>
        <v>108293.75278319496</v>
      </c>
      <c r="N9" s="3"/>
      <c r="O9" s="3"/>
      <c r="P9" s="3">
        <f>C$16*P8</f>
        <v>51389.116480800039</v>
      </c>
      <c r="Q9" s="2"/>
      <c r="R9" s="2"/>
      <c r="S9" s="2"/>
      <c r="T9" s="2"/>
      <c r="U9" s="2"/>
      <c r="V9" s="2"/>
    </row>
    <row r="10" spans="1:22" x14ac:dyDescent="0.35">
      <c r="A10" t="s">
        <v>79</v>
      </c>
      <c r="B10" s="2"/>
      <c r="C10" s="2"/>
      <c r="D10" s="3">
        <f>D9*B$16</f>
        <v>15976091.380813349</v>
      </c>
      <c r="E10" s="3"/>
      <c r="F10" s="3"/>
      <c r="G10" s="3">
        <f>G9*B$16</f>
        <v>16111768.830237459</v>
      </c>
      <c r="H10" s="3"/>
      <c r="I10" s="3"/>
      <c r="J10" s="3">
        <f>J9*B$16</f>
        <v>16248019.968665482</v>
      </c>
      <c r="K10" s="3"/>
      <c r="L10" s="3"/>
      <c r="M10" s="3">
        <f>B$16*M9</f>
        <v>16384844.796097398</v>
      </c>
      <c r="N10" s="3"/>
      <c r="O10" s="3"/>
      <c r="P10" s="3">
        <f>B$16*P9</f>
        <v>7775173.3235450462</v>
      </c>
      <c r="Q10" s="2"/>
      <c r="R10" s="2"/>
      <c r="S10" s="2"/>
      <c r="T10" s="2"/>
      <c r="U10" s="2"/>
      <c r="V10" s="2"/>
    </row>
    <row r="11" spans="1:22" x14ac:dyDescent="0.35">
      <c r="A11" t="s">
        <v>28</v>
      </c>
      <c r="B11" s="2"/>
      <c r="C11" s="2"/>
      <c r="D11" s="2">
        <f>SUM(D10:P10)/1000000</f>
        <v>72.495898299358728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5">
      <c r="A13" t="s">
        <v>30</v>
      </c>
      <c r="B13" s="2">
        <f>(C5-D5)/(B5-D5)</f>
        <v>0.45668661407781791</v>
      </c>
      <c r="C13" s="2"/>
      <c r="D13" s="2"/>
      <c r="E13" s="2">
        <f>(F5-G5)/(E5-G5)</f>
        <v>0.4666191053021832</v>
      </c>
      <c r="F13" s="2"/>
      <c r="G13" s="2"/>
      <c r="H13" s="2">
        <f>(I5-J5)/(H5-J5)</f>
        <v>0.44393205417849041</v>
      </c>
      <c r="I13" s="2"/>
      <c r="J13" s="2"/>
      <c r="K13" s="2">
        <f>(L5-M5)/(K5-M5)</f>
        <v>0.43789234246469078</v>
      </c>
      <c r="L13" s="2"/>
      <c r="M13" s="2"/>
      <c r="N13" s="2">
        <f>(O5-P5)/(N5-P5)</f>
        <v>0.58984654587409091</v>
      </c>
      <c r="O13" s="2"/>
      <c r="P13" s="2"/>
      <c r="Q13" s="2"/>
      <c r="R13" s="2"/>
      <c r="S13" s="2"/>
      <c r="T13" s="2"/>
      <c r="U13" s="2"/>
      <c r="V13" s="2"/>
    </row>
    <row r="15" spans="1:22" x14ac:dyDescent="0.35">
      <c r="B15" t="s">
        <v>26</v>
      </c>
      <c r="C15" t="s">
        <v>27</v>
      </c>
      <c r="D15" t="s">
        <v>23</v>
      </c>
      <c r="E15" t="s">
        <v>25</v>
      </c>
      <c r="F15" t="s">
        <v>29</v>
      </c>
    </row>
    <row r="16" spans="1:22" x14ac:dyDescent="0.35">
      <c r="B16" s="2">
        <v>151.30000000000001</v>
      </c>
      <c r="C16" s="2">
        <v>1148</v>
      </c>
      <c r="D16" s="2">
        <v>287</v>
      </c>
      <c r="E16" s="2">
        <v>469.35</v>
      </c>
      <c r="F16" s="2">
        <f>(B4-P4)/(B4-B4*(P5/B5)^(1-1/1.333))</f>
        <v>0.86925753265529793</v>
      </c>
    </row>
    <row r="18" spans="1:15" x14ac:dyDescent="0.35">
      <c r="A18" t="s">
        <v>82</v>
      </c>
      <c r="B18">
        <f>(B4-P4)/(B4-R5)</f>
        <v>0.8692575326552977</v>
      </c>
    </row>
    <row r="19" spans="1:15" x14ac:dyDescent="0.35">
      <c r="A19" t="s">
        <v>84</v>
      </c>
      <c r="B19" s="4">
        <f>1.333*LN(P4/B4)/0.333/LN(P5/B5)</f>
        <v>0.83722050531359749</v>
      </c>
    </row>
    <row r="20" spans="1:15" x14ac:dyDescent="0.35">
      <c r="A20" t="s">
        <v>85</v>
      </c>
      <c r="B20">
        <f>B18/B19-1</f>
        <v>3.8265937275031359E-2</v>
      </c>
    </row>
    <row r="23" spans="1:15" x14ac:dyDescent="0.35">
      <c r="B23" t="s">
        <v>89</v>
      </c>
      <c r="E23" t="s">
        <v>90</v>
      </c>
      <c r="H23" t="s">
        <v>91</v>
      </c>
      <c r="K23" t="s">
        <v>92</v>
      </c>
      <c r="N23" t="s">
        <v>93</v>
      </c>
    </row>
    <row r="24" spans="1:15" x14ac:dyDescent="0.35">
      <c r="B24" t="s">
        <v>39</v>
      </c>
      <c r="C24" t="s">
        <v>40</v>
      </c>
      <c r="E24" t="s">
        <v>39</v>
      </c>
      <c r="F24" t="s">
        <v>40</v>
      </c>
      <c r="H24" t="s">
        <v>39</v>
      </c>
      <c r="I24" t="s">
        <v>40</v>
      </c>
      <c r="K24" t="s">
        <v>39</v>
      </c>
      <c r="L24" t="s">
        <v>40</v>
      </c>
      <c r="N24" t="s">
        <v>39</v>
      </c>
      <c r="O24" t="s">
        <v>40</v>
      </c>
    </row>
    <row r="25" spans="1:15" x14ac:dyDescent="0.35">
      <c r="A25" t="s">
        <v>88</v>
      </c>
      <c r="B25">
        <f>(C5/B5)^(0.333/1.333)*B4</f>
        <v>1165.6643729597859</v>
      </c>
      <c r="C25">
        <f>(D5/C5)^(0.333/1.333)*C4</f>
        <v>1117.6174266059877</v>
      </c>
      <c r="E25">
        <f>(F5/E5)^(0.333/1.333)*E4</f>
        <v>1073.0882011258434</v>
      </c>
      <c r="F25">
        <f>(G5/F5)^(0.333/1.333)*F4</f>
        <v>1025.0793429559762</v>
      </c>
      <c r="H25">
        <f>(I5/H5)^(0.333/1.333)*H4</f>
        <v>979.72836881855744</v>
      </c>
      <c r="I25">
        <f>(J5/I5)^(0.333/1.333)*I4</f>
        <v>935.71990346975849</v>
      </c>
      <c r="K25">
        <f>(L5/K5)^(0.333/1.333)*K4</f>
        <v>885.58157313576396</v>
      </c>
      <c r="L25">
        <f>(M5/L5)^(0.333/1.333)*L4</f>
        <v>841.48153520093535</v>
      </c>
      <c r="N25">
        <f>(O5/N5)^(0.333/1.333)*N4</f>
        <v>823.82066805164629</v>
      </c>
      <c r="O25">
        <f>(P5/O5)^(0.333/1.333)*O4</f>
        <v>795.33160030658064</v>
      </c>
    </row>
    <row r="26" spans="1:15" x14ac:dyDescent="0.35">
      <c r="A26" t="s">
        <v>94</v>
      </c>
      <c r="B26">
        <f>(C4-B4)/(B25-B4)</f>
        <v>0.86443455553186987</v>
      </c>
      <c r="C26">
        <f>(D4-C4)/(C25-C4)</f>
        <v>0.82449675310881076</v>
      </c>
      <c r="E26">
        <f>(F4-E4)/(E25-E4)</f>
        <v>0.85644472245350356</v>
      </c>
      <c r="F26">
        <f>(G4-F4)/(F25-F4)</f>
        <v>0.83108793579395623</v>
      </c>
      <c r="H26">
        <f>(I4-H4)/(H25-H4)</f>
        <v>0.85644316312745716</v>
      </c>
      <c r="I26">
        <f>(J4-I4)/(I25-I4)</f>
        <v>0.90168641929827231</v>
      </c>
      <c r="K26">
        <f>(L4-K4)/(K25-K4)</f>
        <v>0.85644161678930497</v>
      </c>
      <c r="L26">
        <f>(M4-L4)/(L25-L4)</f>
        <v>0.90652193639927126</v>
      </c>
      <c r="N26">
        <f>(O4-N4)/(N25-N4)</f>
        <v>0.64910909301158903</v>
      </c>
      <c r="O26">
        <f>(P4-O4)/(O25-O4)</f>
        <v>0.73801640755910436</v>
      </c>
    </row>
    <row r="31" spans="1:15" x14ac:dyDescent="0.25">
      <c r="A31" t="s">
        <v>124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</row>
    <row r="32" spans="1:15" x14ac:dyDescent="0.25">
      <c r="A32" t="s">
        <v>125</v>
      </c>
      <c r="B32" s="3">
        <v>873350</v>
      </c>
      <c r="C32" s="3">
        <v>721340.74884450343</v>
      </c>
      <c r="D32" s="3">
        <v>593568.10046611179</v>
      </c>
      <c r="E32" s="3">
        <v>487107.92568309826</v>
      </c>
      <c r="F32" s="3">
        <v>393973.07214525715</v>
      </c>
      <c r="G32" s="3">
        <v>316874.05994177691</v>
      </c>
      <c r="H32" s="3">
        <v>255322.72773531702</v>
      </c>
      <c r="I32" s="3">
        <v>200400.75415314801</v>
      </c>
      <c r="J32" s="3">
        <v>157615.51303024241</v>
      </c>
      <c r="K32" s="3">
        <v>141483.0418433648</v>
      </c>
      <c r="L32" s="3">
        <v>118282.74373476488</v>
      </c>
    </row>
    <row r="33" spans="1:12" x14ac:dyDescent="0.25">
      <c r="A33" t="s">
        <v>126</v>
      </c>
      <c r="B33" s="2">
        <v>174.45739500000002</v>
      </c>
      <c r="C33" s="2">
        <v>378.99389479979868</v>
      </c>
      <c r="D33" s="2">
        <v>195.049297198766</v>
      </c>
      <c r="E33" s="2">
        <v>380.59980113369608</v>
      </c>
      <c r="F33" s="2">
        <v>195.87577727164208</v>
      </c>
      <c r="G33" s="2">
        <v>382.20570746759358</v>
      </c>
      <c r="H33" s="2">
        <v>196.70225734451824</v>
      </c>
      <c r="I33" s="2">
        <v>383.81161380149103</v>
      </c>
      <c r="J33" s="2">
        <v>197.52873741739438</v>
      </c>
      <c r="K33" s="2">
        <v>269.41998260917848</v>
      </c>
      <c r="L33" s="2">
        <v>177.41430000000003</v>
      </c>
    </row>
    <row r="35" spans="1:12" x14ac:dyDescent="0.25">
      <c r="A35" t="s">
        <v>127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J38" sqref="J38"/>
    </sheetView>
  </sheetViews>
  <sheetFormatPr defaultRowHeight="15" x14ac:dyDescent="0.25"/>
  <cols>
    <col min="1" max="1" width="19" customWidth="1"/>
  </cols>
  <sheetData>
    <row r="1" spans="1:14" x14ac:dyDescent="0.35">
      <c r="B1">
        <v>1</v>
      </c>
      <c r="C1">
        <v>2</v>
      </c>
      <c r="D1">
        <v>3</v>
      </c>
      <c r="E1">
        <v>4</v>
      </c>
      <c r="F1">
        <v>5</v>
      </c>
    </row>
    <row r="2" spans="1:14" x14ac:dyDescent="0.35">
      <c r="A2" t="s">
        <v>16</v>
      </c>
      <c r="B2">
        <v>0.5</v>
      </c>
      <c r="C2">
        <v>0.5</v>
      </c>
      <c r="D2">
        <v>0.5</v>
      </c>
      <c r="E2">
        <v>0.5</v>
      </c>
      <c r="F2">
        <v>0.6</v>
      </c>
    </row>
    <row r="3" spans="1:14" x14ac:dyDescent="0.35">
      <c r="A3" t="s">
        <v>17</v>
      </c>
      <c r="B3">
        <v>1.7</v>
      </c>
      <c r="C3">
        <v>1.7</v>
      </c>
      <c r="D3">
        <v>1.7</v>
      </c>
      <c r="E3">
        <v>1.7</v>
      </c>
      <c r="F3">
        <v>0.8</v>
      </c>
    </row>
    <row r="4" spans="1:14" x14ac:dyDescent="0.35">
      <c r="A4" t="s">
        <v>19</v>
      </c>
      <c r="B4">
        <v>1.0620000000000001</v>
      </c>
      <c r="C4">
        <v>1.0665</v>
      </c>
      <c r="D4">
        <v>1.0710000000000002</v>
      </c>
      <c r="E4">
        <v>1.0755000000000001</v>
      </c>
      <c r="F4">
        <v>1.08</v>
      </c>
    </row>
    <row r="5" spans="1:14" x14ac:dyDescent="0.25">
      <c r="A5" t="s">
        <v>128</v>
      </c>
      <c r="B5">
        <v>0.7</v>
      </c>
      <c r="C5">
        <v>0.7</v>
      </c>
      <c r="D5">
        <v>0.7</v>
      </c>
      <c r="E5">
        <v>0.7</v>
      </c>
      <c r="F5">
        <v>0.7</v>
      </c>
    </row>
    <row r="6" spans="1:14" x14ac:dyDescent="0.25">
      <c r="A6" t="s">
        <v>129</v>
      </c>
      <c r="B6">
        <v>0.84744910324352984</v>
      </c>
      <c r="C6">
        <v>0.84669038603771052</v>
      </c>
      <c r="D6">
        <v>0.88186381811433889</v>
      </c>
      <c r="E6">
        <v>0.88454062663009281</v>
      </c>
      <c r="F6">
        <v>0.70818331061036932</v>
      </c>
    </row>
    <row r="15" spans="1:14" x14ac:dyDescent="0.25">
      <c r="B15" s="2"/>
      <c r="E15" s="2"/>
      <c r="H15" s="2"/>
      <c r="K15" s="2"/>
      <c r="N15" s="2"/>
    </row>
    <row r="17" spans="2:15" x14ac:dyDescent="0.25">
      <c r="B17" s="2"/>
      <c r="C17" s="2"/>
      <c r="D17" s="2"/>
      <c r="E17" s="2"/>
      <c r="F17" s="2"/>
    </row>
    <row r="18" spans="2:15" x14ac:dyDescent="0.25">
      <c r="B18" s="2"/>
      <c r="C18" s="2"/>
      <c r="D18" s="2"/>
      <c r="E18" s="2"/>
      <c r="F18" s="2"/>
    </row>
    <row r="19" spans="2:15" x14ac:dyDescent="0.25">
      <c r="B19" s="2"/>
      <c r="C19" s="2"/>
      <c r="D19" s="2"/>
      <c r="E19" s="2"/>
      <c r="F19" s="2"/>
    </row>
    <row r="20" spans="2:15" x14ac:dyDescent="0.25">
      <c r="B20" s="2"/>
      <c r="C20" s="2"/>
      <c r="D20" s="2"/>
      <c r="E20" s="2"/>
      <c r="F20" s="2"/>
    </row>
    <row r="21" spans="2:15" x14ac:dyDescent="0.25">
      <c r="B21" s="2"/>
      <c r="C21" s="2"/>
      <c r="D21" s="2"/>
      <c r="E21" s="2"/>
      <c r="F21" s="2"/>
    </row>
    <row r="24" spans="2:1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2:1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A30" sqref="A30"/>
    </sheetView>
  </sheetViews>
  <sheetFormatPr defaultRowHeight="15" x14ac:dyDescent="0.25"/>
  <cols>
    <col min="2" max="2" width="12" bestFit="1" customWidth="1"/>
  </cols>
  <sheetData>
    <row r="1" spans="1:16" x14ac:dyDescent="0.35">
      <c r="B1" t="s">
        <v>0</v>
      </c>
      <c r="E1" t="s">
        <v>1</v>
      </c>
      <c r="H1" t="s">
        <v>2</v>
      </c>
      <c r="K1" s="5" t="s">
        <v>3</v>
      </c>
      <c r="L1" s="5"/>
      <c r="M1" s="5"/>
      <c r="N1" s="5" t="s">
        <v>4</v>
      </c>
      <c r="O1" s="5"/>
      <c r="P1" s="5"/>
    </row>
    <row r="2" spans="1:16" x14ac:dyDescent="0.35">
      <c r="B2">
        <v>1</v>
      </c>
      <c r="C2">
        <v>2</v>
      </c>
      <c r="D2">
        <v>3</v>
      </c>
      <c r="E2">
        <v>1</v>
      </c>
      <c r="F2">
        <v>2</v>
      </c>
      <c r="G2">
        <v>3</v>
      </c>
      <c r="H2">
        <v>1</v>
      </c>
      <c r="I2">
        <v>2</v>
      </c>
      <c r="J2">
        <v>3</v>
      </c>
      <c r="K2">
        <v>1</v>
      </c>
      <c r="L2">
        <v>2</v>
      </c>
      <c r="M2">
        <v>3</v>
      </c>
      <c r="N2">
        <v>1</v>
      </c>
      <c r="O2">
        <v>2</v>
      </c>
      <c r="P2">
        <v>3</v>
      </c>
    </row>
    <row r="3" spans="1:16" x14ac:dyDescent="0.35">
      <c r="A3" t="s">
        <v>96</v>
      </c>
      <c r="B3">
        <v>90</v>
      </c>
      <c r="C3">
        <f>ATAN(C19/C21)*180/PI()</f>
        <v>24.66774703576899</v>
      </c>
      <c r="D3">
        <f>180-ATAN(D19/D21)*180/PI()</f>
        <v>119.98431046221401</v>
      </c>
      <c r="E3">
        <f>180-ATAN(E19/E21)*180/PI()</f>
        <v>119.93624530801674</v>
      </c>
      <c r="F3">
        <f>ATAN(F19/F21)*180/PI()</f>
        <v>23.68760192454037</v>
      </c>
      <c r="G3">
        <f>180-ATAN(G19/G21)*180/PI()</f>
        <v>120.85003642704439</v>
      </c>
      <c r="H3">
        <f>180-ATAN(H19/H21)*180/PI()</f>
        <v>121.36826476958996</v>
      </c>
      <c r="I3">
        <f>ATAN(I19/I21)*180/PI()</f>
        <v>22.187230708259644</v>
      </c>
      <c r="J3">
        <f>180-ATAN(J19/J21)*180/PI()</f>
        <v>123.77416101154839</v>
      </c>
      <c r="K3">
        <f>180-ATAN(K19/K21)*180/PI()</f>
        <v>123.66276411780009</v>
      </c>
      <c r="L3">
        <f>ATAN(L19/L21)*180/PI()</f>
        <v>19.908026279703694</v>
      </c>
      <c r="M3">
        <f>180-ATAN(M19/M21)*180/PI()</f>
        <v>128.13732848635328</v>
      </c>
      <c r="N3">
        <f>180-ATAN(N19/N21)*180/PI()</f>
        <v>127.94062482950589</v>
      </c>
      <c r="O3">
        <f>ATAN(O19/O21)*180/PI()</f>
        <v>27.987423399901932</v>
      </c>
      <c r="P3">
        <v>90</v>
      </c>
    </row>
    <row r="4" spans="1:16" x14ac:dyDescent="0.35">
      <c r="A4" t="s">
        <v>95</v>
      </c>
      <c r="B4" s="2">
        <v>90</v>
      </c>
      <c r="C4" s="2">
        <v>27.407575437818402</v>
      </c>
      <c r="D4" s="2">
        <v>116.56505117707799</v>
      </c>
      <c r="E4" s="2">
        <v>116.56505117707799</v>
      </c>
      <c r="F4" s="2">
        <v>27.407575437818402</v>
      </c>
      <c r="G4" s="2">
        <v>116.56505117707799</v>
      </c>
      <c r="H4" s="2">
        <v>116.56505117707799</v>
      </c>
      <c r="I4" s="2">
        <v>27.407575437818402</v>
      </c>
      <c r="J4" s="2">
        <v>116.56505117707799</v>
      </c>
      <c r="K4" s="2">
        <v>116.56505117707799</v>
      </c>
      <c r="L4" s="2">
        <v>27.407575437818402</v>
      </c>
      <c r="M4" s="2">
        <v>116.56505117707799</v>
      </c>
      <c r="N4" s="2">
        <v>116.56505117707799</v>
      </c>
      <c r="O4" s="2">
        <v>41.185925165709641</v>
      </c>
      <c r="P4" s="2">
        <v>90</v>
      </c>
    </row>
    <row r="5" spans="1:16" x14ac:dyDescent="0.35">
      <c r="A5" t="s">
        <v>97</v>
      </c>
      <c r="B5">
        <v>90</v>
      </c>
      <c r="C5">
        <f>ATAN(C19/C23)*180/PI()</f>
        <v>30.018044404495136</v>
      </c>
      <c r="D5">
        <f>180-ATAN(D19/D23)*180/PI()</f>
        <v>113.80420108921655</v>
      </c>
      <c r="E5">
        <f>180-ATAN(E19/E23)*180/PI()</f>
        <v>113.83563534082818</v>
      </c>
      <c r="F5">
        <f>ATAN(F19/F23)*180/PI()</f>
        <v>30.893171070990128</v>
      </c>
      <c r="G5">
        <f>180-ATAN(G19/G23)*180/PI()</f>
        <v>113.26565801606036</v>
      </c>
      <c r="H5">
        <f>180-ATAN(H19/H23)*180/PI()</f>
        <v>112.96643598655155</v>
      </c>
      <c r="I5">
        <f>ATAN(I19/I23)*180/PI()</f>
        <v>32.178289736605713</v>
      </c>
      <c r="J5">
        <f>180-ATAN(J19/J23)*180/PI()</f>
        <v>111.76385682788195</v>
      </c>
      <c r="K5">
        <f>180-ATAN(K19/K23)*180/PI()</f>
        <v>111.81366425027788</v>
      </c>
      <c r="L5">
        <f>ATAN(L19/L23)*180/PI()</f>
        <v>34.014769651459098</v>
      </c>
      <c r="M5">
        <f>180-ATAN(M19/M23)*180/PI()</f>
        <v>110.1424859400931</v>
      </c>
      <c r="N5">
        <f>180-ATAN(N19/N23)*180/PI()</f>
        <v>110.20409741951129</v>
      </c>
      <c r="O5">
        <f>ATAN(O19/O23)*180/PI()</f>
        <v>50.626581094757505</v>
      </c>
      <c r="P5">
        <v>90</v>
      </c>
    </row>
    <row r="7" spans="1:16" x14ac:dyDescent="0.35">
      <c r="A7" t="s">
        <v>98</v>
      </c>
      <c r="C7">
        <f>ATAN((C$19/(C21-C24)))*180/PI()</f>
        <v>47.633406017920599</v>
      </c>
      <c r="D7">
        <f>180-ATAN(D19/(D21+D24))*180/PI()</f>
        <v>151.14610420813244</v>
      </c>
      <c r="F7">
        <f>ATAN((F$19/(F21-F24)))*180/PI()</f>
        <v>43.044258315913147</v>
      </c>
      <c r="G7">
        <f>180-ATAN(G19/(G21+G24))*180/PI()</f>
        <v>150.85261049609863</v>
      </c>
      <c r="I7">
        <f>ATAN((I$19/(I21-I24)))*180/PI()</f>
        <v>36.972579638474826</v>
      </c>
      <c r="J7">
        <f>180-ATAN(J19/(J21+J24))*180/PI()</f>
        <v>150.06813918740573</v>
      </c>
      <c r="L7">
        <f>ATAN((L$19/(L21-L24)))*180/PI()</f>
        <v>29.555705787735487</v>
      </c>
      <c r="M7">
        <f>180-ATAN(M19/(M21+M24))*180/PI()</f>
        <v>149.45907823886276</v>
      </c>
      <c r="O7">
        <f>ATAN((O$19/(O21-O24)))*180/PI()</f>
        <v>44.599311639226862</v>
      </c>
      <c r="P7">
        <f>180-ATAN(P19/(P21+P24))*180/PI()</f>
        <v>127.92861372532802</v>
      </c>
    </row>
    <row r="8" spans="1:16" x14ac:dyDescent="0.35">
      <c r="A8" t="s">
        <v>99</v>
      </c>
      <c r="B8" s="2"/>
      <c r="C8" s="2">
        <v>63.43494882292201</v>
      </c>
      <c r="D8" s="2">
        <v>152.59242456218161</v>
      </c>
      <c r="E8" s="2"/>
      <c r="F8" s="2">
        <v>63.43494882292201</v>
      </c>
      <c r="G8" s="2">
        <v>152.59242456218161</v>
      </c>
      <c r="H8" s="2"/>
      <c r="I8" s="2">
        <v>63.43494882292201</v>
      </c>
      <c r="J8" s="2">
        <v>152.59242456218161</v>
      </c>
      <c r="K8" s="2"/>
      <c r="L8" s="2">
        <v>63.43494882292201</v>
      </c>
      <c r="M8" s="2">
        <v>152.59242456218161</v>
      </c>
      <c r="N8" s="2"/>
      <c r="O8" s="2">
        <v>105.94539590092285</v>
      </c>
      <c r="P8" s="2">
        <v>145.00797980144134</v>
      </c>
    </row>
    <row r="9" spans="1:16" x14ac:dyDescent="0.35">
      <c r="A9" t="s">
        <v>100</v>
      </c>
      <c r="C9">
        <f>ATAN((C$19/(C23-C26)))*180/PI()</f>
        <v>82.087955299874551</v>
      </c>
      <c r="D9">
        <f>180-ATAN(D19/(D23+D26))*180/PI()</f>
        <v>154.10986110814426</v>
      </c>
      <c r="F9">
        <f>ATAN((F$19/(F23-F26)))*180/PI()</f>
        <v>88.68920517413423</v>
      </c>
      <c r="G9">
        <f>180-ATAN(G19/(G23+G26))*180/PI()</f>
        <v>154.44367866468065</v>
      </c>
      <c r="I9">
        <f>180-ATAN(-(I$19/(I23-I26)))*180/PI()</f>
        <v>98.206302512540518</v>
      </c>
      <c r="J9">
        <f>180-ATAN(J19/(J23+J26))*180/PI()</f>
        <v>155.4412828960931</v>
      </c>
      <c r="L9">
        <f>180-ATAN(-(L$19/(L23-L26)))*180/PI()</f>
        <v>110.68836104439038</v>
      </c>
      <c r="M9">
        <f>180-ATAN(M19/(M23+M26))*180/PI()</f>
        <v>156.63003175651974</v>
      </c>
      <c r="O9">
        <f>180-ATAN(-(O$19/(O23-O26)))*180/PI()</f>
        <v>139.45218330095685</v>
      </c>
      <c r="P9">
        <f>180-ATAN(P19/(P23+P26))*180/PI()</f>
        <v>154.30016382698611</v>
      </c>
    </row>
    <row r="11" spans="1:16" x14ac:dyDescent="0.35">
      <c r="A11" t="s">
        <v>107</v>
      </c>
      <c r="B11" s="1">
        <v>0.95755476301466991</v>
      </c>
      <c r="C11" s="1">
        <v>0.94064397315319759</v>
      </c>
      <c r="D11" s="1">
        <v>0.92030087843787323</v>
      </c>
      <c r="E11" s="1">
        <v>0.92599412888738952</v>
      </c>
      <c r="F11" s="1">
        <v>0.90235070116645144</v>
      </c>
      <c r="G11" s="1">
        <v>0.89276163566915723</v>
      </c>
      <c r="H11" s="1">
        <v>0.87838348855273995</v>
      </c>
      <c r="I11" s="1">
        <v>0.84237799207433084</v>
      </c>
      <c r="J11" s="1">
        <v>0.80070124674575172</v>
      </c>
      <c r="K11" s="1">
        <v>0.80745842896073872</v>
      </c>
      <c r="L11" s="1">
        <v>0.75117081419812393</v>
      </c>
      <c r="M11" s="1">
        <v>0.68489857133452436</v>
      </c>
      <c r="N11" s="1">
        <v>0.69264680196526673</v>
      </c>
      <c r="O11" s="1">
        <v>0.65593387086787325</v>
      </c>
      <c r="P11" s="1">
        <v>0.58913653368038998</v>
      </c>
    </row>
    <row r="12" spans="1:16" x14ac:dyDescent="0.35">
      <c r="A12" t="s">
        <v>109</v>
      </c>
      <c r="B12" s="1">
        <v>1.0620000000000001</v>
      </c>
      <c r="C12" s="1">
        <v>1.0620000000000001</v>
      </c>
      <c r="D12" s="1">
        <v>1.0620000000000001</v>
      </c>
      <c r="E12" s="1">
        <v>1.0665</v>
      </c>
      <c r="F12" s="1">
        <v>1.0665</v>
      </c>
      <c r="G12" s="1">
        <v>1.0665</v>
      </c>
      <c r="H12" s="1">
        <v>1.0710000000000002</v>
      </c>
      <c r="I12" s="1">
        <v>1.0710000000000002</v>
      </c>
      <c r="J12" s="1">
        <v>1.0710000000000002</v>
      </c>
      <c r="K12" s="1">
        <v>1.0755000000000001</v>
      </c>
      <c r="L12" s="1">
        <v>1.0755000000000001</v>
      </c>
      <c r="M12" s="1">
        <v>1.0755000000000001</v>
      </c>
      <c r="N12" s="1">
        <v>1.08</v>
      </c>
      <c r="O12" s="1">
        <v>1.08</v>
      </c>
      <c r="P12" s="1">
        <v>1.08</v>
      </c>
    </row>
    <row r="13" spans="1:16" x14ac:dyDescent="0.35">
      <c r="A13" t="s">
        <v>108</v>
      </c>
      <c r="B13" s="1">
        <v>1.1664452369853302</v>
      </c>
      <c r="C13" s="1">
        <v>1.1833560268468024</v>
      </c>
      <c r="D13" s="1">
        <v>1.2036991215621269</v>
      </c>
      <c r="E13" s="1">
        <v>1.2070058711126106</v>
      </c>
      <c r="F13" s="1">
        <v>1.2306492988335487</v>
      </c>
      <c r="G13" s="1">
        <v>1.2402383643308428</v>
      </c>
      <c r="H13" s="1">
        <v>1.2636165114472604</v>
      </c>
      <c r="I13" s="1">
        <v>1.2996220079256695</v>
      </c>
      <c r="J13" s="1">
        <v>1.3412987532542486</v>
      </c>
      <c r="K13" s="1">
        <v>1.3435415710392615</v>
      </c>
      <c r="L13" s="1">
        <v>1.3998291858018763</v>
      </c>
      <c r="M13" s="1">
        <v>1.4661014286654759</v>
      </c>
      <c r="N13" s="1">
        <v>1.4673531980347334</v>
      </c>
      <c r="O13" s="1">
        <v>1.5040661291321269</v>
      </c>
      <c r="P13" s="1">
        <v>1.5708634663196102</v>
      </c>
    </row>
    <row r="15" spans="1:16" x14ac:dyDescent="0.35">
      <c r="A15" t="s">
        <v>111</v>
      </c>
      <c r="B15" s="1">
        <v>469.35</v>
      </c>
      <c r="C15" s="1">
        <v>469.35</v>
      </c>
      <c r="D15" s="1">
        <v>469.35</v>
      </c>
      <c r="E15" s="1">
        <v>469.35</v>
      </c>
      <c r="F15" s="1">
        <v>469.35</v>
      </c>
      <c r="G15" s="1">
        <v>469.35</v>
      </c>
      <c r="H15" s="1">
        <v>469.35</v>
      </c>
      <c r="I15" s="1">
        <v>469.35</v>
      </c>
      <c r="J15" s="1">
        <v>469.35</v>
      </c>
      <c r="K15" s="1">
        <v>469.35</v>
      </c>
      <c r="L15" s="1">
        <v>469.35</v>
      </c>
      <c r="M15" s="1">
        <v>469.35</v>
      </c>
      <c r="N15" s="1">
        <v>469.35</v>
      </c>
      <c r="O15" s="1">
        <v>469.35</v>
      </c>
      <c r="P15" s="1">
        <v>469.35</v>
      </c>
    </row>
    <row r="16" spans="1:16" x14ac:dyDescent="0.35">
      <c r="A16" t="s">
        <v>18</v>
      </c>
      <c r="B16" s="1">
        <v>0.7</v>
      </c>
      <c r="C16" s="1">
        <v>0.7</v>
      </c>
      <c r="D16" s="1">
        <v>0.7</v>
      </c>
      <c r="E16" s="1">
        <v>0.7</v>
      </c>
      <c r="F16" s="1">
        <v>0.7</v>
      </c>
      <c r="G16" s="1">
        <v>0.7</v>
      </c>
      <c r="H16" s="1">
        <v>0.7</v>
      </c>
      <c r="I16" s="1">
        <v>0.7</v>
      </c>
      <c r="J16" s="1">
        <v>0.7</v>
      </c>
      <c r="K16" s="1">
        <v>0.7</v>
      </c>
      <c r="L16" s="1">
        <v>0.7</v>
      </c>
      <c r="M16" s="1">
        <v>0.7</v>
      </c>
      <c r="N16" s="1">
        <v>0.7</v>
      </c>
      <c r="O16" s="1">
        <v>0.7</v>
      </c>
      <c r="P16" s="1">
        <v>0.7</v>
      </c>
    </row>
    <row r="17" spans="1:16" x14ac:dyDescent="0.35">
      <c r="A17" t="s">
        <v>112</v>
      </c>
      <c r="B17">
        <f>B$15/2*B12</f>
        <v>249.22485000000003</v>
      </c>
      <c r="C17">
        <f>B$15/2*C12</f>
        <v>249.22485000000003</v>
      </c>
      <c r="D17">
        <f t="shared" ref="D17:P17" si="0">D$15/2*D12</f>
        <v>249.22485000000003</v>
      </c>
      <c r="E17">
        <f t="shared" si="0"/>
        <v>250.28088750000001</v>
      </c>
      <c r="F17">
        <f t="shared" si="0"/>
        <v>250.28088750000001</v>
      </c>
      <c r="G17">
        <f t="shared" si="0"/>
        <v>250.28088750000001</v>
      </c>
      <c r="H17">
        <f t="shared" si="0"/>
        <v>251.33692500000006</v>
      </c>
      <c r="I17">
        <f t="shared" si="0"/>
        <v>251.33692500000006</v>
      </c>
      <c r="J17">
        <f t="shared" si="0"/>
        <v>251.33692500000006</v>
      </c>
      <c r="K17">
        <f t="shared" si="0"/>
        <v>252.39296250000004</v>
      </c>
      <c r="L17">
        <f t="shared" si="0"/>
        <v>252.39296250000004</v>
      </c>
      <c r="M17">
        <f t="shared" si="0"/>
        <v>252.39296250000004</v>
      </c>
      <c r="N17">
        <f t="shared" si="0"/>
        <v>253.44900000000004</v>
      </c>
      <c r="O17">
        <f t="shared" si="0"/>
        <v>253.44900000000004</v>
      </c>
      <c r="P17">
        <f t="shared" si="0"/>
        <v>253.44900000000004</v>
      </c>
    </row>
    <row r="19" spans="1:16" x14ac:dyDescent="0.35">
      <c r="A19" t="s">
        <v>110</v>
      </c>
      <c r="B19">
        <f>B17*B16</f>
        <v>174.45739500000002</v>
      </c>
      <c r="C19">
        <f t="shared" ref="C19:P19" si="1">C17*C16</f>
        <v>174.45739500000002</v>
      </c>
      <c r="D19">
        <f t="shared" si="1"/>
        <v>174.45739500000002</v>
      </c>
      <c r="E19">
        <f t="shared" si="1"/>
        <v>175.19662124999999</v>
      </c>
      <c r="F19">
        <f t="shared" si="1"/>
        <v>175.19662124999999</v>
      </c>
      <c r="G19">
        <f t="shared" si="1"/>
        <v>175.19662124999999</v>
      </c>
      <c r="H19">
        <f t="shared" si="1"/>
        <v>175.93584750000002</v>
      </c>
      <c r="I19">
        <f t="shared" si="1"/>
        <v>175.93584750000002</v>
      </c>
      <c r="J19">
        <f t="shared" si="1"/>
        <v>175.93584750000002</v>
      </c>
      <c r="K19">
        <f t="shared" si="1"/>
        <v>176.67507375000002</v>
      </c>
      <c r="L19">
        <f t="shared" si="1"/>
        <v>176.67507375000002</v>
      </c>
      <c r="M19">
        <f t="shared" si="1"/>
        <v>176.67507375000002</v>
      </c>
      <c r="N19">
        <f t="shared" si="1"/>
        <v>177.41430000000003</v>
      </c>
      <c r="O19">
        <f t="shared" si="1"/>
        <v>177.41430000000003</v>
      </c>
      <c r="P19">
        <f t="shared" si="1"/>
        <v>177.41430000000003</v>
      </c>
    </row>
    <row r="21" spans="1:16" x14ac:dyDescent="0.35">
      <c r="A21" t="s">
        <v>101</v>
      </c>
      <c r="B21">
        <f t="shared" ref="B21:P21" si="2">B22*(B12/B11)</f>
        <v>0</v>
      </c>
      <c r="C21">
        <f t="shared" si="2"/>
        <v>379.86068868035625</v>
      </c>
      <c r="D21">
        <f t="shared" si="2"/>
        <v>100.65933752257487</v>
      </c>
      <c r="E21">
        <f t="shared" si="2"/>
        <v>100.8900546635364</v>
      </c>
      <c r="F21">
        <f t="shared" si="2"/>
        <v>399.34380760661838</v>
      </c>
      <c r="G21">
        <f t="shared" si="2"/>
        <v>104.64562381372733</v>
      </c>
      <c r="H21">
        <f t="shared" si="2"/>
        <v>107.2579887532725</v>
      </c>
      <c r="I21">
        <f t="shared" si="2"/>
        <v>431.39243478619329</v>
      </c>
      <c r="J21">
        <f t="shared" si="2"/>
        <v>117.66391862028146</v>
      </c>
      <c r="K21">
        <f t="shared" si="2"/>
        <v>117.66181081463711</v>
      </c>
      <c r="L21">
        <f t="shared" si="2"/>
        <v>487.84596679119477</v>
      </c>
      <c r="M21">
        <f t="shared" si="2"/>
        <v>138.71692084850085</v>
      </c>
      <c r="N21">
        <f t="shared" si="2"/>
        <v>138.31540364897864</v>
      </c>
      <c r="O21">
        <f t="shared" si="2"/>
        <v>333.84453178224408</v>
      </c>
      <c r="P21">
        <f t="shared" si="2"/>
        <v>0</v>
      </c>
    </row>
    <row r="22" spans="1:16" x14ac:dyDescent="0.35">
      <c r="A22" t="s">
        <v>105</v>
      </c>
      <c r="B22">
        <v>0</v>
      </c>
      <c r="C22">
        <f>C19/TAN((C4*PI()/180))</f>
        <v>336.45354750000013</v>
      </c>
      <c r="D22">
        <f>D19/TAN((180-D4)*PI()/180)</f>
        <v>87.228697500000024</v>
      </c>
      <c r="E22">
        <f>E19/TAN((180-E4)*PI()/180)</f>
        <v>87.598310625000011</v>
      </c>
      <c r="F22">
        <f>F19/TAN((F4*PI()/180))</f>
        <v>337.87919812500007</v>
      </c>
      <c r="G22">
        <f>G19/TAN((180-G4)*PI()/180)</f>
        <v>87.598310625000011</v>
      </c>
      <c r="H22">
        <f>H19/TAN((180-H4)*PI()/180)</f>
        <v>87.967923750000026</v>
      </c>
      <c r="I22">
        <f>I19/TAN((I4*PI()/180))</f>
        <v>339.30484875000013</v>
      </c>
      <c r="J22">
        <f>J19/TAN((180-J4)*PI()/180)</f>
        <v>87.967923750000026</v>
      </c>
      <c r="K22">
        <f>K19/TAN((180-K4)*PI()/180)</f>
        <v>88.337536875000026</v>
      </c>
      <c r="L22">
        <f>L19/TAN((L4*PI()/180))</f>
        <v>340.73049937500014</v>
      </c>
      <c r="M22">
        <f>M19/TAN((180-M4)*PI()/180)</f>
        <v>88.337536875000026</v>
      </c>
      <c r="N22">
        <f>N19/TAN((180-N4)*PI()/180)</f>
        <v>88.707150000000027</v>
      </c>
      <c r="O22">
        <f>O19/TAN((O4*PI()/180))</f>
        <v>202.75920000000005</v>
      </c>
      <c r="P22">
        <v>0</v>
      </c>
    </row>
    <row r="23" spans="1:16" x14ac:dyDescent="0.35">
      <c r="A23" t="s">
        <v>102</v>
      </c>
      <c r="B23">
        <f t="shared" ref="B23:P23" si="3">B22*B12/B13</f>
        <v>0</v>
      </c>
      <c r="C23">
        <f t="shared" si="3"/>
        <v>301.94942125499318</v>
      </c>
      <c r="D23">
        <f t="shared" si="3"/>
        <v>76.960159798719872</v>
      </c>
      <c r="E23">
        <f t="shared" si="3"/>
        <v>77.401113381035344</v>
      </c>
      <c r="F23">
        <f t="shared" si="3"/>
        <v>292.81141682026134</v>
      </c>
      <c r="G23">
        <f t="shared" si="3"/>
        <v>75.327131435712516</v>
      </c>
      <c r="H23">
        <f t="shared" si="3"/>
        <v>74.558733193778963</v>
      </c>
      <c r="I23">
        <f t="shared" si="3"/>
        <v>279.61629673482275</v>
      </c>
      <c r="J23">
        <f t="shared" si="3"/>
        <v>70.240612770025777</v>
      </c>
      <c r="K23">
        <f t="shared" si="3"/>
        <v>70.713867703827233</v>
      </c>
      <c r="L23">
        <f t="shared" si="3"/>
        <v>261.7859777426292</v>
      </c>
      <c r="M23">
        <f t="shared" si="3"/>
        <v>64.802488457802696</v>
      </c>
      <c r="N23">
        <f t="shared" si="3"/>
        <v>65.290157903572634</v>
      </c>
      <c r="O23">
        <f t="shared" si="3"/>
        <v>145.59196019283766</v>
      </c>
      <c r="P23">
        <f t="shared" si="3"/>
        <v>0</v>
      </c>
    </row>
    <row r="24" spans="1:16" x14ac:dyDescent="0.35">
      <c r="A24" t="s">
        <v>103</v>
      </c>
      <c r="B24">
        <f t="shared" ref="B24:P24" si="4">B$15*B11/2</f>
        <v>224.71416401046767</v>
      </c>
      <c r="C24">
        <f t="shared" si="4"/>
        <v>220.74562439972667</v>
      </c>
      <c r="D24">
        <f t="shared" si="4"/>
        <v>215.97160864740792</v>
      </c>
      <c r="E24">
        <f t="shared" si="4"/>
        <v>217.30767219664816</v>
      </c>
      <c r="F24">
        <f t="shared" si="4"/>
        <v>211.75915079623701</v>
      </c>
      <c r="G24">
        <f t="shared" si="4"/>
        <v>209.50883685065949</v>
      </c>
      <c r="H24">
        <f t="shared" si="4"/>
        <v>206.13464517611425</v>
      </c>
      <c r="I24">
        <f t="shared" si="4"/>
        <v>197.68505529004361</v>
      </c>
      <c r="J24">
        <f t="shared" si="4"/>
        <v>187.90456508005929</v>
      </c>
      <c r="K24">
        <f t="shared" si="4"/>
        <v>189.49030681636137</v>
      </c>
      <c r="L24">
        <f t="shared" si="4"/>
        <v>176.28101082194473</v>
      </c>
      <c r="M24">
        <f t="shared" si="4"/>
        <v>160.7285722279295</v>
      </c>
      <c r="N24">
        <f t="shared" si="4"/>
        <v>162.54688825119896</v>
      </c>
      <c r="O24">
        <f t="shared" si="4"/>
        <v>153.93128114591815</v>
      </c>
      <c r="P24">
        <f t="shared" si="4"/>
        <v>138.25561604144553</v>
      </c>
    </row>
    <row r="25" spans="1:16" x14ac:dyDescent="0.35">
      <c r="A25" t="s">
        <v>106</v>
      </c>
      <c r="B25">
        <f t="shared" ref="B25:P25" si="5">B$15*B12/2</f>
        <v>249.22485000000003</v>
      </c>
      <c r="C25">
        <f t="shared" si="5"/>
        <v>249.22485000000003</v>
      </c>
      <c r="D25">
        <f t="shared" si="5"/>
        <v>249.22485000000003</v>
      </c>
      <c r="E25">
        <f t="shared" si="5"/>
        <v>250.28088750000001</v>
      </c>
      <c r="F25">
        <f t="shared" si="5"/>
        <v>250.28088750000001</v>
      </c>
      <c r="G25">
        <f t="shared" si="5"/>
        <v>250.28088750000001</v>
      </c>
      <c r="H25">
        <f t="shared" si="5"/>
        <v>251.33692500000006</v>
      </c>
      <c r="I25">
        <f t="shared" si="5"/>
        <v>251.33692500000006</v>
      </c>
      <c r="J25">
        <f t="shared" si="5"/>
        <v>251.33692500000006</v>
      </c>
      <c r="K25">
        <f t="shared" si="5"/>
        <v>252.39296250000004</v>
      </c>
      <c r="L25">
        <f t="shared" si="5"/>
        <v>252.39296250000004</v>
      </c>
      <c r="M25">
        <f t="shared" si="5"/>
        <v>252.39296250000004</v>
      </c>
      <c r="N25">
        <f t="shared" si="5"/>
        <v>253.44900000000004</v>
      </c>
      <c r="O25">
        <f t="shared" si="5"/>
        <v>253.44900000000004</v>
      </c>
      <c r="P25">
        <f t="shared" si="5"/>
        <v>253.44900000000004</v>
      </c>
    </row>
    <row r="26" spans="1:16" x14ac:dyDescent="0.35">
      <c r="A26" t="s">
        <v>104</v>
      </c>
      <c r="B26">
        <f t="shared" ref="B26:P26" si="6">B$15*B13/2</f>
        <v>273.73553598953237</v>
      </c>
      <c r="C26">
        <f t="shared" si="6"/>
        <v>277.70407560027337</v>
      </c>
      <c r="D26">
        <f t="shared" si="6"/>
        <v>282.47809135259212</v>
      </c>
      <c r="E26">
        <f t="shared" si="6"/>
        <v>283.25410280335188</v>
      </c>
      <c r="F26">
        <f t="shared" si="6"/>
        <v>288.80262420376306</v>
      </c>
      <c r="G26">
        <f t="shared" si="6"/>
        <v>291.05293814934055</v>
      </c>
      <c r="H26">
        <f t="shared" si="6"/>
        <v>296.53920482388583</v>
      </c>
      <c r="I26">
        <f t="shared" si="6"/>
        <v>304.98879470995649</v>
      </c>
      <c r="J26">
        <f t="shared" si="6"/>
        <v>314.76928491994079</v>
      </c>
      <c r="K26">
        <f t="shared" si="6"/>
        <v>315.29561818363874</v>
      </c>
      <c r="L26">
        <f t="shared" si="6"/>
        <v>328.50491417805534</v>
      </c>
      <c r="M26">
        <f t="shared" si="6"/>
        <v>344.05735277207054</v>
      </c>
      <c r="N26">
        <f t="shared" si="6"/>
        <v>344.35111174880109</v>
      </c>
      <c r="O26">
        <f t="shared" si="6"/>
        <v>352.96671885408188</v>
      </c>
      <c r="P26">
        <f t="shared" si="6"/>
        <v>368.64238395855455</v>
      </c>
    </row>
    <row r="29" spans="1:16" x14ac:dyDescent="0.25">
      <c r="A29" t="s">
        <v>131</v>
      </c>
    </row>
  </sheetData>
  <mergeCells count="2">
    <mergeCell ref="K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zoomScaleNormal="100" workbookViewId="0">
      <selection activeCell="M53" sqref="M53"/>
    </sheetView>
  </sheetViews>
  <sheetFormatPr defaultRowHeight="15" x14ac:dyDescent="0.25"/>
  <cols>
    <col min="1" max="1" width="18" customWidth="1"/>
    <col min="2" max="17" width="8" customWidth="1"/>
  </cols>
  <sheetData>
    <row r="1" spans="1:22" x14ac:dyDescent="0.25">
      <c r="B1" t="s">
        <v>117</v>
      </c>
    </row>
    <row r="2" spans="1:22" x14ac:dyDescent="0.25">
      <c r="A2" t="s">
        <v>118</v>
      </c>
      <c r="B2" t="s">
        <v>121</v>
      </c>
      <c r="H2" t="s">
        <v>14</v>
      </c>
    </row>
    <row r="3" spans="1:22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H3" s="1">
        <v>0.34846810134692269</v>
      </c>
      <c r="I3" s="1">
        <v>0.4048887769602274</v>
      </c>
      <c r="J3">
        <v>0.47276089631752649</v>
      </c>
      <c r="K3">
        <v>0.47076612460310657</v>
      </c>
      <c r="L3">
        <v>0.5499836316893334</v>
      </c>
      <c r="M3">
        <v>0.58211187776887674</v>
      </c>
      <c r="N3">
        <v>0.64808632315272663</v>
      </c>
      <c r="O3">
        <v>0.76923206320715487</v>
      </c>
      <c r="P3">
        <v>0.90945954650038696</v>
      </c>
      <c r="Q3">
        <v>0.90565427643134777</v>
      </c>
      <c r="R3">
        <v>1.0958379066131583</v>
      </c>
      <c r="S3">
        <v>1.3197574274748101</v>
      </c>
      <c r="T3">
        <v>1.3142584381936651</v>
      </c>
      <c r="U3" s="1">
        <v>1.4388224787911705</v>
      </c>
      <c r="V3" s="1">
        <v>1.6654605044817326</v>
      </c>
    </row>
    <row r="4" spans="1:22" x14ac:dyDescent="0.35">
      <c r="A4" t="s">
        <v>120</v>
      </c>
      <c r="B4">
        <f>469.35/2/PI()</f>
        <v>74.699372540181088</v>
      </c>
      <c r="C4">
        <f t="shared" ref="C4:F4" si="0">469.35/2/PI()</f>
        <v>74.699372540181088</v>
      </c>
      <c r="D4">
        <f t="shared" si="0"/>
        <v>74.699372540181088</v>
      </c>
      <c r="E4">
        <f t="shared" si="0"/>
        <v>74.699372540181088</v>
      </c>
      <c r="F4">
        <f t="shared" si="0"/>
        <v>74.699372540181088</v>
      </c>
    </row>
    <row r="5" spans="1:22" x14ac:dyDescent="0.25">
      <c r="A5" t="s">
        <v>113</v>
      </c>
      <c r="B5">
        <v>8000</v>
      </c>
      <c r="C5">
        <v>8000</v>
      </c>
      <c r="D5">
        <v>8000</v>
      </c>
      <c r="E5">
        <v>8000</v>
      </c>
      <c r="F5">
        <v>8000</v>
      </c>
    </row>
    <row r="6" spans="1:22" x14ac:dyDescent="0.25">
      <c r="A6" t="s">
        <v>116</v>
      </c>
      <c r="B6" s="1">
        <f>AVERAGE(I3:J3)</f>
        <v>0.43882483663887695</v>
      </c>
      <c r="C6" s="1">
        <f>AVERAGE(L3:M3)</f>
        <v>0.56604775472910507</v>
      </c>
      <c r="D6" s="1">
        <f>AVERAGE(O3:P3)</f>
        <v>0.83934580485377097</v>
      </c>
      <c r="E6" s="1">
        <f>AVERAGE(R3:S3)</f>
        <v>1.2077976670439843</v>
      </c>
      <c r="F6" s="1">
        <f>AVERAGE(U3:V3)</f>
        <v>1.5521414916364515</v>
      </c>
    </row>
    <row r="7" spans="1:22" x14ac:dyDescent="0.25">
      <c r="A7" t="s">
        <v>114</v>
      </c>
      <c r="B7">
        <f>2*PI()*B4^2*B5*B6/1000000</f>
        <v>123.08211853166291</v>
      </c>
      <c r="C7">
        <f t="shared" ref="C7:F7" si="1">2*PI()*C4^2*C5*C6/1000000</f>
        <v>158.7657557757683</v>
      </c>
      <c r="D7">
        <f t="shared" si="1"/>
        <v>235.42072192937815</v>
      </c>
      <c r="E7">
        <f t="shared" si="1"/>
        <v>338.76454385764242</v>
      </c>
      <c r="F7">
        <f t="shared" si="1"/>
        <v>435.34651437407922</v>
      </c>
    </row>
    <row r="8" spans="1:22" x14ac:dyDescent="0.25">
      <c r="A8" t="s">
        <v>115</v>
      </c>
      <c r="B8">
        <f>B7*2</f>
        <v>246.16423706332583</v>
      </c>
      <c r="C8">
        <f t="shared" ref="C8:F8" si="2">C7*2</f>
        <v>317.5315115515366</v>
      </c>
      <c r="D8">
        <f t="shared" si="2"/>
        <v>470.84144385875629</v>
      </c>
      <c r="E8">
        <f t="shared" si="2"/>
        <v>677.52908771528485</v>
      </c>
      <c r="F8">
        <f t="shared" si="2"/>
        <v>870.69302874815844</v>
      </c>
    </row>
    <row r="11" spans="1:22" x14ac:dyDescent="0.25">
      <c r="A11" t="s">
        <v>119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</row>
    <row r="12" spans="1:22" x14ac:dyDescent="0.25">
      <c r="A12" t="s">
        <v>120</v>
      </c>
      <c r="B12" s="2">
        <f>469.35/2/PI()</f>
        <v>74.699372540181088</v>
      </c>
      <c r="C12" s="2">
        <f t="shared" ref="C12:Q12" si="3">469.35/2/PI()</f>
        <v>74.699372540181088</v>
      </c>
      <c r="D12" s="2">
        <f t="shared" si="3"/>
        <v>74.699372540181088</v>
      </c>
      <c r="E12" s="2">
        <f t="shared" si="3"/>
        <v>74.699372540181088</v>
      </c>
      <c r="F12" s="2">
        <f t="shared" si="3"/>
        <v>74.699372540181088</v>
      </c>
      <c r="G12" s="2">
        <f>469.35/2/PI()</f>
        <v>74.699372540181088</v>
      </c>
      <c r="H12" s="2">
        <f t="shared" si="3"/>
        <v>74.699372540181088</v>
      </c>
      <c r="I12" s="2">
        <f t="shared" si="3"/>
        <v>74.699372540181088</v>
      </c>
      <c r="J12" s="2">
        <f t="shared" si="3"/>
        <v>74.699372540181088</v>
      </c>
      <c r="K12" s="2">
        <f t="shared" si="3"/>
        <v>74.699372540181088</v>
      </c>
      <c r="L12" s="2">
        <f>469.35/2/PI()</f>
        <v>74.699372540181088</v>
      </c>
      <c r="M12" s="2">
        <f t="shared" si="3"/>
        <v>74.699372540181088</v>
      </c>
      <c r="N12" s="2">
        <f t="shared" si="3"/>
        <v>74.699372540181088</v>
      </c>
      <c r="O12" s="2">
        <f t="shared" si="3"/>
        <v>74.699372540181088</v>
      </c>
      <c r="P12" s="2">
        <f t="shared" si="3"/>
        <v>74.699372540181088</v>
      </c>
      <c r="Q12" s="2">
        <f t="shared" si="3"/>
        <v>74.699372540181088</v>
      </c>
    </row>
    <row r="13" spans="1:22" x14ac:dyDescent="0.25">
      <c r="A13" t="s">
        <v>123</v>
      </c>
      <c r="B13" s="2">
        <v>2800</v>
      </c>
      <c r="C13" s="2">
        <v>2800</v>
      </c>
      <c r="D13" s="2">
        <v>2800</v>
      </c>
      <c r="E13" s="2">
        <v>2800</v>
      </c>
      <c r="F13" s="2">
        <v>2800</v>
      </c>
      <c r="G13" s="2">
        <v>2800</v>
      </c>
      <c r="H13" s="2">
        <v>2800</v>
      </c>
      <c r="I13" s="2">
        <v>7700</v>
      </c>
      <c r="J13" s="2">
        <v>7700</v>
      </c>
      <c r="K13" s="2">
        <v>7700</v>
      </c>
      <c r="L13" s="2">
        <v>7700</v>
      </c>
      <c r="M13" s="2">
        <v>7700</v>
      </c>
      <c r="N13" s="2">
        <v>7700</v>
      </c>
      <c r="O13" s="2">
        <v>7700</v>
      </c>
      <c r="P13" s="2">
        <v>7700</v>
      </c>
      <c r="Q13" s="2">
        <v>7700</v>
      </c>
    </row>
    <row r="14" spans="1:22" x14ac:dyDescent="0.25">
      <c r="A14" t="s">
        <v>116</v>
      </c>
      <c r="B14" s="2">
        <v>0.87228960067881567</v>
      </c>
      <c r="C14" s="2">
        <v>0.77282901646867264</v>
      </c>
      <c r="D14" s="2">
        <v>0.65892051821444575</v>
      </c>
      <c r="E14" s="2">
        <v>0.60692276169023029</v>
      </c>
      <c r="F14" s="2">
        <v>0.55033588707061609</v>
      </c>
      <c r="G14" s="2">
        <v>0.50134174917384433</v>
      </c>
      <c r="H14" s="2">
        <v>0.44615366064561945</v>
      </c>
      <c r="I14" s="2">
        <v>0.41670582272081325</v>
      </c>
      <c r="J14" s="2">
        <v>0.37472904072673435</v>
      </c>
      <c r="K14" s="2">
        <v>0.33926958473666402</v>
      </c>
      <c r="L14" s="2">
        <v>0.30848598390244775</v>
      </c>
      <c r="M14" s="2">
        <v>0.28160149669064805</v>
      </c>
      <c r="N14" s="2">
        <v>0.25799298194143616</v>
      </c>
      <c r="O14" s="2">
        <v>0.23715602338057054</v>
      </c>
      <c r="P14" s="2">
        <v>0.21867892222905569</v>
      </c>
      <c r="Q14" s="2">
        <v>0.20350141211513201</v>
      </c>
    </row>
    <row r="15" spans="1:22" x14ac:dyDescent="0.25">
      <c r="A15" t="s">
        <v>122</v>
      </c>
      <c r="B15" s="2">
        <f>2*PI()*B12^2*B13*B14/1000000</f>
        <v>85.631293106510853</v>
      </c>
      <c r="C15" s="2">
        <f t="shared" ref="C15:Q15" si="4">2*PI()*C12^2*C13*C14/1000000</f>
        <v>75.867404562596434</v>
      </c>
      <c r="D15" s="2">
        <f t="shared" si="4"/>
        <v>64.685187104381285</v>
      </c>
      <c r="E15" s="2">
        <f t="shared" si="4"/>
        <v>59.580649429805042</v>
      </c>
      <c r="F15" s="2">
        <f t="shared" si="4"/>
        <v>54.025605276163049</v>
      </c>
      <c r="G15" s="2">
        <f t="shared" si="4"/>
        <v>49.215928100745174</v>
      </c>
      <c r="H15" s="2">
        <f t="shared" si="4"/>
        <v>43.798200569577929</v>
      </c>
      <c r="I15" s="2">
        <f t="shared" si="4"/>
        <v>112.49522021846263</v>
      </c>
      <c r="J15" s="2">
        <f t="shared" si="4"/>
        <v>101.16303555242283</v>
      </c>
      <c r="K15" s="2">
        <f t="shared" si="4"/>
        <v>91.590288801767443</v>
      </c>
      <c r="L15" s="2">
        <f t="shared" si="4"/>
        <v>83.279850679373894</v>
      </c>
      <c r="M15" s="2">
        <f>2*PI()*M12^2*M13*M14/1000000</f>
        <v>76.022029587255062</v>
      </c>
      <c r="N15" s="2">
        <f t="shared" si="4"/>
        <v>69.648600369485791</v>
      </c>
      <c r="O15" s="2">
        <f t="shared" si="4"/>
        <v>64.02338921528974</v>
      </c>
      <c r="P15" s="2">
        <f t="shared" si="4"/>
        <v>59.03525262178912</v>
      </c>
      <c r="Q15" s="2">
        <f t="shared" si="4"/>
        <v>54.937884047753812</v>
      </c>
    </row>
    <row r="16" spans="1:22" x14ac:dyDescent="0.25">
      <c r="A16" t="s">
        <v>115</v>
      </c>
      <c r="B16" s="2">
        <f>B15*2</f>
        <v>171.26258621302171</v>
      </c>
      <c r="C16" s="2">
        <f t="shared" ref="C16:Q16" si="5">C15*2</f>
        <v>151.73480912519287</v>
      </c>
      <c r="D16" s="2">
        <f t="shared" si="5"/>
        <v>129.37037420876257</v>
      </c>
      <c r="E16" s="2">
        <f t="shared" si="5"/>
        <v>119.16129885961008</v>
      </c>
      <c r="F16" s="2">
        <f t="shared" si="5"/>
        <v>108.0512105523261</v>
      </c>
      <c r="G16" s="2">
        <f t="shared" si="5"/>
        <v>98.431856201490348</v>
      </c>
      <c r="H16" s="2">
        <f t="shared" si="5"/>
        <v>87.596401139155859</v>
      </c>
      <c r="I16" s="2">
        <f t="shared" si="5"/>
        <v>224.99044043692527</v>
      </c>
      <c r="J16" s="2">
        <f t="shared" si="5"/>
        <v>202.32607110484565</v>
      </c>
      <c r="K16" s="2">
        <f t="shared" si="5"/>
        <v>183.18057760353489</v>
      </c>
      <c r="L16" s="2">
        <f t="shared" si="5"/>
        <v>166.55970135874779</v>
      </c>
      <c r="M16" s="2">
        <f t="shared" si="5"/>
        <v>152.04405917451012</v>
      </c>
      <c r="N16" s="2">
        <f t="shared" si="5"/>
        <v>139.29720073897158</v>
      </c>
      <c r="O16" s="2">
        <f t="shared" si="5"/>
        <v>128.04677843057948</v>
      </c>
      <c r="P16" s="2">
        <f t="shared" si="5"/>
        <v>118.07050524357824</v>
      </c>
      <c r="Q16" s="2">
        <f t="shared" si="5"/>
        <v>109.87576809550762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Velocity,angles and geometry</vt:lpstr>
      <vt:lpstr>thermodynamics properties</vt:lpstr>
      <vt:lpstr>Sheet3</vt:lpstr>
      <vt:lpstr>turbine blade twist angles</vt:lpstr>
      <vt:lpstr>stress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2016-05-10T01:50:02Z</dcterms:modified>
</cp:coreProperties>
</file>