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cedricfraces/Aiolitic Dropbox/Cedric Fraces/Stanford/Classes/ERE-267 Engineering Valuation and Apraisal of Assets/2019/Homeworks/Hw-2/"/>
    </mc:Choice>
  </mc:AlternateContent>
  <xr:revisionPtr revIDLastSave="0" documentId="13_ncr:1_{F56CE01A-DF7D-6948-B91C-83A1F54E437D}" xr6:coauthVersionLast="40" xr6:coauthVersionMax="40" xr10:uidLastSave="{00000000-0000-0000-0000-000000000000}"/>
  <bookViews>
    <workbookView xWindow="0" yWindow="460" windowWidth="28800" windowHeight="16080" activeTab="1" xr2:uid="{00000000-000D-0000-FFFF-FFFF00000000}"/>
  </bookViews>
  <sheets>
    <sheet name="Changing gas price" sheetId="1" r:id="rId1"/>
    <sheet name="Stable gas pri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11" i="1"/>
  <c r="U31" i="1" l="1"/>
  <c r="E11" i="3" l="1"/>
  <c r="F11" i="3"/>
  <c r="G11" i="3"/>
  <c r="H11" i="3"/>
  <c r="J11" i="3"/>
  <c r="D12" i="3"/>
  <c r="C12" i="3"/>
  <c r="E12" i="3"/>
  <c r="F12" i="3"/>
  <c r="G12" i="3"/>
  <c r="H12" i="3"/>
  <c r="J12" i="3"/>
  <c r="D13" i="3"/>
  <c r="C13" i="3"/>
  <c r="E13" i="3"/>
  <c r="F13" i="3"/>
  <c r="G13" i="3"/>
  <c r="H13" i="3"/>
  <c r="J13" i="3"/>
  <c r="D14" i="3"/>
  <c r="C14" i="3"/>
  <c r="E14" i="3"/>
  <c r="F14" i="3"/>
  <c r="G14" i="3"/>
  <c r="H14" i="3"/>
  <c r="J14" i="3"/>
  <c r="D15" i="3"/>
  <c r="C15" i="3"/>
  <c r="E15" i="3"/>
  <c r="F15" i="3"/>
  <c r="G15" i="3"/>
  <c r="H15" i="3"/>
  <c r="J15" i="3"/>
  <c r="D16" i="3"/>
  <c r="C16" i="3"/>
  <c r="E16" i="3"/>
  <c r="F16" i="3"/>
  <c r="G16" i="3"/>
  <c r="H16" i="3"/>
  <c r="J16" i="3"/>
  <c r="D17" i="3"/>
  <c r="C17" i="3"/>
  <c r="E17" i="3"/>
  <c r="F17" i="3"/>
  <c r="G17" i="3"/>
  <c r="H17" i="3"/>
  <c r="J17" i="3"/>
  <c r="D18" i="3"/>
  <c r="C18" i="3"/>
  <c r="E18" i="3"/>
  <c r="F18" i="3"/>
  <c r="G18" i="3"/>
  <c r="H18" i="3"/>
  <c r="J18" i="3"/>
  <c r="D19" i="3"/>
  <c r="C19" i="3"/>
  <c r="E19" i="3"/>
  <c r="F19" i="3"/>
  <c r="G19" i="3"/>
  <c r="H19" i="3"/>
  <c r="J19" i="3"/>
  <c r="D20" i="3"/>
  <c r="C20" i="3"/>
  <c r="E20" i="3"/>
  <c r="F20" i="3"/>
  <c r="G20" i="3"/>
  <c r="H20" i="3"/>
  <c r="J20" i="3"/>
  <c r="D21" i="3"/>
  <c r="C21" i="3"/>
  <c r="E21" i="3"/>
  <c r="F21" i="3"/>
  <c r="G21" i="3"/>
  <c r="H21" i="3"/>
  <c r="J21" i="3"/>
  <c r="D22" i="3"/>
  <c r="C22" i="3"/>
  <c r="E22" i="3"/>
  <c r="F22" i="3"/>
  <c r="G22" i="3"/>
  <c r="H22" i="3"/>
  <c r="J22" i="3"/>
  <c r="D23" i="3"/>
  <c r="C23" i="3"/>
  <c r="E23" i="3"/>
  <c r="F23" i="3"/>
  <c r="G23" i="3"/>
  <c r="H23" i="3"/>
  <c r="J23" i="3"/>
  <c r="D24" i="3"/>
  <c r="C24" i="3"/>
  <c r="E24" i="3"/>
  <c r="F24" i="3"/>
  <c r="G24" i="3"/>
  <c r="H24" i="3"/>
  <c r="J24" i="3"/>
  <c r="D25" i="3"/>
  <c r="C25" i="3"/>
  <c r="E25" i="3"/>
  <c r="F25" i="3"/>
  <c r="G25" i="3"/>
  <c r="H25" i="3"/>
  <c r="J25" i="3"/>
  <c r="D26" i="3"/>
  <c r="C26" i="3"/>
  <c r="E26" i="3"/>
  <c r="F26" i="3"/>
  <c r="G26" i="3"/>
  <c r="H26" i="3"/>
  <c r="J26" i="3"/>
  <c r="D27" i="3"/>
  <c r="C27" i="3"/>
  <c r="E27" i="3"/>
  <c r="F27" i="3"/>
  <c r="G27" i="3"/>
  <c r="H27" i="3"/>
  <c r="J27" i="3"/>
  <c r="D28" i="3"/>
  <c r="C28" i="3"/>
  <c r="E28" i="3"/>
  <c r="F28" i="3"/>
  <c r="G28" i="3"/>
  <c r="H28" i="3"/>
  <c r="J28" i="3"/>
  <c r="D29" i="3"/>
  <c r="C29" i="3"/>
  <c r="E29" i="3"/>
  <c r="F29" i="3"/>
  <c r="G29" i="3"/>
  <c r="H29" i="3"/>
  <c r="J29" i="3"/>
  <c r="D30" i="3"/>
  <c r="C30" i="3"/>
  <c r="E30" i="3"/>
  <c r="F30" i="3"/>
  <c r="G30" i="3"/>
  <c r="H30" i="3"/>
  <c r="J30" i="3"/>
  <c r="J31" i="3"/>
  <c r="M33" i="3"/>
  <c r="E11" i="1"/>
  <c r="F11" i="1"/>
  <c r="G11" i="1"/>
  <c r="H11" i="1"/>
  <c r="J11" i="1"/>
  <c r="D12" i="1"/>
  <c r="C12" i="1"/>
  <c r="E12" i="1"/>
  <c r="F12" i="1"/>
  <c r="G12" i="1"/>
  <c r="H12" i="1"/>
  <c r="I12" i="1"/>
  <c r="J12" i="1"/>
  <c r="D13" i="1"/>
  <c r="C13" i="1"/>
  <c r="E13" i="1"/>
  <c r="F13" i="1"/>
  <c r="G13" i="1"/>
  <c r="H13" i="1"/>
  <c r="I13" i="1"/>
  <c r="J13" i="1"/>
  <c r="D14" i="1"/>
  <c r="C14" i="1"/>
  <c r="E14" i="1"/>
  <c r="F14" i="1"/>
  <c r="G14" i="1"/>
  <c r="H14" i="1"/>
  <c r="I14" i="1"/>
  <c r="J14" i="1"/>
  <c r="D15" i="1"/>
  <c r="C15" i="1"/>
  <c r="E15" i="1"/>
  <c r="F15" i="1"/>
  <c r="G15" i="1"/>
  <c r="H15" i="1"/>
  <c r="I15" i="1"/>
  <c r="J15" i="1"/>
  <c r="D16" i="1"/>
  <c r="C16" i="1"/>
  <c r="E16" i="1"/>
  <c r="F16" i="1"/>
  <c r="G16" i="1"/>
  <c r="H16" i="1"/>
  <c r="I16" i="1"/>
  <c r="J16" i="1"/>
  <c r="D17" i="1"/>
  <c r="C17" i="1"/>
  <c r="E17" i="1"/>
  <c r="F17" i="1"/>
  <c r="G17" i="1"/>
  <c r="H17" i="1"/>
  <c r="I17" i="1"/>
  <c r="J17" i="1"/>
  <c r="D18" i="1"/>
  <c r="C18" i="1"/>
  <c r="E18" i="1"/>
  <c r="F18" i="1"/>
  <c r="G18" i="1"/>
  <c r="H18" i="1"/>
  <c r="I18" i="1"/>
  <c r="J18" i="1"/>
  <c r="D19" i="1"/>
  <c r="C19" i="1"/>
  <c r="E19" i="1"/>
  <c r="F19" i="1"/>
  <c r="G19" i="1"/>
  <c r="H19" i="1"/>
  <c r="I19" i="1"/>
  <c r="J19" i="1"/>
  <c r="D20" i="1"/>
  <c r="C20" i="1"/>
  <c r="E20" i="1"/>
  <c r="F20" i="1"/>
  <c r="G20" i="1"/>
  <c r="H20" i="1"/>
  <c r="I20" i="1"/>
  <c r="J20" i="1"/>
  <c r="D21" i="1"/>
  <c r="C21" i="1"/>
  <c r="E21" i="1"/>
  <c r="F21" i="1"/>
  <c r="G21" i="1"/>
  <c r="H21" i="1"/>
  <c r="I21" i="1"/>
  <c r="J21" i="1"/>
  <c r="D22" i="1"/>
  <c r="C22" i="1"/>
  <c r="E22" i="1"/>
  <c r="F22" i="1"/>
  <c r="G22" i="1"/>
  <c r="H22" i="1"/>
  <c r="I22" i="1"/>
  <c r="J22" i="1"/>
  <c r="D23" i="1"/>
  <c r="C23" i="1"/>
  <c r="E23" i="1"/>
  <c r="F23" i="1"/>
  <c r="G23" i="1"/>
  <c r="H23" i="1"/>
  <c r="I23" i="1"/>
  <c r="J23" i="1"/>
  <c r="D24" i="1"/>
  <c r="C24" i="1"/>
  <c r="E24" i="1"/>
  <c r="F24" i="1"/>
  <c r="G24" i="1"/>
  <c r="H24" i="1"/>
  <c r="I24" i="1"/>
  <c r="J24" i="1"/>
  <c r="D25" i="1"/>
  <c r="C25" i="1"/>
  <c r="E25" i="1"/>
  <c r="F25" i="1"/>
  <c r="G25" i="1"/>
  <c r="H25" i="1"/>
  <c r="I25" i="1"/>
  <c r="J25" i="1"/>
  <c r="D26" i="1"/>
  <c r="C26" i="1"/>
  <c r="E26" i="1"/>
  <c r="F26" i="1"/>
  <c r="G26" i="1"/>
  <c r="H26" i="1"/>
  <c r="I26" i="1"/>
  <c r="J26" i="1"/>
  <c r="D27" i="1"/>
  <c r="C27" i="1"/>
  <c r="E27" i="1"/>
  <c r="F27" i="1"/>
  <c r="G27" i="1"/>
  <c r="H27" i="1"/>
  <c r="I27" i="1"/>
  <c r="J27" i="1"/>
  <c r="D28" i="1"/>
  <c r="C28" i="1"/>
  <c r="E28" i="1"/>
  <c r="F28" i="1"/>
  <c r="G28" i="1"/>
  <c r="H28" i="1"/>
  <c r="I28" i="1"/>
  <c r="J28" i="1"/>
  <c r="D29" i="1"/>
  <c r="C29" i="1"/>
  <c r="E29" i="1"/>
  <c r="F29" i="1"/>
  <c r="G29" i="1"/>
  <c r="H29" i="1"/>
  <c r="I29" i="1"/>
  <c r="J29" i="1"/>
  <c r="D30" i="1"/>
  <c r="C30" i="1"/>
  <c r="E30" i="1"/>
  <c r="F30" i="1"/>
  <c r="G30" i="1"/>
  <c r="H30" i="1"/>
  <c r="I30" i="1"/>
  <c r="J30" i="1"/>
  <c r="J31" i="1"/>
  <c r="M33" i="1"/>
  <c r="E34" i="3"/>
  <c r="D36" i="3"/>
  <c r="E35" i="3"/>
  <c r="C36" i="1"/>
  <c r="D35" i="1"/>
  <c r="D34" i="1"/>
  <c r="D3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2" i="3"/>
  <c r="A13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K12" i="3"/>
  <c r="L31" i="1"/>
  <c r="L31" i="3"/>
  <c r="I31" i="3"/>
  <c r="E36" i="3"/>
  <c r="K13" i="3"/>
  <c r="K12" i="1"/>
  <c r="K13" i="1"/>
  <c r="K14" i="1"/>
  <c r="C31" i="1"/>
  <c r="I31" i="1"/>
  <c r="N11" i="3"/>
  <c r="K14" i="3"/>
  <c r="O13" i="3"/>
  <c r="N11" i="1"/>
  <c r="O11" i="1"/>
  <c r="M11" i="1"/>
  <c r="M11" i="3"/>
  <c r="O11" i="3"/>
  <c r="O12" i="3"/>
  <c r="M12" i="3"/>
  <c r="Q12" i="3"/>
  <c r="P12" i="3"/>
  <c r="R12" i="3"/>
  <c r="S12" i="3"/>
  <c r="T12" i="3"/>
  <c r="R11" i="3"/>
  <c r="P11" i="3"/>
  <c r="T11" i="3"/>
  <c r="S11" i="3"/>
  <c r="Q11" i="3"/>
  <c r="P11" i="1"/>
  <c r="M13" i="3"/>
  <c r="M13" i="1"/>
  <c r="O13" i="1"/>
  <c r="N12" i="3"/>
  <c r="R11" i="1"/>
  <c r="T11" i="1"/>
  <c r="Q11" i="1"/>
  <c r="S11" i="1"/>
  <c r="K15" i="1"/>
  <c r="P13" i="3"/>
  <c r="Q13" i="3"/>
  <c r="S13" i="3"/>
  <c r="R13" i="3"/>
  <c r="T13" i="3"/>
  <c r="K15" i="3"/>
  <c r="M15" i="3"/>
  <c r="N13" i="3"/>
  <c r="K16" i="1"/>
  <c r="M14" i="3"/>
  <c r="O14" i="3"/>
  <c r="Q13" i="1"/>
  <c r="R13" i="1"/>
  <c r="T13" i="1"/>
  <c r="S13" i="1"/>
  <c r="P13" i="1"/>
  <c r="O12" i="1"/>
  <c r="M12" i="1"/>
  <c r="P15" i="3"/>
  <c r="S15" i="3"/>
  <c r="Q15" i="3"/>
  <c r="R15" i="3"/>
  <c r="T15" i="3"/>
  <c r="Q14" i="3"/>
  <c r="R14" i="3"/>
  <c r="S14" i="3"/>
  <c r="P14" i="3"/>
  <c r="T14" i="3"/>
  <c r="P12" i="1"/>
  <c r="O15" i="3"/>
  <c r="K16" i="3"/>
  <c r="O16" i="3"/>
  <c r="N14" i="3"/>
  <c r="N15" i="3"/>
  <c r="O14" i="1"/>
  <c r="M14" i="1"/>
  <c r="S12" i="1"/>
  <c r="R12" i="1"/>
  <c r="Q12" i="1"/>
  <c r="T12" i="1"/>
  <c r="N12" i="1"/>
  <c r="K17" i="1"/>
  <c r="M15" i="1"/>
  <c r="O15" i="1"/>
  <c r="K17" i="3"/>
  <c r="M16" i="3"/>
  <c r="N13" i="1"/>
  <c r="O16" i="1"/>
  <c r="M16" i="1"/>
  <c r="T14" i="1"/>
  <c r="R14" i="1"/>
  <c r="S14" i="1"/>
  <c r="P14" i="1"/>
  <c r="Q14" i="1"/>
  <c r="K18" i="1"/>
  <c r="R15" i="1"/>
  <c r="T15" i="1"/>
  <c r="S15" i="1"/>
  <c r="P15" i="1"/>
  <c r="Q15" i="1"/>
  <c r="Q16" i="3"/>
  <c r="R16" i="3"/>
  <c r="S16" i="3"/>
  <c r="T16" i="3"/>
  <c r="P16" i="3"/>
  <c r="M17" i="3"/>
  <c r="O17" i="3"/>
  <c r="K18" i="3"/>
  <c r="N16" i="3"/>
  <c r="N17" i="3"/>
  <c r="N14" i="1"/>
  <c r="N15" i="1"/>
  <c r="N16" i="1"/>
  <c r="O17" i="1"/>
  <c r="M17" i="1"/>
  <c r="K19" i="1"/>
  <c r="P16" i="1"/>
  <c r="Q16" i="1"/>
  <c r="R16" i="1"/>
  <c r="T16" i="1"/>
  <c r="S16" i="1"/>
  <c r="Q17" i="3"/>
  <c r="S17" i="3"/>
  <c r="R17" i="3"/>
  <c r="P17" i="3"/>
  <c r="T17" i="3"/>
  <c r="M18" i="3"/>
  <c r="O18" i="3"/>
  <c r="O19" i="3"/>
  <c r="K19" i="3"/>
  <c r="N17" i="1"/>
  <c r="K20" i="1"/>
  <c r="S17" i="1"/>
  <c r="T17" i="1"/>
  <c r="R17" i="1"/>
  <c r="Q17" i="1"/>
  <c r="P17" i="1"/>
  <c r="N18" i="3"/>
  <c r="O18" i="1"/>
  <c r="M18" i="1"/>
  <c r="M19" i="3"/>
  <c r="Q18" i="3"/>
  <c r="R18" i="3"/>
  <c r="S18" i="3"/>
  <c r="T18" i="3"/>
  <c r="P18" i="3"/>
  <c r="K20" i="3"/>
  <c r="M20" i="3"/>
  <c r="N19" i="3"/>
  <c r="M19" i="1"/>
  <c r="O19" i="1"/>
  <c r="K21" i="1"/>
  <c r="T18" i="1"/>
  <c r="R18" i="1"/>
  <c r="S18" i="1"/>
  <c r="P18" i="1"/>
  <c r="Q18" i="1"/>
  <c r="N18" i="1"/>
  <c r="O20" i="3"/>
  <c r="Q20" i="3"/>
  <c r="P20" i="3"/>
  <c r="R20" i="3"/>
  <c r="S20" i="3"/>
  <c r="T20" i="3"/>
  <c r="S19" i="3"/>
  <c r="Q19" i="3"/>
  <c r="R19" i="3"/>
  <c r="T19" i="3"/>
  <c r="P19" i="3"/>
  <c r="O21" i="3"/>
  <c r="K21" i="3"/>
  <c r="N20" i="3"/>
  <c r="O20" i="1"/>
  <c r="M20" i="1"/>
  <c r="T19" i="1"/>
  <c r="P19" i="1"/>
  <c r="R19" i="1"/>
  <c r="S19" i="1"/>
  <c r="Q19" i="1"/>
  <c r="N19" i="1"/>
  <c r="N20" i="1"/>
  <c r="K22" i="1"/>
  <c r="M21" i="3"/>
  <c r="K22" i="3"/>
  <c r="N21" i="3"/>
  <c r="O22" i="3"/>
  <c r="M22" i="3"/>
  <c r="O21" i="1"/>
  <c r="M21" i="1"/>
  <c r="K23" i="1"/>
  <c r="Q20" i="1"/>
  <c r="T20" i="1"/>
  <c r="S20" i="1"/>
  <c r="R20" i="1"/>
  <c r="P20" i="1"/>
  <c r="Q22" i="3"/>
  <c r="R22" i="3"/>
  <c r="S22" i="3"/>
  <c r="P22" i="3"/>
  <c r="T22" i="3"/>
  <c r="P21" i="3"/>
  <c r="Q21" i="3"/>
  <c r="R21" i="3"/>
  <c r="S21" i="3"/>
  <c r="T21" i="3"/>
  <c r="K23" i="3"/>
  <c r="M23" i="3"/>
  <c r="N22" i="3"/>
  <c r="Q21" i="1"/>
  <c r="T21" i="1"/>
  <c r="S21" i="1"/>
  <c r="P21" i="1"/>
  <c r="R21" i="1"/>
  <c r="N21" i="1"/>
  <c r="M22" i="1"/>
  <c r="O22" i="1"/>
  <c r="K24" i="1"/>
  <c r="P23" i="3"/>
  <c r="Q23" i="3"/>
  <c r="S23" i="3"/>
  <c r="R23" i="3"/>
  <c r="T23" i="3"/>
  <c r="O23" i="3"/>
  <c r="K24" i="3"/>
  <c r="N23" i="3"/>
  <c r="M23" i="1"/>
  <c r="O23" i="1"/>
  <c r="N22" i="1"/>
  <c r="K25" i="1"/>
  <c r="R22" i="1"/>
  <c r="T22" i="1"/>
  <c r="P22" i="1"/>
  <c r="Q22" i="1"/>
  <c r="S22" i="1"/>
  <c r="K25" i="3"/>
  <c r="M24" i="1"/>
  <c r="O24" i="1"/>
  <c r="K26" i="1"/>
  <c r="S23" i="1"/>
  <c r="P23" i="1"/>
  <c r="R23" i="1"/>
  <c r="Q23" i="1"/>
  <c r="T23" i="1"/>
  <c r="N23" i="1"/>
  <c r="K26" i="3"/>
  <c r="M26" i="3"/>
  <c r="O24" i="3"/>
  <c r="M24" i="3"/>
  <c r="O26" i="3"/>
  <c r="K27" i="1"/>
  <c r="O25" i="1"/>
  <c r="M25" i="1"/>
  <c r="P24" i="1"/>
  <c r="S24" i="1"/>
  <c r="T24" i="1"/>
  <c r="Q24" i="1"/>
  <c r="R24" i="1"/>
  <c r="N24" i="1"/>
  <c r="Q26" i="3"/>
  <c r="R26" i="3"/>
  <c r="S26" i="3"/>
  <c r="T26" i="3"/>
  <c r="P26" i="3"/>
  <c r="N24" i="3"/>
  <c r="Q24" i="3"/>
  <c r="R24" i="3"/>
  <c r="S24" i="3"/>
  <c r="T24" i="3"/>
  <c r="P24" i="3"/>
  <c r="K27" i="3"/>
  <c r="O25" i="3"/>
  <c r="M25" i="3"/>
  <c r="K28" i="1"/>
  <c r="S25" i="1"/>
  <c r="P25" i="1"/>
  <c r="Q25" i="1"/>
  <c r="R25" i="1"/>
  <c r="T25" i="1"/>
  <c r="O26" i="1"/>
  <c r="M26" i="1"/>
  <c r="N25" i="1"/>
  <c r="N25" i="3"/>
  <c r="N26" i="3"/>
  <c r="S25" i="3"/>
  <c r="Q25" i="3"/>
  <c r="R25" i="3"/>
  <c r="P25" i="3"/>
  <c r="T25" i="3"/>
  <c r="K28" i="3"/>
  <c r="K29" i="1"/>
  <c r="R26" i="1"/>
  <c r="P26" i="1"/>
  <c r="S26" i="1"/>
  <c r="Q26" i="1"/>
  <c r="T26" i="1"/>
  <c r="F31" i="1"/>
  <c r="K30" i="1"/>
  <c r="E31" i="1"/>
  <c r="O27" i="1"/>
  <c r="M27" i="1"/>
  <c r="N26" i="1"/>
  <c r="N27" i="1"/>
  <c r="K31" i="1"/>
  <c r="K29" i="3"/>
  <c r="O29" i="3"/>
  <c r="M27" i="3"/>
  <c r="O27" i="3"/>
  <c r="C31" i="3"/>
  <c r="M28" i="1"/>
  <c r="N28" i="1"/>
  <c r="O28" i="1"/>
  <c r="P27" i="1"/>
  <c r="T27" i="1"/>
  <c r="Q27" i="1"/>
  <c r="S27" i="1"/>
  <c r="R27" i="1"/>
  <c r="N27" i="3"/>
  <c r="Q27" i="3"/>
  <c r="S27" i="3"/>
  <c r="R27" i="3"/>
  <c r="T27" i="3"/>
  <c r="P27" i="3"/>
  <c r="O28" i="3"/>
  <c r="M28" i="3"/>
  <c r="M29" i="3"/>
  <c r="F31" i="3"/>
  <c r="K30" i="3"/>
  <c r="K31" i="3"/>
  <c r="E31" i="3"/>
  <c r="G31" i="1"/>
  <c r="O29" i="1"/>
  <c r="M29" i="1"/>
  <c r="N29" i="1"/>
  <c r="P28" i="1"/>
  <c r="S28" i="1"/>
  <c r="R28" i="1"/>
  <c r="Q28" i="1"/>
  <c r="T28" i="1"/>
  <c r="H31" i="1"/>
  <c r="P29" i="3"/>
  <c r="S29" i="3"/>
  <c r="Q29" i="3"/>
  <c r="R29" i="3"/>
  <c r="T29" i="3"/>
  <c r="N28" i="3"/>
  <c r="N29" i="3"/>
  <c r="Q28" i="3"/>
  <c r="P28" i="3"/>
  <c r="R28" i="3"/>
  <c r="S28" i="3"/>
  <c r="T28" i="3"/>
  <c r="M30" i="1"/>
  <c r="M35" i="1"/>
  <c r="O30" i="1"/>
  <c r="P29" i="1"/>
  <c r="T29" i="1"/>
  <c r="Q29" i="1"/>
  <c r="S29" i="1"/>
  <c r="R29" i="1"/>
  <c r="H31" i="3"/>
  <c r="G31" i="3"/>
  <c r="R30" i="1"/>
  <c r="R31" i="1"/>
  <c r="Q35" i="1"/>
  <c r="P30" i="1"/>
  <c r="P31" i="1"/>
  <c r="Q33" i="1"/>
  <c r="S30" i="1"/>
  <c r="S31" i="1"/>
  <c r="Q36" i="1"/>
  <c r="T30" i="1"/>
  <c r="T31" i="1"/>
  <c r="Q30" i="1"/>
  <c r="Q31" i="1"/>
  <c r="Q34" i="1"/>
  <c r="M31" i="1"/>
  <c r="N30" i="1"/>
  <c r="M30" i="3"/>
  <c r="O30" i="3"/>
  <c r="Q30" i="3"/>
  <c r="Q31" i="3"/>
  <c r="P34" i="3"/>
  <c r="R30" i="3"/>
  <c r="R31" i="3"/>
  <c r="P35" i="3"/>
  <c r="S30" i="3"/>
  <c r="S31" i="3"/>
  <c r="P36" i="3"/>
  <c r="P30" i="3"/>
  <c r="P31" i="3"/>
  <c r="P33" i="3"/>
  <c r="T30" i="3"/>
  <c r="T31" i="3"/>
  <c r="O31" i="3"/>
  <c r="M36" i="3"/>
  <c r="M35" i="3"/>
  <c r="N30" i="3"/>
  <c r="M31" i="3"/>
  <c r="M34" i="3"/>
  <c r="M34" i="1"/>
  <c r="O31" i="1" l="1"/>
  <c r="M36" i="1" s="1"/>
</calcChain>
</file>

<file path=xl/sharedStrings.xml><?xml version="1.0" encoding="utf-8"?>
<sst xmlns="http://schemas.openxmlformats.org/spreadsheetml/2006/main" count="110" uniqueCount="44">
  <si>
    <t>years</t>
  </si>
  <si>
    <t>year</t>
  </si>
  <si>
    <t>Cumulative</t>
  </si>
  <si>
    <t>GI</t>
  </si>
  <si>
    <t>Royalty</t>
  </si>
  <si>
    <t>Total</t>
  </si>
  <si>
    <t>Investment</t>
  </si>
  <si>
    <t>Cost</t>
  </si>
  <si>
    <t>NPV</t>
  </si>
  <si>
    <t>Cash Flow</t>
  </si>
  <si>
    <t>#</t>
  </si>
  <si>
    <t>Mcf/year</t>
  </si>
  <si>
    <t>MM$</t>
  </si>
  <si>
    <t>IROR</t>
  </si>
  <si>
    <t>Price</t>
  </si>
  <si>
    <t>$/Mcf</t>
  </si>
  <si>
    <t xml:space="preserve">Operating </t>
  </si>
  <si>
    <t>$</t>
  </si>
  <si>
    <t>GWII</t>
  </si>
  <si>
    <t>NOI</t>
  </si>
  <si>
    <t>Payout</t>
  </si>
  <si>
    <t>NCF</t>
  </si>
  <si>
    <t xml:space="preserve">Discounted </t>
  </si>
  <si>
    <t>%</t>
  </si>
  <si>
    <t>(mcf)</t>
  </si>
  <si>
    <t>gas price increase</t>
  </si>
  <si>
    <t>royalities total</t>
  </si>
  <si>
    <t>OPEX increase</t>
  </si>
  <si>
    <t>mineral tax</t>
  </si>
  <si>
    <t>discount rate</t>
  </si>
  <si>
    <t>Mineral 
Tax</t>
  </si>
  <si>
    <t>Reserves</t>
  </si>
  <si>
    <t>Clinton</t>
  </si>
  <si>
    <t>Medina</t>
  </si>
  <si>
    <t>Gas 
Production</t>
  </si>
  <si>
    <t>PV of NOI</t>
  </si>
  <si>
    <t>Discount Rates</t>
  </si>
  <si>
    <t>NPV of NCF</t>
  </si>
  <si>
    <t>Discount Rate</t>
  </si>
  <si>
    <t>Cost of Capital</t>
  </si>
  <si>
    <t>thickness</t>
  </si>
  <si>
    <t>Profitability*</t>
  </si>
  <si>
    <t>OHIO GAS WELL PROJECT 
          ESTIMATED FUTURE NET CASH FLOW
          As of January 1, 2018
ESCALATED CASE</t>
  </si>
  <si>
    <t>OHIO GAS WELL PROJECT 
          ESTIMATED FUTURE NET CASH FLOW
          As of January 1, 2019
CONSTANT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</si>
</sst>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0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2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7" fillId="3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0" fontId="3" fillId="0" borderId="1" xfId="0" applyNumberFormat="1" applyFont="1" applyBorder="1"/>
    <xf numFmtId="3" fontId="4" fillId="0" borderId="1" xfId="0" applyNumberFormat="1" applyFont="1" applyBorder="1"/>
    <xf numFmtId="0" fontId="3" fillId="2" borderId="2" xfId="0" applyNumberFormat="1" applyFont="1" applyFill="1" applyBorder="1" applyAlignment="1">
      <alignment horizontal="center"/>
    </xf>
    <xf numFmtId="37" fontId="3" fillId="2" borderId="2" xfId="0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38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37" fontId="3" fillId="2" borderId="3" xfId="0" applyNumberFormat="1" applyFont="1" applyFill="1" applyBorder="1" applyAlignment="1">
      <alignment horizontal="center"/>
    </xf>
    <xf numFmtId="2" fontId="4" fillId="0" borderId="1" xfId="0" applyNumberFormat="1" applyFont="1" applyBorder="1"/>
    <xf numFmtId="44" fontId="3" fillId="2" borderId="0" xfId="0" applyNumberFormat="1" applyFont="1" applyFill="1"/>
    <xf numFmtId="0" fontId="3" fillId="2" borderId="0" xfId="0" applyFont="1" applyFill="1"/>
    <xf numFmtId="0" fontId="4" fillId="2" borderId="11" xfId="0" applyFont="1" applyFill="1" applyBorder="1" applyAlignment="1">
      <alignment horizontal="center"/>
    </xf>
    <xf numFmtId="38" fontId="3" fillId="2" borderId="12" xfId="0" applyNumberFormat="1" applyFont="1" applyFill="1" applyBorder="1" applyAlignment="1">
      <alignment horizontal="center"/>
    </xf>
    <xf numFmtId="0" fontId="4" fillId="2" borderId="13" xfId="0" applyNumberFormat="1" applyFont="1" applyFill="1" applyBorder="1" applyAlignment="1">
      <alignment horizontal="center"/>
    </xf>
    <xf numFmtId="2" fontId="4" fillId="0" borderId="14" xfId="0" applyNumberFormat="1" applyFont="1" applyBorder="1"/>
    <xf numFmtId="2" fontId="3" fillId="0" borderId="15" xfId="0" applyNumberFormat="1" applyFont="1" applyBorder="1"/>
    <xf numFmtId="3" fontId="4" fillId="0" borderId="16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0" fontId="4" fillId="0" borderId="1" xfId="0" applyFont="1" applyFill="1" applyBorder="1"/>
    <xf numFmtId="3" fontId="5" fillId="0" borderId="1" xfId="0" applyNumberFormat="1" applyFont="1" applyBorder="1"/>
    <xf numFmtId="0" fontId="0" fillId="0" borderId="0" xfId="0" applyBorder="1"/>
    <xf numFmtId="0" fontId="3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applyBorder="1"/>
    <xf numFmtId="37" fontId="3" fillId="2" borderId="21" xfId="0" applyNumberFormat="1" applyFont="1" applyFill="1" applyBorder="1" applyAlignment="1">
      <alignment horizontal="center"/>
    </xf>
    <xf numFmtId="37" fontId="3" fillId="2" borderId="20" xfId="0" applyNumberFormat="1" applyFont="1" applyFill="1" applyBorder="1" applyAlignment="1">
      <alignment horizontal="center"/>
    </xf>
    <xf numFmtId="10" fontId="4" fillId="0" borderId="1" xfId="3" applyNumberFormat="1" applyFont="1" applyBorder="1"/>
    <xf numFmtId="0" fontId="6" fillId="0" borderId="1" xfId="0" applyFont="1" applyBorder="1" applyAlignment="1">
      <alignment horizontal="right"/>
    </xf>
    <xf numFmtId="164" fontId="3" fillId="0" borderId="1" xfId="3" applyNumberFormat="1" applyFont="1" applyBorder="1"/>
    <xf numFmtId="3" fontId="4" fillId="0" borderId="22" xfId="0" applyNumberFormat="1" applyFont="1" applyBorder="1" applyAlignment="1">
      <alignment horizontal="center"/>
    </xf>
    <xf numFmtId="10" fontId="4" fillId="0" borderId="1" xfId="0" applyNumberFormat="1" applyFont="1" applyBorder="1"/>
    <xf numFmtId="0" fontId="4" fillId="0" borderId="0" xfId="0" applyFont="1" applyFill="1" applyBorder="1"/>
    <xf numFmtId="0" fontId="5" fillId="0" borderId="0" xfId="0" applyFont="1"/>
    <xf numFmtId="44" fontId="3" fillId="2" borderId="12" xfId="2" applyFont="1" applyFill="1" applyBorder="1" applyAlignment="1">
      <alignment horizontal="center"/>
    </xf>
    <xf numFmtId="44" fontId="4" fillId="0" borderId="18" xfId="2" applyFont="1" applyBorder="1" applyAlignment="1">
      <alignment horizontal="center"/>
    </xf>
    <xf numFmtId="44" fontId="3" fillId="2" borderId="2" xfId="2" applyFont="1" applyFill="1" applyBorder="1" applyAlignment="1">
      <alignment horizontal="center"/>
    </xf>
    <xf numFmtId="44" fontId="3" fillId="2" borderId="5" xfId="2" applyFont="1" applyFill="1" applyBorder="1" applyAlignment="1">
      <alignment horizontal="center"/>
    </xf>
    <xf numFmtId="44" fontId="3" fillId="2" borderId="3" xfId="2" applyFont="1" applyFill="1" applyBorder="1" applyAlignment="1">
      <alignment horizontal="center"/>
    </xf>
    <xf numFmtId="44" fontId="3" fillId="2" borderId="6" xfId="2" applyFont="1" applyFill="1" applyBorder="1" applyAlignment="1">
      <alignment horizontal="center"/>
    </xf>
    <xf numFmtId="44" fontId="4" fillId="0" borderId="17" xfId="2" applyFont="1" applyBorder="1" applyAlignment="1">
      <alignment horizontal="center"/>
    </xf>
    <xf numFmtId="44" fontId="4" fillId="0" borderId="16" xfId="2" applyFont="1" applyBorder="1" applyAlignment="1">
      <alignment horizontal="center"/>
    </xf>
    <xf numFmtId="44" fontId="0" fillId="0" borderId="1" xfId="0" applyNumberFormat="1" applyBorder="1"/>
    <xf numFmtId="0" fontId="3" fillId="0" borderId="2" xfId="0" applyFont="1" applyBorder="1"/>
    <xf numFmtId="9" fontId="0" fillId="0" borderId="2" xfId="3" applyFont="1" applyBorder="1"/>
    <xf numFmtId="9" fontId="3" fillId="0" borderId="2" xfId="0" applyNumberFormat="1" applyFont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9" fontId="4" fillId="2" borderId="8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10" fontId="5" fillId="0" borderId="12" xfId="2" applyNumberFormat="1" applyFont="1" applyBorder="1" applyAlignment="1">
      <alignment horizontal="center" vertical="center"/>
    </xf>
    <xf numFmtId="44" fontId="8" fillId="2" borderId="3" xfId="2" applyFont="1" applyFill="1" applyBorder="1" applyAlignment="1">
      <alignment horizontal="center"/>
    </xf>
    <xf numFmtId="44" fontId="9" fillId="0" borderId="16" xfId="2" applyFont="1" applyBorder="1" applyAlignment="1">
      <alignment horizontal="center"/>
    </xf>
    <xf numFmtId="44" fontId="8" fillId="2" borderId="2" xfId="2" applyFont="1" applyFill="1" applyBorder="1" applyAlignment="1">
      <alignment horizontal="center"/>
    </xf>
    <xf numFmtId="44" fontId="8" fillId="2" borderId="12" xfId="2" applyFont="1" applyFill="1" applyBorder="1" applyAlignment="1">
      <alignment horizontal="center"/>
    </xf>
    <xf numFmtId="44" fontId="4" fillId="0" borderId="15" xfId="2" applyFont="1" applyBorder="1" applyAlignment="1">
      <alignment horizontal="center"/>
    </xf>
    <xf numFmtId="44" fontId="8" fillId="2" borderId="4" xfId="2" applyFont="1" applyFill="1" applyBorder="1" applyAlignment="1">
      <alignment horizontal="center"/>
    </xf>
    <xf numFmtId="44" fontId="8" fillId="2" borderId="20" xfId="2" applyFont="1" applyFill="1" applyBorder="1" applyAlignment="1">
      <alignment horizontal="center"/>
    </xf>
    <xf numFmtId="44" fontId="0" fillId="0" borderId="1" xfId="2" applyFont="1" applyBorder="1"/>
    <xf numFmtId="44" fontId="10" fillId="0" borderId="0" xfId="2" applyFont="1" applyBorder="1"/>
    <xf numFmtId="44" fontId="6" fillId="2" borderId="3" xfId="2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165" fontId="5" fillId="4" borderId="1" xfId="1" applyNumberFormat="1" applyFont="1" applyFill="1" applyBorder="1" applyAlignment="1">
      <alignment horizontal="right"/>
    </xf>
    <xf numFmtId="0" fontId="2" fillId="0" borderId="0" xfId="0" applyFont="1"/>
    <xf numFmtId="44" fontId="14" fillId="2" borderId="3" xfId="2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</cellXfs>
  <cellStyles count="14">
    <cellStyle name="Bad" xfId="1" builtinId="27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59940652072"/>
          <c:y val="0.101218903568979"/>
          <c:w val="0.72497928702650705"/>
          <c:h val="0.78654718753460395"/>
        </c:manualLayout>
      </c:layout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pPr>
              <a:ln w="12700"/>
            </c:spPr>
          </c:marker>
          <c:xVal>
            <c:numRef>
              <c:f>'Changing gas price'!$P$33:$P$37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xVal>
          <c:yVal>
            <c:numRef>
              <c:f>'Changing gas price'!$Q$33:$Q$37</c:f>
              <c:numCache>
                <c:formatCode>_("$"* #,##0.00_);_("$"* \(#,##0.00\);_("$"* "-"??_);_(@_)</c:formatCode>
                <c:ptCount val="5"/>
                <c:pt idx="0">
                  <c:v>426183.12373855535</c:v>
                </c:pt>
                <c:pt idx="1">
                  <c:v>301869.9852254953</c:v>
                </c:pt>
                <c:pt idx="2">
                  <c:v>227717.68796925523</c:v>
                </c:pt>
                <c:pt idx="3">
                  <c:v>171700.81199945413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C-5048-B494-06AED38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97024"/>
        <c:axId val="378101336"/>
      </c:scatterChart>
      <c:valAx>
        <c:axId val="3780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 Rate [%]</a:t>
                </a:r>
              </a:p>
            </c:rich>
          </c:tx>
          <c:layout>
            <c:manualLayout>
              <c:xMode val="edge"/>
              <c:yMode val="edge"/>
              <c:x val="0.42901781854858101"/>
              <c:y val="0.81929152492633595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101336"/>
        <c:crosses val="autoZero"/>
        <c:crossBetween val="midCat"/>
        <c:majorUnit val="1"/>
        <c:minorUnit val="0.2"/>
      </c:valAx>
      <c:valAx>
        <c:axId val="378101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 [$]</a:t>
                </a:r>
              </a:p>
            </c:rich>
          </c:tx>
          <c:overlay val="0"/>
        </c:title>
        <c:numFmt formatCode="\$#,##0" sourceLinked="0"/>
        <c:majorTickMark val="out"/>
        <c:minorTickMark val="none"/>
        <c:tickLblPos val="nextTo"/>
        <c:crossAx val="37809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/>
          </c:spPr>
          <c:marker>
            <c:spPr>
              <a:ln w="9525"/>
            </c:spPr>
          </c:marker>
          <c:xVal>
            <c:numRef>
              <c:f>'Changing gas price'!$B$11:$B$30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'Changing gas price'!$N$11:$N$30</c:f>
              <c:numCache>
                <c:formatCode>_("$"* #,##0.00_);_("$"* \(#,##0.00\);_("$"* "-"??_);_(@_)</c:formatCode>
                <c:ptCount val="20"/>
                <c:pt idx="0">
                  <c:v>-181388.14453125</c:v>
                </c:pt>
                <c:pt idx="1">
                  <c:v>-109182.67558593748</c:v>
                </c:pt>
                <c:pt idx="2">
                  <c:v>-49853.081671874963</c:v>
                </c:pt>
                <c:pt idx="3">
                  <c:v>-1405.3727840624488</c:v>
                </c:pt>
                <c:pt idx="4">
                  <c:v>43648.408364920382</c:v>
                </c:pt>
                <c:pt idx="5">
                  <c:v>85458.462613209151</c:v>
                </c:pt>
                <c:pt idx="6">
                  <c:v>124164.90649346705</c:v>
                </c:pt>
                <c:pt idx="7">
                  <c:v>159898.23570671701</c:v>
                </c:pt>
                <c:pt idx="8">
                  <c:v>195098.99496379713</c:v>
                </c:pt>
                <c:pt idx="9">
                  <c:v>229746.35385794099</c:v>
                </c:pt>
                <c:pt idx="10">
                  <c:v>263818.42596681626</c:v>
                </c:pt>
                <c:pt idx="11">
                  <c:v>297292.21608798445</c:v>
                </c:pt>
                <c:pt idx="12">
                  <c:v>330143.56483604305</c:v>
                </c:pt>
                <c:pt idx="13">
                  <c:v>362347.09046953457</c:v>
                </c:pt>
                <c:pt idx="14">
                  <c:v>393876.12780911056</c:v>
                </c:pt>
                <c:pt idx="15">
                  <c:v>424702.66410151421</c:v>
                </c:pt>
                <c:pt idx="16">
                  <c:v>454797.27167667222</c:v>
                </c:pt>
                <c:pt idx="17">
                  <c:v>484129.03723755205</c:v>
                </c:pt>
                <c:pt idx="18">
                  <c:v>512665.48761442234</c:v>
                </c:pt>
                <c:pt idx="19">
                  <c:v>540372.51180673775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B-574C-A471-68231A43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2120"/>
        <c:axId val="378097416"/>
      </c:scatterChart>
      <c:valAx>
        <c:axId val="37810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[years]</a:t>
                </a:r>
              </a:p>
            </c:rich>
          </c:tx>
          <c:layout>
            <c:manualLayout>
              <c:xMode val="edge"/>
              <c:yMode val="edge"/>
              <c:x val="0.44012248861362802"/>
              <c:y val="0.77826083160918003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097416"/>
        <c:crosses val="autoZero"/>
        <c:crossBetween val="midCat"/>
        <c:majorUnit val="1"/>
        <c:minorUnit val="0.2"/>
      </c:valAx>
      <c:valAx>
        <c:axId val="378097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Cash Flow</a:t>
                </a:r>
              </a:p>
            </c:rich>
          </c:tx>
          <c:overlay val="0"/>
        </c:title>
        <c:numFmt formatCode="\$#,##0" sourceLinked="0"/>
        <c:majorTickMark val="out"/>
        <c:minorTickMark val="none"/>
        <c:tickLblPos val="nextTo"/>
        <c:crossAx val="37810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/>
          </c:spPr>
          <c:marker>
            <c:spPr>
              <a:ln w="9525"/>
            </c:spPr>
          </c:marker>
          <c:xVal>
            <c:numRef>
              <c:f>'Stable gas price'!$B$11:$B$30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'Stable gas price'!$N$11:$N$30</c:f>
              <c:numCache>
                <c:formatCode>_("$"* #,##0.00_);_("$"* \(#,##0.00\);_("$"* "-"??_);_(@_)</c:formatCode>
                <c:ptCount val="20"/>
                <c:pt idx="0">
                  <c:v>-181388.14453125</c:v>
                </c:pt>
                <c:pt idx="1">
                  <c:v>-112621.03124999999</c:v>
                </c:pt>
                <c:pt idx="2">
                  <c:v>-58807.340624999983</c:v>
                </c:pt>
                <c:pt idx="3">
                  <c:v>-16956.388124999983</c:v>
                </c:pt>
                <c:pt idx="4">
                  <c:v>20109.469125000018</c:v>
                </c:pt>
                <c:pt idx="5">
                  <c:v>52868.740650000022</c:v>
                </c:pt>
                <c:pt idx="6">
                  <c:v>81752.085022500018</c:v>
                </c:pt>
                <c:pt idx="7">
                  <c:v>107147.09495775001</c:v>
                </c:pt>
                <c:pt idx="8">
                  <c:v>130972.35439623751</c:v>
                </c:pt>
                <c:pt idx="9">
                  <c:v>153306.35086280064</c:v>
                </c:pt>
                <c:pt idx="10">
                  <c:v>174223.6475060356</c:v>
                </c:pt>
                <c:pt idx="11">
                  <c:v>193795.07931710882</c:v>
                </c:pt>
                <c:pt idx="12">
                  <c:v>212087.93953762838</c:v>
                </c:pt>
                <c:pt idx="13">
                  <c:v>229166.15674712198</c:v>
                </c:pt>
                <c:pt idx="14">
                  <c:v>245090.46309614088</c:v>
                </c:pt>
                <c:pt idx="15">
                  <c:v>259918.55412770883</c:v>
                </c:pt>
                <c:pt idx="16">
                  <c:v>273705.24060769839</c:v>
                </c:pt>
                <c:pt idx="17">
                  <c:v>286502.59276368847</c:v>
                </c:pt>
                <c:pt idx="18">
                  <c:v>298360.07731187902</c:v>
                </c:pt>
                <c:pt idx="19">
                  <c:v>309324.68763266009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5-F04A-B798-4B64DB7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97808"/>
        <c:axId val="378103296"/>
      </c:scatterChart>
      <c:valAx>
        <c:axId val="37809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[years]</a:t>
                </a:r>
              </a:p>
            </c:rich>
          </c:tx>
          <c:layout>
            <c:manualLayout>
              <c:xMode val="edge"/>
              <c:yMode val="edge"/>
              <c:x val="0.50648210090652601"/>
              <c:y val="0.76862184246244702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103296"/>
        <c:crosses val="autoZero"/>
        <c:crossBetween val="midCat"/>
        <c:majorUnit val="1"/>
        <c:minorUnit val="0.2"/>
      </c:valAx>
      <c:valAx>
        <c:axId val="378103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Cash Flowh [$]</a:t>
                </a:r>
              </a:p>
            </c:rich>
          </c:tx>
          <c:overlay val="0"/>
        </c:title>
        <c:numFmt formatCode="\$#,##0.00" sourceLinked="0"/>
        <c:majorTickMark val="out"/>
        <c:minorTickMark val="none"/>
        <c:tickLblPos val="nextTo"/>
        <c:crossAx val="37809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pPr>
              <a:ln w="12700"/>
            </c:spPr>
          </c:marker>
          <c:xVal>
            <c:numRef>
              <c:f>'Stable gas price'!$O$33:$O$36</c:f>
              <c:numCache>
                <c:formatCode>0.00</c:formatCode>
                <c:ptCount val="4"/>
                <c:pt idx="0">
                  <c:v>-3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'Stable gas price'!$P$33:$P$36</c:f>
              <c:numCache>
                <c:formatCode>_("$"* #,##0.00_);_("$"* \(#,##0.00\);_("$"* "-"??_);_(@_)</c:formatCode>
                <c:ptCount val="4"/>
                <c:pt idx="0">
                  <c:v>444443.81492808397</c:v>
                </c:pt>
                <c:pt idx="1">
                  <c:v>244078.21591328725</c:v>
                </c:pt>
                <c:pt idx="2">
                  <c:v>170998.31080054483</c:v>
                </c:pt>
                <c:pt idx="3">
                  <c:v>134094.10164833537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D-D249-AC23-96D803F7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3688"/>
        <c:axId val="378104080"/>
      </c:scatterChart>
      <c:valAx>
        <c:axId val="37810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 Rate [%]</a:t>
                </a:r>
              </a:p>
            </c:rich>
          </c:tx>
          <c:layout>
            <c:manualLayout>
              <c:xMode val="edge"/>
              <c:yMode val="edge"/>
              <c:x val="0.487780975607009"/>
              <c:y val="0.79421041544697002"/>
            </c:manualLayout>
          </c:layout>
          <c:overlay val="0"/>
        </c:title>
        <c:numFmt formatCode="0.00" sourceLinked="1"/>
        <c:majorTickMark val="in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104080"/>
        <c:crosses val="autoZero"/>
        <c:crossBetween val="midCat"/>
        <c:majorUnit val="1"/>
        <c:minorUnit val="0.2"/>
      </c:valAx>
      <c:valAx>
        <c:axId val="37810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Present Value [$]</a:t>
                </a:r>
              </a:p>
            </c:rich>
          </c:tx>
          <c:overlay val="0"/>
        </c:title>
        <c:numFmt formatCode="_(\$* #,##0.00_);_(\$* \(#,##0.00\);_(\$* &quot;-&quot;??_);_(@_)" sourceLinked="0"/>
        <c:majorTickMark val="out"/>
        <c:minorTickMark val="none"/>
        <c:tickLblPos val="nextTo"/>
        <c:crossAx val="37810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38660</xdr:colOff>
      <xdr:row>37</xdr:row>
      <xdr:rowOff>47997</xdr:rowOff>
    </xdr:from>
    <xdr:to>
      <xdr:col>9</xdr:col>
      <xdr:colOff>896472</xdr:colOff>
      <xdr:row>54</xdr:row>
      <xdr:rowOff>104588</xdr:rowOff>
    </xdr:to>
    <xdr:graphicFrame macro="">
      <xdr:nvGraphicFramePr>
        <xdr:cNvPr id="2087" name="Chart 2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40900</xdr:colOff>
      <xdr:row>55</xdr:row>
      <xdr:rowOff>44824</xdr:rowOff>
    </xdr:from>
    <xdr:to>
      <xdr:col>9</xdr:col>
      <xdr:colOff>926354</xdr:colOff>
      <xdr:row>73</xdr:row>
      <xdr:rowOff>104588</xdr:rowOff>
    </xdr:to>
    <xdr:graphicFrame macro="">
      <xdr:nvGraphicFramePr>
        <xdr:cNvPr id="2088" name="Chart 3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38</xdr:row>
      <xdr:rowOff>45011</xdr:rowOff>
    </xdr:from>
    <xdr:to>
      <xdr:col>9</xdr:col>
      <xdr:colOff>1001058</xdr:colOff>
      <xdr:row>55</xdr:row>
      <xdr:rowOff>29882</xdr:rowOff>
    </xdr:to>
    <xdr:graphicFrame macro="">
      <xdr:nvGraphicFramePr>
        <xdr:cNvPr id="1061" name="Chart 2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55</xdr:row>
      <xdr:rowOff>74706</xdr:rowOff>
    </xdr:from>
    <xdr:to>
      <xdr:col>9</xdr:col>
      <xdr:colOff>1016001</xdr:colOff>
      <xdr:row>74</xdr:row>
      <xdr:rowOff>74705</xdr:rowOff>
    </xdr:to>
    <xdr:graphicFrame macro="">
      <xdr:nvGraphicFramePr>
        <xdr:cNvPr id="1062" name="Chart 3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showWhiteSpace="0" topLeftCell="A6" zoomScale="125" zoomScaleNormal="85" zoomScalePageLayoutView="85" workbookViewId="0">
      <selection activeCell="U11" sqref="U11"/>
    </sheetView>
  </sheetViews>
  <sheetFormatPr baseColWidth="10" defaultColWidth="8.83203125" defaultRowHeight="13" x14ac:dyDescent="0.15"/>
  <cols>
    <col min="1" max="1" width="6" customWidth="1"/>
    <col min="2" max="2" width="9.5" bestFit="1" customWidth="1"/>
    <col min="3" max="3" width="10" customWidth="1"/>
    <col min="4" max="4" width="7.6640625" customWidth="1"/>
    <col min="5" max="5" width="12.6640625" bestFit="1" customWidth="1"/>
    <col min="6" max="6" width="13.5" bestFit="1" customWidth="1"/>
    <col min="7" max="7" width="13" customWidth="1"/>
    <col min="8" max="8" width="12.1640625" bestFit="1" customWidth="1"/>
    <col min="9" max="9" width="13.5" bestFit="1" customWidth="1"/>
    <col min="10" max="10" width="13.1640625" bestFit="1" customWidth="1"/>
    <col min="11" max="11" width="11.5" customWidth="1"/>
    <col min="12" max="12" width="14.33203125" customWidth="1"/>
    <col min="13" max="13" width="13.5" customWidth="1"/>
    <col min="14" max="14" width="13" customWidth="1"/>
    <col min="15" max="15" width="10.6640625" customWidth="1"/>
    <col min="16" max="16" width="12.6640625" bestFit="1" customWidth="1"/>
    <col min="17" max="17" width="14.5" customWidth="1"/>
    <col min="18" max="18" width="12.5" bestFit="1" customWidth="1"/>
    <col min="19" max="19" width="13.5" bestFit="1" customWidth="1"/>
    <col min="20" max="20" width="13.1640625" bestFit="1" customWidth="1"/>
    <col min="21" max="21" width="12.6640625" bestFit="1" customWidth="1"/>
    <col min="22" max="22" width="12.33203125" customWidth="1"/>
  </cols>
  <sheetData>
    <row r="1" spans="1:21" ht="124.5" customHeight="1" x14ac:dyDescent="0.25">
      <c r="H1" s="87" t="s">
        <v>42</v>
      </c>
      <c r="I1" s="88"/>
      <c r="J1" s="88"/>
      <c r="K1" s="88"/>
      <c r="L1" s="88"/>
      <c r="M1" s="88"/>
      <c r="N1" s="88"/>
      <c r="O1" s="88"/>
    </row>
    <row r="2" spans="1:21" ht="12.75" customHeight="1" x14ac:dyDescent="0.15">
      <c r="A2" s="3"/>
      <c r="B2" s="3"/>
      <c r="F2" s="3"/>
      <c r="G2" s="6" t="s">
        <v>28</v>
      </c>
      <c r="H2" s="9">
        <v>2.5000000000000001E-2</v>
      </c>
      <c r="I2" s="3"/>
      <c r="J2" s="3"/>
      <c r="K2" s="3"/>
      <c r="N2" s="3"/>
      <c r="O2" s="3"/>
    </row>
    <row r="3" spans="1:21" ht="12.75" customHeight="1" x14ac:dyDescent="0.15">
      <c r="A3" s="3"/>
      <c r="B3" s="3"/>
      <c r="F3" s="3"/>
      <c r="G3" s="6" t="s">
        <v>25</v>
      </c>
      <c r="H3" s="8">
        <v>0.05</v>
      </c>
      <c r="L3" s="3"/>
      <c r="N3" s="3"/>
      <c r="O3" s="3"/>
    </row>
    <row r="4" spans="1:21" ht="12.75" customHeight="1" x14ac:dyDescent="0.15">
      <c r="A4" s="3"/>
      <c r="B4" s="3"/>
      <c r="F4" s="3"/>
      <c r="G4" s="6" t="s">
        <v>26</v>
      </c>
      <c r="H4" s="9">
        <v>0.15625</v>
      </c>
      <c r="I4" s="3"/>
      <c r="J4" s="3"/>
      <c r="K4" s="3"/>
      <c r="O4" s="3"/>
    </row>
    <row r="5" spans="1:21" ht="12.75" customHeight="1" x14ac:dyDescent="0.15">
      <c r="A5" s="3"/>
      <c r="B5" s="3"/>
      <c r="F5" s="3"/>
      <c r="G5" s="6" t="s">
        <v>27</v>
      </c>
      <c r="H5" s="8">
        <v>0.05</v>
      </c>
      <c r="I5" s="3"/>
      <c r="J5" s="3"/>
      <c r="K5" s="3"/>
      <c r="L5" s="3"/>
      <c r="N5" s="3"/>
      <c r="O5" s="3"/>
    </row>
    <row r="6" spans="1:21" x14ac:dyDescent="0.15">
      <c r="A6" s="3"/>
      <c r="B6" s="3"/>
      <c r="F6" s="3"/>
      <c r="G6" s="6" t="s">
        <v>39</v>
      </c>
      <c r="H6" s="8">
        <v>0.09</v>
      </c>
      <c r="J6" s="3"/>
      <c r="K6" s="3"/>
      <c r="L6" s="3"/>
      <c r="N6" s="3"/>
      <c r="O6" s="3"/>
    </row>
    <row r="7" spans="1:21" ht="14" thickBot="1" x14ac:dyDescent="0.2">
      <c r="A7" s="3"/>
      <c r="B7" s="3"/>
      <c r="C7" s="3"/>
      <c r="D7" s="3"/>
      <c r="E7" s="3"/>
      <c r="F7" s="3"/>
      <c r="G7" s="53" t="s">
        <v>29</v>
      </c>
      <c r="H7" s="54">
        <v>0.1</v>
      </c>
      <c r="I7" s="3"/>
      <c r="J7" s="3"/>
      <c r="K7" s="3"/>
      <c r="N7" s="3"/>
      <c r="O7" s="3"/>
    </row>
    <row r="8" spans="1:21" ht="25" thickBot="1" x14ac:dyDescent="0.2">
      <c r="A8" s="56" t="s">
        <v>0</v>
      </c>
      <c r="B8" s="57" t="s">
        <v>1</v>
      </c>
      <c r="C8" s="58" t="s">
        <v>34</v>
      </c>
      <c r="D8" s="57" t="s">
        <v>14</v>
      </c>
      <c r="E8" s="57" t="s">
        <v>3</v>
      </c>
      <c r="F8" s="57" t="s">
        <v>4</v>
      </c>
      <c r="G8" s="57" t="s">
        <v>18</v>
      </c>
      <c r="H8" s="58" t="s">
        <v>30</v>
      </c>
      <c r="I8" s="57" t="s">
        <v>16</v>
      </c>
      <c r="J8" s="57" t="s">
        <v>19</v>
      </c>
      <c r="K8" s="59">
        <v>0.5</v>
      </c>
      <c r="L8" s="57" t="s">
        <v>6</v>
      </c>
      <c r="M8" s="57" t="s">
        <v>21</v>
      </c>
      <c r="N8" s="57" t="s">
        <v>2</v>
      </c>
      <c r="O8" s="60" t="s">
        <v>22</v>
      </c>
      <c r="P8" s="84" t="s">
        <v>36</v>
      </c>
      <c r="Q8" s="85"/>
      <c r="R8" s="85"/>
      <c r="S8" s="85"/>
      <c r="T8" s="86"/>
    </row>
    <row r="9" spans="1:21" ht="14" thickBot="1" x14ac:dyDescent="0.2">
      <c r="A9" s="56"/>
      <c r="B9" s="57"/>
      <c r="C9" s="66"/>
      <c r="D9" s="57"/>
      <c r="E9" s="57"/>
      <c r="F9" s="57"/>
      <c r="G9" s="57"/>
      <c r="H9" s="57"/>
      <c r="I9" s="57" t="s">
        <v>7</v>
      </c>
      <c r="J9" s="57"/>
      <c r="K9" s="57" t="s">
        <v>3</v>
      </c>
      <c r="L9" s="57"/>
      <c r="M9" s="57"/>
      <c r="N9" s="57" t="s">
        <v>9</v>
      </c>
      <c r="O9" s="61" t="s">
        <v>19</v>
      </c>
      <c r="P9" s="67">
        <v>0.02</v>
      </c>
      <c r="Q9" s="67">
        <v>0.05</v>
      </c>
      <c r="R9" s="67">
        <v>7.4999999999999997E-2</v>
      </c>
      <c r="S9" s="67">
        <v>0.1</v>
      </c>
      <c r="T9" s="68">
        <v>0.16</v>
      </c>
      <c r="U9" s="83">
        <v>0.27700000000000002</v>
      </c>
    </row>
    <row r="10" spans="1:21" ht="14" thickBot="1" x14ac:dyDescent="0.2">
      <c r="A10" s="62"/>
      <c r="B10" s="63" t="s">
        <v>10</v>
      </c>
      <c r="C10" s="63" t="s">
        <v>11</v>
      </c>
      <c r="D10" s="64" t="s">
        <v>15</v>
      </c>
      <c r="E10" s="63" t="s">
        <v>17</v>
      </c>
      <c r="F10" s="63" t="s">
        <v>17</v>
      </c>
      <c r="G10" s="63" t="s">
        <v>17</v>
      </c>
      <c r="H10" s="63" t="s">
        <v>17</v>
      </c>
      <c r="I10" s="63" t="s">
        <v>17</v>
      </c>
      <c r="J10" s="63" t="s">
        <v>17</v>
      </c>
      <c r="K10" s="63" t="s">
        <v>12</v>
      </c>
      <c r="L10" s="63" t="s">
        <v>17</v>
      </c>
      <c r="M10" s="63" t="s">
        <v>17</v>
      </c>
      <c r="N10" s="63" t="s">
        <v>17</v>
      </c>
      <c r="O10" s="65" t="s">
        <v>23</v>
      </c>
      <c r="P10" s="84" t="s">
        <v>37</v>
      </c>
      <c r="Q10" s="85"/>
      <c r="R10" s="85"/>
      <c r="S10" s="85"/>
      <c r="T10" s="86"/>
    </row>
    <row r="11" spans="1:21" x14ac:dyDescent="0.15">
      <c r="A11" s="20">
        <v>2018</v>
      </c>
      <c r="B11" s="11">
        <v>1</v>
      </c>
      <c r="C11" s="12">
        <v>36500</v>
      </c>
      <c r="D11" s="46">
        <v>4.1500000000000004</v>
      </c>
      <c r="E11" s="47">
        <f>D11*C11</f>
        <v>151475</v>
      </c>
      <c r="F11" s="69">
        <f>-E11*0.15625</f>
        <v>-23667.96875</v>
      </c>
      <c r="G11" s="48">
        <f>E11+F11</f>
        <v>127807.03125</v>
      </c>
      <c r="H11" s="69">
        <f>-0.025*G11</f>
        <v>-3195.17578125</v>
      </c>
      <c r="I11" s="71">
        <v>-6000</v>
      </c>
      <c r="J11" s="48">
        <f>G11+I11+H11</f>
        <v>118611.85546875</v>
      </c>
      <c r="K11" s="14">
        <v>0</v>
      </c>
      <c r="L11" s="71">
        <v>-300000</v>
      </c>
      <c r="M11" s="69">
        <f>J11+L11</f>
        <v>-181388.14453125</v>
      </c>
      <c r="N11" s="71">
        <f>J11+L11</f>
        <v>-181388.14453125</v>
      </c>
      <c r="O11" s="21">
        <f t="shared" ref="O11:O30" si="0">J11*(1/(1+$H$7)^(B11-0.5))</f>
        <v>113091.96683045833</v>
      </c>
      <c r="P11" s="72">
        <f t="shared" ref="P11:P30" si="1">M11*(1/(1+$P$9)^(B11-0.5))</f>
        <v>-179601.02563271506</v>
      </c>
      <c r="Q11" s="72">
        <f t="shared" ref="Q11:Q30" si="2">M11*(1/(1+$Q$9)^(B11-0.5))</f>
        <v>-177016.70348004595</v>
      </c>
      <c r="R11" s="72">
        <f t="shared" ref="R11:R30" si="3">M11*(1/(1+$R$9)^(B11-0.5))</f>
        <v>-174946.26145400922</v>
      </c>
      <c r="S11" s="72">
        <f t="shared" ref="S11:S30" si="4">M11*(1/(1+$S$9)^(B11-0.5))</f>
        <v>-172946.80994321933</v>
      </c>
      <c r="T11" s="72">
        <f t="shared" ref="T11:T30" si="5">M11*(1/(1+$T$9)^(B11-0.5))</f>
        <v>-168414.66420019217</v>
      </c>
      <c r="U11" s="72">
        <f>M11*(1/(1+$U$9)^(B11-0.5))</f>
        <v>-160514.19670107606</v>
      </c>
    </row>
    <row r="12" spans="1:21" x14ac:dyDescent="0.15">
      <c r="A12" s="22">
        <f>A11+1</f>
        <v>2019</v>
      </c>
      <c r="B12" s="15">
        <v>2</v>
      </c>
      <c r="C12" s="16">
        <f>C11-C11*0.4</f>
        <v>21900</v>
      </c>
      <c r="D12" s="48">
        <f>D11*1.05</f>
        <v>4.3575000000000008</v>
      </c>
      <c r="E12" s="49">
        <f>D12*C12</f>
        <v>95429.250000000015</v>
      </c>
      <c r="F12" s="69">
        <f>-E12*0.15625</f>
        <v>-14910.820312500002</v>
      </c>
      <c r="G12" s="48">
        <f>E12+F12</f>
        <v>80518.429687500015</v>
      </c>
      <c r="H12" s="69">
        <f>-0.025*G12</f>
        <v>-2012.9607421875005</v>
      </c>
      <c r="I12" s="69">
        <f>I11*1.05</f>
        <v>-6300</v>
      </c>
      <c r="J12" s="48">
        <f>G12+I12+H12</f>
        <v>72205.468945312517</v>
      </c>
      <c r="K12" s="13">
        <f>E11/2</f>
        <v>75737.5</v>
      </c>
      <c r="L12" s="48">
        <v>0</v>
      </c>
      <c r="M12" s="48">
        <f>J12+L12</f>
        <v>72205.468945312517</v>
      </c>
      <c r="N12" s="69">
        <f>N11+M12</f>
        <v>-109182.67558593748</v>
      </c>
      <c r="O12" s="21">
        <f t="shared" si="0"/>
        <v>62586.557616627157</v>
      </c>
      <c r="P12" s="44">
        <f t="shared" si="1"/>
        <v>70092.223201646804</v>
      </c>
      <c r="Q12" s="44">
        <f t="shared" si="2"/>
        <v>67109.830867631943</v>
      </c>
      <c r="R12" s="44">
        <f t="shared" si="3"/>
        <v>64782.454177349879</v>
      </c>
      <c r="S12" s="44">
        <f t="shared" si="4"/>
        <v>62586.557616627157</v>
      </c>
      <c r="T12" s="44">
        <f t="shared" si="5"/>
        <v>57794.047301863902</v>
      </c>
      <c r="U12" s="72">
        <f t="shared" ref="U12:U30" si="6">M12*(1/(1+$U$9)^(B12-0.5))</f>
        <v>50036.134009947258</v>
      </c>
    </row>
    <row r="13" spans="1:21" x14ac:dyDescent="0.15">
      <c r="A13" s="22">
        <f t="shared" ref="A13:A30" si="7">A12+1</f>
        <v>2020</v>
      </c>
      <c r="B13" s="15">
        <v>3</v>
      </c>
      <c r="C13" s="16">
        <f>C12-C12*0.2</f>
        <v>17520</v>
      </c>
      <c r="D13" s="48">
        <f t="shared" ref="D13:D30" si="8">D12*1.05</f>
        <v>4.5753750000000011</v>
      </c>
      <c r="E13" s="49">
        <f t="shared" ref="E13:E30" si="9">D13*C13</f>
        <v>80160.570000000022</v>
      </c>
      <c r="F13" s="69">
        <f t="shared" ref="F13:F30" si="10">-E13*0.15625</f>
        <v>-12525.089062500003</v>
      </c>
      <c r="G13" s="48">
        <f t="shared" ref="G13:G30" si="11">E13+F13</f>
        <v>67635.480937500019</v>
      </c>
      <c r="H13" s="69">
        <f t="shared" ref="H13:H30" si="12">-0.025*G13</f>
        <v>-1690.8870234375006</v>
      </c>
      <c r="I13" s="69">
        <f t="shared" ref="I13:I30" si="13">I12*1.05</f>
        <v>-6615</v>
      </c>
      <c r="J13" s="48">
        <f t="shared" ref="J13:J30" si="14">G13+I13+H13</f>
        <v>59329.59391406252</v>
      </c>
      <c r="K13" s="13">
        <f>E12/2</f>
        <v>47714.625000000007</v>
      </c>
      <c r="L13" s="48">
        <v>0</v>
      </c>
      <c r="M13" s="48">
        <f t="shared" ref="M13:M30" si="15">J13+L13</f>
        <v>59329.59391406252</v>
      </c>
      <c r="N13" s="69">
        <f t="shared" ref="N13:N30" si="16">N12+M13</f>
        <v>-49853.081671874963</v>
      </c>
      <c r="O13" s="21">
        <f t="shared" si="0"/>
        <v>46750.866307596341</v>
      </c>
      <c r="P13" s="44">
        <f t="shared" si="1"/>
        <v>56463.909688401436</v>
      </c>
      <c r="Q13" s="44">
        <f t="shared" si="2"/>
        <v>52516.784606567307</v>
      </c>
      <c r="R13" s="44">
        <f t="shared" si="3"/>
        <v>49516.531413463745</v>
      </c>
      <c r="S13" s="44">
        <f t="shared" si="4"/>
        <v>46750.866307596341</v>
      </c>
      <c r="T13" s="44">
        <f t="shared" si="5"/>
        <v>40937.979361545025</v>
      </c>
      <c r="U13" s="72">
        <f t="shared" si="6"/>
        <v>32195.422790781839</v>
      </c>
    </row>
    <row r="14" spans="1:21" x14ac:dyDescent="0.15">
      <c r="A14" s="22">
        <f t="shared" si="7"/>
        <v>2021</v>
      </c>
      <c r="B14" s="15">
        <v>4</v>
      </c>
      <c r="C14" s="16">
        <f>C13-C13*0.2</f>
        <v>14016</v>
      </c>
      <c r="D14" s="48">
        <f t="shared" si="8"/>
        <v>4.8041437500000015</v>
      </c>
      <c r="E14" s="49">
        <f t="shared" si="9"/>
        <v>67334.87880000002</v>
      </c>
      <c r="F14" s="69">
        <f t="shared" si="10"/>
        <v>-10521.074812500003</v>
      </c>
      <c r="G14" s="48">
        <f t="shared" si="11"/>
        <v>56813.803987500018</v>
      </c>
      <c r="H14" s="69">
        <f t="shared" si="12"/>
        <v>-1420.3450996875006</v>
      </c>
      <c r="I14" s="69">
        <f t="shared" si="13"/>
        <v>-6945.75</v>
      </c>
      <c r="J14" s="48">
        <f t="shared" si="14"/>
        <v>48447.708887812514</v>
      </c>
      <c r="K14" s="13">
        <f>E13/2</f>
        <v>40080.285000000011</v>
      </c>
      <c r="L14" s="48">
        <v>0</v>
      </c>
      <c r="M14" s="48">
        <f t="shared" si="15"/>
        <v>48447.708887812514</v>
      </c>
      <c r="N14" s="69">
        <f t="shared" si="16"/>
        <v>-1405.3727840624488</v>
      </c>
      <c r="O14" s="21">
        <f t="shared" si="0"/>
        <v>34705.543169940203</v>
      </c>
      <c r="P14" s="44">
        <f t="shared" si="1"/>
        <v>45203.560393548432</v>
      </c>
      <c r="Q14" s="44">
        <f t="shared" si="2"/>
        <v>40842.347597715598</v>
      </c>
      <c r="R14" s="44">
        <f t="shared" si="3"/>
        <v>37613.488904170779</v>
      </c>
      <c r="S14" s="44">
        <f t="shared" si="4"/>
        <v>34705.543169940203</v>
      </c>
      <c r="T14" s="44">
        <f t="shared" si="5"/>
        <v>28818.427639720096</v>
      </c>
      <c r="U14" s="72">
        <f t="shared" si="6"/>
        <v>20587.570694739716</v>
      </c>
    </row>
    <row r="15" spans="1:21" x14ac:dyDescent="0.15">
      <c r="A15" s="22">
        <f t="shared" si="7"/>
        <v>2022</v>
      </c>
      <c r="B15" s="15">
        <v>5</v>
      </c>
      <c r="C15" s="16">
        <f>C14-C14*0.1</f>
        <v>12614.4</v>
      </c>
      <c r="D15" s="48">
        <f t="shared" si="8"/>
        <v>5.0443509375000017</v>
      </c>
      <c r="E15" s="49">
        <f t="shared" si="9"/>
        <v>63631.460466000019</v>
      </c>
      <c r="F15" s="69">
        <f t="shared" si="10"/>
        <v>-9942.4156978125029</v>
      </c>
      <c r="G15" s="48">
        <f t="shared" si="11"/>
        <v>53689.044768187516</v>
      </c>
      <c r="H15" s="69">
        <f t="shared" si="12"/>
        <v>-1342.2261192046881</v>
      </c>
      <c r="I15" s="69">
        <f t="shared" si="13"/>
        <v>-7293.0375000000004</v>
      </c>
      <c r="J15" s="48">
        <f t="shared" si="14"/>
        <v>45053.781148982831</v>
      </c>
      <c r="K15" s="13">
        <f t="shared" ref="K15:K30" si="17">E15/2</f>
        <v>31815.730233000009</v>
      </c>
      <c r="L15" s="48">
        <v>0</v>
      </c>
      <c r="M15" s="48">
        <f t="shared" si="15"/>
        <v>45053.781148982831</v>
      </c>
      <c r="N15" s="78">
        <f t="shared" si="16"/>
        <v>43648.408364920382</v>
      </c>
      <c r="O15" s="21">
        <f t="shared" si="0"/>
        <v>29340.273772019267</v>
      </c>
      <c r="P15" s="44">
        <f t="shared" si="1"/>
        <v>41212.64348471885</v>
      </c>
      <c r="Q15" s="44">
        <f t="shared" si="2"/>
        <v>36172.572794174928</v>
      </c>
      <c r="R15" s="44">
        <f t="shared" si="3"/>
        <v>32538.172406687612</v>
      </c>
      <c r="S15" s="44">
        <f t="shared" si="4"/>
        <v>29340.273772019267</v>
      </c>
      <c r="T15" s="44">
        <f t="shared" si="5"/>
        <v>23103.101897153207</v>
      </c>
      <c r="U15" s="72">
        <f t="shared" si="6"/>
        <v>14992.436132382301</v>
      </c>
    </row>
    <row r="16" spans="1:21" x14ac:dyDescent="0.15">
      <c r="A16" s="22">
        <f t="shared" si="7"/>
        <v>2023</v>
      </c>
      <c r="B16" s="15">
        <v>6</v>
      </c>
      <c r="C16" s="16">
        <f>C15-C15*0.1</f>
        <v>11352.96</v>
      </c>
      <c r="D16" s="48">
        <f t="shared" si="8"/>
        <v>5.2965684843750021</v>
      </c>
      <c r="E16" s="49">
        <f t="shared" si="9"/>
        <v>60131.730140370018</v>
      </c>
      <c r="F16" s="69">
        <f t="shared" si="10"/>
        <v>-9395.5828344328147</v>
      </c>
      <c r="G16" s="48">
        <f t="shared" si="11"/>
        <v>50736.147305937207</v>
      </c>
      <c r="H16" s="69">
        <f t="shared" si="12"/>
        <v>-1268.4036826484303</v>
      </c>
      <c r="I16" s="69">
        <f t="shared" si="13"/>
        <v>-7657.6893750000008</v>
      </c>
      <c r="J16" s="48">
        <f t="shared" si="14"/>
        <v>41810.054248288776</v>
      </c>
      <c r="K16" s="13">
        <f t="shared" si="17"/>
        <v>30065.865070185009</v>
      </c>
      <c r="L16" s="48">
        <v>0</v>
      </c>
      <c r="M16" s="48">
        <f t="shared" si="15"/>
        <v>41810.054248288776</v>
      </c>
      <c r="N16" s="78">
        <f t="shared" si="16"/>
        <v>85458.462613209151</v>
      </c>
      <c r="O16" s="21">
        <f t="shared" si="0"/>
        <v>24752.607919275313</v>
      </c>
      <c r="P16" s="44">
        <f t="shared" si="1"/>
        <v>37495.555004379043</v>
      </c>
      <c r="Q16" s="44">
        <f t="shared" si="2"/>
        <v>31969.775470988308</v>
      </c>
      <c r="R16" s="44">
        <f t="shared" si="3"/>
        <v>28088.864149294935</v>
      </c>
      <c r="S16" s="44">
        <f t="shared" si="4"/>
        <v>24752.607919275313</v>
      </c>
      <c r="T16" s="44">
        <f t="shared" si="5"/>
        <v>18482.545767597861</v>
      </c>
      <c r="U16" s="72">
        <f t="shared" si="6"/>
        <v>10895.089346877168</v>
      </c>
    </row>
    <row r="17" spans="1:21" x14ac:dyDescent="0.15">
      <c r="A17" s="22">
        <f t="shared" si="7"/>
        <v>2024</v>
      </c>
      <c r="B17" s="15">
        <v>7</v>
      </c>
      <c r="C17" s="16">
        <f>C16-C16*0.1</f>
        <v>10217.663999999999</v>
      </c>
      <c r="D17" s="48">
        <f t="shared" si="8"/>
        <v>5.5613969085937525</v>
      </c>
      <c r="E17" s="49">
        <f t="shared" si="9"/>
        <v>56824.484982649672</v>
      </c>
      <c r="F17" s="69">
        <f t="shared" si="10"/>
        <v>-8878.8257785390106</v>
      </c>
      <c r="G17" s="48">
        <f t="shared" si="11"/>
        <v>47945.659204110663</v>
      </c>
      <c r="H17" s="69">
        <f t="shared" si="12"/>
        <v>-1198.6414801027665</v>
      </c>
      <c r="I17" s="69">
        <f t="shared" si="13"/>
        <v>-8040.5738437500013</v>
      </c>
      <c r="J17" s="48">
        <f t="shared" si="14"/>
        <v>38706.443880257895</v>
      </c>
      <c r="K17" s="13">
        <f t="shared" si="17"/>
        <v>28412.242491324836</v>
      </c>
      <c r="L17" s="48">
        <v>0</v>
      </c>
      <c r="M17" s="48">
        <f t="shared" si="15"/>
        <v>38706.443880257895</v>
      </c>
      <c r="N17" s="78">
        <f t="shared" si="16"/>
        <v>124164.90649346705</v>
      </c>
      <c r="O17" s="21">
        <f t="shared" si="0"/>
        <v>20831.992916168219</v>
      </c>
      <c r="P17" s="44">
        <f t="shared" si="1"/>
        <v>34031.58341089834</v>
      </c>
      <c r="Q17" s="44">
        <f t="shared" si="2"/>
        <v>28187.25788012036</v>
      </c>
      <c r="R17" s="44">
        <f t="shared" si="3"/>
        <v>24189.575948638932</v>
      </c>
      <c r="S17" s="44">
        <f t="shared" si="4"/>
        <v>20831.992916168219</v>
      </c>
      <c r="T17" s="44">
        <f t="shared" si="5"/>
        <v>14750.486443166394</v>
      </c>
      <c r="U17" s="72">
        <f t="shared" si="6"/>
        <v>7898.460316881673</v>
      </c>
    </row>
    <row r="18" spans="1:21" x14ac:dyDescent="0.15">
      <c r="A18" s="22">
        <f t="shared" si="7"/>
        <v>2025</v>
      </c>
      <c r="B18" s="15">
        <v>8</v>
      </c>
      <c r="C18" s="16">
        <f>C17-C17*0.1</f>
        <v>9195.8975999999984</v>
      </c>
      <c r="D18" s="48">
        <f t="shared" si="8"/>
        <v>5.83946675402344</v>
      </c>
      <c r="E18" s="49">
        <f t="shared" si="9"/>
        <v>53699.138308603935</v>
      </c>
      <c r="F18" s="69">
        <f t="shared" si="10"/>
        <v>-8390.4903607193646</v>
      </c>
      <c r="G18" s="48">
        <f t="shared" si="11"/>
        <v>45308.647947884572</v>
      </c>
      <c r="H18" s="69">
        <f t="shared" si="12"/>
        <v>-1132.7161986971144</v>
      </c>
      <c r="I18" s="69">
        <f t="shared" si="13"/>
        <v>-8442.6025359375017</v>
      </c>
      <c r="J18" s="48">
        <f t="shared" si="14"/>
        <v>35733.329213249956</v>
      </c>
      <c r="K18" s="13">
        <f t="shared" si="17"/>
        <v>26849.569154301968</v>
      </c>
      <c r="L18" s="48">
        <v>0</v>
      </c>
      <c r="M18" s="48">
        <f t="shared" si="15"/>
        <v>35733.329213249956</v>
      </c>
      <c r="N18" s="78">
        <f t="shared" si="16"/>
        <v>159898.23570671701</v>
      </c>
      <c r="O18" s="21">
        <f t="shared" si="0"/>
        <v>17483.498550934069</v>
      </c>
      <c r="P18" s="44">
        <f t="shared" si="1"/>
        <v>30801.523096637757</v>
      </c>
      <c r="Q18" s="44">
        <f t="shared" si="2"/>
        <v>24782.992048339202</v>
      </c>
      <c r="R18" s="44">
        <f t="shared" si="3"/>
        <v>20773.515514731742</v>
      </c>
      <c r="S18" s="44">
        <f t="shared" si="4"/>
        <v>17483.498550934069</v>
      </c>
      <c r="T18" s="44">
        <f t="shared" si="5"/>
        <v>11739.201611828692</v>
      </c>
      <c r="U18" s="72">
        <f t="shared" si="6"/>
        <v>5710.0741912075118</v>
      </c>
    </row>
    <row r="19" spans="1:21" x14ac:dyDescent="0.15">
      <c r="A19" s="22">
        <f t="shared" si="7"/>
        <v>2026</v>
      </c>
      <c r="B19" s="15">
        <v>9</v>
      </c>
      <c r="C19" s="16">
        <f t="shared" ref="C19:C30" si="18">C18-C18*0.05</f>
        <v>8736.102719999999</v>
      </c>
      <c r="D19" s="48">
        <f t="shared" si="8"/>
        <v>6.1314400917246124</v>
      </c>
      <c r="E19" s="49">
        <f t="shared" si="9"/>
        <v>53564.890462832431</v>
      </c>
      <c r="F19" s="69">
        <f t="shared" si="10"/>
        <v>-8369.5141348175675</v>
      </c>
      <c r="G19" s="48">
        <f t="shared" si="11"/>
        <v>45195.376328014863</v>
      </c>
      <c r="H19" s="69">
        <f t="shared" si="12"/>
        <v>-1129.8844082003716</v>
      </c>
      <c r="I19" s="69">
        <f t="shared" si="13"/>
        <v>-8864.7326627343773</v>
      </c>
      <c r="J19" s="48">
        <f t="shared" si="14"/>
        <v>35200.759257080113</v>
      </c>
      <c r="K19" s="13">
        <f t="shared" si="17"/>
        <v>26782.445231416215</v>
      </c>
      <c r="L19" s="48">
        <v>0</v>
      </c>
      <c r="M19" s="48">
        <f t="shared" si="15"/>
        <v>35200.759257080113</v>
      </c>
      <c r="N19" s="78">
        <f t="shared" si="16"/>
        <v>195098.99496379713</v>
      </c>
      <c r="O19" s="21">
        <f t="shared" si="0"/>
        <v>15657.203894746182</v>
      </c>
      <c r="P19" s="44">
        <f t="shared" si="1"/>
        <v>29747.506702414135</v>
      </c>
      <c r="Q19" s="44">
        <f t="shared" si="2"/>
        <v>23251.072424037684</v>
      </c>
      <c r="R19" s="44">
        <f t="shared" si="3"/>
        <v>19036.192369063509</v>
      </c>
      <c r="S19" s="44">
        <f t="shared" si="4"/>
        <v>15657.203894746182</v>
      </c>
      <c r="T19" s="44">
        <f t="shared" si="5"/>
        <v>9969.1727705371068</v>
      </c>
      <c r="U19" s="72">
        <f t="shared" si="6"/>
        <v>4404.8325596981085</v>
      </c>
    </row>
    <row r="20" spans="1:21" x14ac:dyDescent="0.15">
      <c r="A20" s="22">
        <f t="shared" si="7"/>
        <v>2027</v>
      </c>
      <c r="B20" s="15">
        <v>10</v>
      </c>
      <c r="C20" s="16">
        <f t="shared" si="18"/>
        <v>8299.2975839999999</v>
      </c>
      <c r="D20" s="48">
        <f t="shared" si="8"/>
        <v>6.4380120963108434</v>
      </c>
      <c r="E20" s="49">
        <f t="shared" si="9"/>
        <v>53430.978236675357</v>
      </c>
      <c r="F20" s="69">
        <f t="shared" si="10"/>
        <v>-8348.5903494805243</v>
      </c>
      <c r="G20" s="48">
        <f t="shared" si="11"/>
        <v>45082.387887194833</v>
      </c>
      <c r="H20" s="69">
        <f t="shared" si="12"/>
        <v>-1127.0596971798709</v>
      </c>
      <c r="I20" s="69">
        <f t="shared" si="13"/>
        <v>-9307.9692958710966</v>
      </c>
      <c r="J20" s="48">
        <f t="shared" si="14"/>
        <v>34647.358894143865</v>
      </c>
      <c r="K20" s="13">
        <f t="shared" si="17"/>
        <v>26715.489118337679</v>
      </c>
      <c r="L20" s="48">
        <v>0</v>
      </c>
      <c r="M20" s="48">
        <f t="shared" si="15"/>
        <v>34647.358894143865</v>
      </c>
      <c r="N20" s="78">
        <f t="shared" si="16"/>
        <v>229746.35385794099</v>
      </c>
      <c r="O20" s="21">
        <f t="shared" si="0"/>
        <v>14010.048080295472</v>
      </c>
      <c r="P20" s="44">
        <f t="shared" si="1"/>
        <v>28705.723874774932</v>
      </c>
      <c r="Q20" s="44">
        <f t="shared" si="2"/>
        <v>21795.748780951239</v>
      </c>
      <c r="R20" s="44">
        <f t="shared" si="3"/>
        <v>17429.692464328564</v>
      </c>
      <c r="S20" s="44">
        <f t="shared" si="4"/>
        <v>14010.048080295472</v>
      </c>
      <c r="T20" s="44">
        <f t="shared" si="5"/>
        <v>8459.004131326994</v>
      </c>
      <c r="U20" s="72">
        <f t="shared" si="6"/>
        <v>3395.1315837535808</v>
      </c>
    </row>
    <row r="21" spans="1:21" x14ac:dyDescent="0.15">
      <c r="A21" s="22">
        <f t="shared" si="7"/>
        <v>2028</v>
      </c>
      <c r="B21" s="15">
        <v>11</v>
      </c>
      <c r="C21" s="16">
        <f t="shared" si="18"/>
        <v>7884.3327048000001</v>
      </c>
      <c r="D21" s="48">
        <f t="shared" si="8"/>
        <v>6.7599127011263862</v>
      </c>
      <c r="E21" s="49">
        <f t="shared" si="9"/>
        <v>53297.400791083674</v>
      </c>
      <c r="F21" s="69">
        <f t="shared" si="10"/>
        <v>-8327.7188736068238</v>
      </c>
      <c r="G21" s="48">
        <f t="shared" si="11"/>
        <v>44969.681917476846</v>
      </c>
      <c r="H21" s="69">
        <f t="shared" si="12"/>
        <v>-1124.2420479369212</v>
      </c>
      <c r="I21" s="69">
        <f t="shared" si="13"/>
        <v>-9773.3677606646525</v>
      </c>
      <c r="J21" s="48">
        <f t="shared" si="14"/>
        <v>34072.072108875276</v>
      </c>
      <c r="K21" s="13">
        <f t="shared" si="17"/>
        <v>26648.700395541837</v>
      </c>
      <c r="L21" s="48">
        <v>0</v>
      </c>
      <c r="M21" s="48">
        <f t="shared" si="15"/>
        <v>34072.072108875276</v>
      </c>
      <c r="N21" s="78">
        <f t="shared" si="16"/>
        <v>263818.42596681626</v>
      </c>
      <c r="O21" s="21">
        <f t="shared" si="0"/>
        <v>12524.931288913793</v>
      </c>
      <c r="P21" s="44">
        <f t="shared" si="1"/>
        <v>27675.5807322498</v>
      </c>
      <c r="Q21" s="44">
        <f t="shared" si="2"/>
        <v>20413.191320019116</v>
      </c>
      <c r="R21" s="44">
        <f t="shared" si="3"/>
        <v>15944.454721227297</v>
      </c>
      <c r="S21" s="44">
        <f t="shared" si="4"/>
        <v>12524.931288913793</v>
      </c>
      <c r="T21" s="44">
        <f t="shared" si="5"/>
        <v>7171.1640768233065</v>
      </c>
      <c r="U21" s="72">
        <f t="shared" si="6"/>
        <v>2614.5329829385319</v>
      </c>
    </row>
    <row r="22" spans="1:21" x14ac:dyDescent="0.15">
      <c r="A22" s="22">
        <f t="shared" si="7"/>
        <v>2029</v>
      </c>
      <c r="B22" s="15">
        <v>12</v>
      </c>
      <c r="C22" s="16">
        <f t="shared" si="18"/>
        <v>7490.1160695600001</v>
      </c>
      <c r="D22" s="48">
        <f t="shared" si="8"/>
        <v>7.097908336182706</v>
      </c>
      <c r="E22" s="49">
        <f t="shared" si="9"/>
        <v>53164.15728910597</v>
      </c>
      <c r="F22" s="69">
        <f t="shared" si="10"/>
        <v>-8306.8995764228075</v>
      </c>
      <c r="G22" s="48">
        <f t="shared" si="11"/>
        <v>44857.25771268316</v>
      </c>
      <c r="H22" s="69">
        <f t="shared" si="12"/>
        <v>-1121.431442817079</v>
      </c>
      <c r="I22" s="69">
        <f t="shared" si="13"/>
        <v>-10262.036148697885</v>
      </c>
      <c r="J22" s="48">
        <f t="shared" si="14"/>
        <v>33473.790121168196</v>
      </c>
      <c r="K22" s="13">
        <f t="shared" si="17"/>
        <v>26582.078644552985</v>
      </c>
      <c r="L22" s="48">
        <v>0</v>
      </c>
      <c r="M22" s="48">
        <f t="shared" si="15"/>
        <v>33473.790121168196</v>
      </c>
      <c r="N22" s="78">
        <f t="shared" si="16"/>
        <v>297292.21608798445</v>
      </c>
      <c r="O22" s="21">
        <f t="shared" si="0"/>
        <v>11186.365609385635</v>
      </c>
      <c r="P22" s="44">
        <f t="shared" si="1"/>
        <v>26656.486963595449</v>
      </c>
      <c r="Q22" s="44">
        <f t="shared" si="2"/>
        <v>19099.761732133607</v>
      </c>
      <c r="R22" s="44">
        <f t="shared" si="3"/>
        <v>14571.61036237121</v>
      </c>
      <c r="S22" s="44">
        <f t="shared" si="4"/>
        <v>11186.365609385635</v>
      </c>
      <c r="T22" s="44">
        <f t="shared" si="5"/>
        <v>6073.4856917467496</v>
      </c>
      <c r="U22" s="72">
        <f t="shared" si="6"/>
        <v>2011.4515227874772</v>
      </c>
    </row>
    <row r="23" spans="1:21" x14ac:dyDescent="0.15">
      <c r="A23" s="22">
        <f t="shared" si="7"/>
        <v>2030</v>
      </c>
      <c r="B23" s="15">
        <v>13</v>
      </c>
      <c r="C23" s="16">
        <f t="shared" si="18"/>
        <v>7115.6102660819997</v>
      </c>
      <c r="D23" s="48">
        <f t="shared" si="8"/>
        <v>7.4528037529918416</v>
      </c>
      <c r="E23" s="49">
        <f t="shared" si="9"/>
        <v>53031.246895883203</v>
      </c>
      <c r="F23" s="69">
        <f t="shared" si="10"/>
        <v>-8286.1323274817514</v>
      </c>
      <c r="G23" s="48">
        <f t="shared" si="11"/>
        <v>44745.114568401448</v>
      </c>
      <c r="H23" s="69">
        <f t="shared" si="12"/>
        <v>-1118.6278642100363</v>
      </c>
      <c r="I23" s="69">
        <f t="shared" si="13"/>
        <v>-10775.137956132779</v>
      </c>
      <c r="J23" s="48">
        <f t="shared" si="14"/>
        <v>32851.348748058634</v>
      </c>
      <c r="K23" s="13">
        <f t="shared" si="17"/>
        <v>26515.623447941602</v>
      </c>
      <c r="L23" s="48">
        <v>0</v>
      </c>
      <c r="M23" s="48">
        <f t="shared" si="15"/>
        <v>32851.348748058634</v>
      </c>
      <c r="N23" s="48">
        <f t="shared" si="16"/>
        <v>330143.56483604305</v>
      </c>
      <c r="O23" s="21">
        <f t="shared" si="0"/>
        <v>9980.3239958782779</v>
      </c>
      <c r="P23" s="44">
        <f t="shared" si="1"/>
        <v>25647.855468743539</v>
      </c>
      <c r="Q23" s="44">
        <f t="shared" si="2"/>
        <v>17852.003623642362</v>
      </c>
      <c r="R23" s="44">
        <f t="shared" si="3"/>
        <v>13302.932932033518</v>
      </c>
      <c r="S23" s="44">
        <f t="shared" si="4"/>
        <v>9980.3239958782779</v>
      </c>
      <c r="T23" s="44">
        <f t="shared" si="5"/>
        <v>5138.4050917842542</v>
      </c>
      <c r="U23" s="72">
        <f t="shared" si="6"/>
        <v>1545.8487136350986</v>
      </c>
    </row>
    <row r="24" spans="1:21" x14ac:dyDescent="0.15">
      <c r="A24" s="22">
        <f t="shared" si="7"/>
        <v>2031</v>
      </c>
      <c r="B24" s="15">
        <v>14</v>
      </c>
      <c r="C24" s="16">
        <f t="shared" si="18"/>
        <v>6759.8297527778996</v>
      </c>
      <c r="D24" s="48">
        <f t="shared" si="8"/>
        <v>7.825443940641434</v>
      </c>
      <c r="E24" s="49">
        <f t="shared" si="9"/>
        <v>52898.6687786435</v>
      </c>
      <c r="F24" s="69">
        <f t="shared" si="10"/>
        <v>-8265.416996663047</v>
      </c>
      <c r="G24" s="48">
        <f t="shared" si="11"/>
        <v>44633.251781980449</v>
      </c>
      <c r="H24" s="69">
        <f t="shared" si="12"/>
        <v>-1115.8312945495113</v>
      </c>
      <c r="I24" s="69">
        <f t="shared" si="13"/>
        <v>-11313.894853939419</v>
      </c>
      <c r="J24" s="48">
        <f t="shared" si="14"/>
        <v>32203.525633491518</v>
      </c>
      <c r="K24" s="13">
        <f t="shared" si="17"/>
        <v>26449.33438932175</v>
      </c>
      <c r="L24" s="48">
        <v>0</v>
      </c>
      <c r="M24" s="48">
        <f t="shared" si="15"/>
        <v>32203.525633491518</v>
      </c>
      <c r="N24" s="48">
        <f t="shared" si="16"/>
        <v>362347.09046953457</v>
      </c>
      <c r="O24" s="21">
        <f t="shared" si="0"/>
        <v>8894.1033385012961</v>
      </c>
      <c r="P24" s="44">
        <f t="shared" si="1"/>
        <v>24649.101999424893</v>
      </c>
      <c r="Q24" s="44">
        <f t="shared" si="2"/>
        <v>16666.633420575683</v>
      </c>
      <c r="R24" s="44">
        <f t="shared" si="3"/>
        <v>12130.791920757581</v>
      </c>
      <c r="S24" s="44">
        <f t="shared" si="4"/>
        <v>8894.1033385012961</v>
      </c>
      <c r="T24" s="44">
        <f t="shared" si="5"/>
        <v>4342.3074146132058</v>
      </c>
      <c r="U24" s="72">
        <f t="shared" si="6"/>
        <v>1186.660011744337</v>
      </c>
    </row>
    <row r="25" spans="1:21" x14ac:dyDescent="0.15">
      <c r="A25" s="22">
        <f t="shared" si="7"/>
        <v>2032</v>
      </c>
      <c r="B25" s="15">
        <v>15</v>
      </c>
      <c r="C25" s="16">
        <f t="shared" si="18"/>
        <v>6421.8382651390048</v>
      </c>
      <c r="D25" s="48">
        <f t="shared" si="8"/>
        <v>8.2167161376735063</v>
      </c>
      <c r="E25" s="49">
        <f t="shared" si="9"/>
        <v>52766.422106696897</v>
      </c>
      <c r="F25" s="69">
        <f t="shared" si="10"/>
        <v>-8244.7534541713903</v>
      </c>
      <c r="G25" s="48">
        <f t="shared" si="11"/>
        <v>44521.668652525506</v>
      </c>
      <c r="H25" s="69">
        <f t="shared" si="12"/>
        <v>-1113.0417163131376</v>
      </c>
      <c r="I25" s="69">
        <f t="shared" si="13"/>
        <v>-11879.58959663639</v>
      </c>
      <c r="J25" s="48">
        <f t="shared" si="14"/>
        <v>31529.037339575978</v>
      </c>
      <c r="K25" s="13">
        <f t="shared" si="17"/>
        <v>26383.211053348448</v>
      </c>
      <c r="L25" s="48">
        <v>0</v>
      </c>
      <c r="M25" s="48">
        <f t="shared" si="15"/>
        <v>31529.037339575978</v>
      </c>
      <c r="N25" s="48">
        <f t="shared" si="16"/>
        <v>393876.12780911056</v>
      </c>
      <c r="O25" s="21">
        <f t="shared" si="0"/>
        <v>7916.2003297161464</v>
      </c>
      <c r="P25" s="44">
        <f t="shared" si="1"/>
        <v>23659.644799234586</v>
      </c>
      <c r="Q25" s="44">
        <f t="shared" si="2"/>
        <v>15540.531727662341</v>
      </c>
      <c r="R25" s="44">
        <f t="shared" si="3"/>
        <v>11048.109734900063</v>
      </c>
      <c r="S25" s="44">
        <f t="shared" si="4"/>
        <v>7916.2003297161464</v>
      </c>
      <c r="T25" s="44">
        <f t="shared" si="5"/>
        <v>3664.9652998218598</v>
      </c>
      <c r="U25" s="72">
        <f t="shared" si="6"/>
        <v>909.79322941693965</v>
      </c>
    </row>
    <row r="26" spans="1:21" x14ac:dyDescent="0.15">
      <c r="A26" s="22">
        <f t="shared" si="7"/>
        <v>2033</v>
      </c>
      <c r="B26" s="15">
        <v>16</v>
      </c>
      <c r="C26" s="16">
        <f t="shared" si="18"/>
        <v>6100.7463518820541</v>
      </c>
      <c r="D26" s="48">
        <f t="shared" si="8"/>
        <v>8.6275519445571813</v>
      </c>
      <c r="E26" s="49">
        <f t="shared" si="9"/>
        <v>52634.506051430144</v>
      </c>
      <c r="F26" s="69">
        <f t="shared" si="10"/>
        <v>-8224.1415705359595</v>
      </c>
      <c r="G26" s="48">
        <f t="shared" si="11"/>
        <v>44410.364480894183</v>
      </c>
      <c r="H26" s="69">
        <f t="shared" si="12"/>
        <v>-1110.2591120223547</v>
      </c>
      <c r="I26" s="69">
        <f t="shared" si="13"/>
        <v>-12473.569076468209</v>
      </c>
      <c r="J26" s="48">
        <f t="shared" si="14"/>
        <v>30826.53629240362</v>
      </c>
      <c r="K26" s="13">
        <f t="shared" si="17"/>
        <v>26317.253025715072</v>
      </c>
      <c r="L26" s="48">
        <v>0</v>
      </c>
      <c r="M26" s="48">
        <f t="shared" si="15"/>
        <v>30826.53629240362</v>
      </c>
      <c r="N26" s="48">
        <f t="shared" si="16"/>
        <v>424702.66410151421</v>
      </c>
      <c r="O26" s="21">
        <f t="shared" si="0"/>
        <v>7036.1989325953637</v>
      </c>
      <c r="P26" s="44">
        <f t="shared" si="1"/>
        <v>22678.904242900626</v>
      </c>
      <c r="Q26" s="44">
        <f t="shared" si="2"/>
        <v>14470.735119394662</v>
      </c>
      <c r="R26" s="44">
        <f t="shared" si="3"/>
        <v>10048.321769925356</v>
      </c>
      <c r="S26" s="44">
        <f t="shared" si="4"/>
        <v>7036.1989325953637</v>
      </c>
      <c r="T26" s="44">
        <f t="shared" si="5"/>
        <v>3089.0568186878645</v>
      </c>
      <c r="U26" s="72">
        <f t="shared" si="6"/>
        <v>696.57169336137213</v>
      </c>
    </row>
    <row r="27" spans="1:21" x14ac:dyDescent="0.15">
      <c r="A27" s="22">
        <f t="shared" si="7"/>
        <v>2034</v>
      </c>
      <c r="B27" s="15">
        <v>17</v>
      </c>
      <c r="C27" s="16">
        <f t="shared" si="18"/>
        <v>5795.709034287951</v>
      </c>
      <c r="D27" s="48">
        <f t="shared" si="8"/>
        <v>9.0589295417850408</v>
      </c>
      <c r="E27" s="49">
        <f t="shared" si="9"/>
        <v>52502.919786301572</v>
      </c>
      <c r="F27" s="69">
        <f t="shared" si="10"/>
        <v>-8203.5812166096202</v>
      </c>
      <c r="G27" s="48">
        <f t="shared" si="11"/>
        <v>44299.33856969195</v>
      </c>
      <c r="H27" s="69">
        <f t="shared" si="12"/>
        <v>-1107.4834642422989</v>
      </c>
      <c r="I27" s="69">
        <f t="shared" si="13"/>
        <v>-13097.247530291621</v>
      </c>
      <c r="J27" s="48">
        <f t="shared" si="14"/>
        <v>30094.607575158032</v>
      </c>
      <c r="K27" s="13">
        <f t="shared" si="17"/>
        <v>26251.459893150786</v>
      </c>
      <c r="L27" s="48">
        <v>0</v>
      </c>
      <c r="M27" s="48">
        <f t="shared" si="15"/>
        <v>30094.607575158032</v>
      </c>
      <c r="N27" s="48">
        <f t="shared" si="16"/>
        <v>454797.27167667222</v>
      </c>
      <c r="O27" s="21">
        <f t="shared" si="0"/>
        <v>6244.6683682656731</v>
      </c>
      <c r="P27" s="44">
        <f t="shared" si="1"/>
        <v>21706.302474517004</v>
      </c>
      <c r="Q27" s="44">
        <f t="shared" si="2"/>
        <v>13454.428341540366</v>
      </c>
      <c r="R27" s="44">
        <f t="shared" si="3"/>
        <v>9125.3393636563578</v>
      </c>
      <c r="S27" s="44">
        <f t="shared" si="4"/>
        <v>6244.6683682656731</v>
      </c>
      <c r="T27" s="44">
        <f t="shared" si="5"/>
        <v>2599.7516492008222</v>
      </c>
      <c r="U27" s="72">
        <f t="shared" si="6"/>
        <v>532.52362512376055</v>
      </c>
    </row>
    <row r="28" spans="1:21" x14ac:dyDescent="0.15">
      <c r="A28" s="22">
        <f t="shared" si="7"/>
        <v>2035</v>
      </c>
      <c r="B28" s="15">
        <v>18</v>
      </c>
      <c r="C28" s="16">
        <f t="shared" si="18"/>
        <v>5505.9235825735532</v>
      </c>
      <c r="D28" s="48">
        <f t="shared" si="8"/>
        <v>9.5118760188742932</v>
      </c>
      <c r="E28" s="49">
        <f t="shared" si="9"/>
        <v>52371.662486835812</v>
      </c>
      <c r="F28" s="69">
        <f t="shared" si="10"/>
        <v>-8183.0722635680959</v>
      </c>
      <c r="G28" s="48">
        <f t="shared" si="11"/>
        <v>44188.590223267718</v>
      </c>
      <c r="H28" s="69">
        <f t="shared" si="12"/>
        <v>-1104.714755581693</v>
      </c>
      <c r="I28" s="69">
        <f t="shared" si="13"/>
        <v>-13752.109906806203</v>
      </c>
      <c r="J28" s="48">
        <f t="shared" si="14"/>
        <v>29331.765560879823</v>
      </c>
      <c r="K28" s="13">
        <f t="shared" si="17"/>
        <v>26185.831243417906</v>
      </c>
      <c r="L28" s="48">
        <v>0</v>
      </c>
      <c r="M28" s="48">
        <f t="shared" si="15"/>
        <v>29331.765560879823</v>
      </c>
      <c r="N28" s="48">
        <f t="shared" si="16"/>
        <v>484129.03723755205</v>
      </c>
      <c r="O28" s="21">
        <f t="shared" si="0"/>
        <v>5533.0706408258584</v>
      </c>
      <c r="P28" s="44">
        <f t="shared" si="1"/>
        <v>20741.263044499228</v>
      </c>
      <c r="Q28" s="44">
        <f t="shared" si="2"/>
        <v>12488.936902578789</v>
      </c>
      <c r="R28" s="44">
        <f t="shared" si="3"/>
        <v>8273.5154218213538</v>
      </c>
      <c r="S28" s="44">
        <f t="shared" si="4"/>
        <v>5533.0706408258584</v>
      </c>
      <c r="T28" s="44">
        <f t="shared" si="5"/>
        <v>2184.3558684183049</v>
      </c>
      <c r="U28" s="72">
        <f t="shared" si="6"/>
        <v>406.4409923553585</v>
      </c>
    </row>
    <row r="29" spans="1:21" x14ac:dyDescent="0.15">
      <c r="A29" s="22">
        <f t="shared" si="7"/>
        <v>2036</v>
      </c>
      <c r="B29" s="15">
        <v>19</v>
      </c>
      <c r="C29" s="16">
        <f t="shared" si="18"/>
        <v>5230.6274034448752</v>
      </c>
      <c r="D29" s="48">
        <f t="shared" si="8"/>
        <v>9.9874698198180081</v>
      </c>
      <c r="E29" s="49">
        <f t="shared" si="9"/>
        <v>52240.733330618721</v>
      </c>
      <c r="F29" s="69">
        <f t="shared" si="10"/>
        <v>-8162.6145829091747</v>
      </c>
      <c r="G29" s="48">
        <f t="shared" si="11"/>
        <v>44078.118747709545</v>
      </c>
      <c r="H29" s="69">
        <f t="shared" si="12"/>
        <v>-1101.9529686927388</v>
      </c>
      <c r="I29" s="69">
        <f t="shared" si="13"/>
        <v>-14439.715402146514</v>
      </c>
      <c r="J29" s="48">
        <f t="shared" si="14"/>
        <v>28536.450376870293</v>
      </c>
      <c r="K29" s="13">
        <f t="shared" si="17"/>
        <v>26120.366665309361</v>
      </c>
      <c r="L29" s="48">
        <v>0</v>
      </c>
      <c r="M29" s="48">
        <f t="shared" si="15"/>
        <v>28536.450376870293</v>
      </c>
      <c r="N29" s="48">
        <f t="shared" si="16"/>
        <v>512665.48761442234</v>
      </c>
      <c r="O29" s="21">
        <f t="shared" si="0"/>
        <v>4893.6767095766791</v>
      </c>
      <c r="P29" s="44">
        <f t="shared" si="1"/>
        <v>19783.210545018417</v>
      </c>
      <c r="Q29" s="44">
        <f t="shared" si="2"/>
        <v>11571.720035565284</v>
      </c>
      <c r="R29" s="44">
        <f t="shared" si="3"/>
        <v>7487.612523208727</v>
      </c>
      <c r="S29" s="44">
        <f t="shared" si="4"/>
        <v>4893.6767095766791</v>
      </c>
      <c r="T29" s="44">
        <f t="shared" si="5"/>
        <v>1832.00708940146</v>
      </c>
      <c r="U29" s="72">
        <f t="shared" si="6"/>
        <v>309.64805133494411</v>
      </c>
    </row>
    <row r="30" spans="1:21" x14ac:dyDescent="0.15">
      <c r="A30" s="22">
        <f t="shared" si="7"/>
        <v>2037</v>
      </c>
      <c r="B30" s="15">
        <v>20</v>
      </c>
      <c r="C30" s="16">
        <f t="shared" si="18"/>
        <v>4969.0960332726318</v>
      </c>
      <c r="D30" s="48">
        <f t="shared" si="8"/>
        <v>10.48684331080891</v>
      </c>
      <c r="E30" s="49">
        <f t="shared" si="9"/>
        <v>52110.131497292183</v>
      </c>
      <c r="F30" s="69">
        <f t="shared" si="10"/>
        <v>-8142.208046451904</v>
      </c>
      <c r="G30" s="48">
        <f t="shared" si="11"/>
        <v>43967.923450840281</v>
      </c>
      <c r="H30" s="69">
        <f t="shared" si="12"/>
        <v>-1099.198086271007</v>
      </c>
      <c r="I30" s="69">
        <f t="shared" si="13"/>
        <v>-15161.701172253841</v>
      </c>
      <c r="J30" s="48">
        <f t="shared" si="14"/>
        <v>27707.024192315432</v>
      </c>
      <c r="K30" s="13">
        <f t="shared" si="17"/>
        <v>26055.065748646091</v>
      </c>
      <c r="L30" s="48">
        <v>0</v>
      </c>
      <c r="M30" s="48">
        <f t="shared" si="15"/>
        <v>27707.024192315432</v>
      </c>
      <c r="N30" s="48">
        <f t="shared" si="16"/>
        <v>540372.51180673775</v>
      </c>
      <c r="O30" s="21">
        <f t="shared" si="0"/>
        <v>4319.4905014124733</v>
      </c>
      <c r="P30" s="44">
        <f t="shared" si="1"/>
        <v>18831.570243667185</v>
      </c>
      <c r="Q30" s="44">
        <f t="shared" si="2"/>
        <v>10700.364011902464</v>
      </c>
      <c r="R30" s="44">
        <f t="shared" si="3"/>
        <v>6762.7733256332886</v>
      </c>
      <c r="S30" s="44">
        <f t="shared" si="4"/>
        <v>4319.4905014124733</v>
      </c>
      <c r="T30" s="44">
        <f t="shared" si="5"/>
        <v>1533.4128346854836</v>
      </c>
      <c r="U30" s="72">
        <f t="shared" si="6"/>
        <v>235.43302744668375</v>
      </c>
    </row>
    <row r="31" spans="1:21" s="2" customFormat="1" ht="14" thickBot="1" x14ac:dyDescent="0.2">
      <c r="A31" s="23" t="s">
        <v>5</v>
      </c>
      <c r="B31" s="24"/>
      <c r="C31" s="25">
        <f>SUM(C11:C30)</f>
        <v>213626.15136781998</v>
      </c>
      <c r="D31" s="50"/>
      <c r="E31" s="51">
        <f t="shared" ref="E31:P31" si="19">SUM(E11:E30)</f>
        <v>1262700.2304110231</v>
      </c>
      <c r="F31" s="70">
        <f t="shared" si="19"/>
        <v>-197296.91100172239</v>
      </c>
      <c r="G31" s="51">
        <f t="shared" si="19"/>
        <v>1065403.3194093008</v>
      </c>
      <c r="H31" s="70">
        <f t="shared" si="19"/>
        <v>-26635.082985232526</v>
      </c>
      <c r="I31" s="70">
        <f t="shared" si="19"/>
        <v>-198395.72461733047</v>
      </c>
      <c r="J31" s="51">
        <f t="shared" si="19"/>
        <v>840372.51180673786</v>
      </c>
      <c r="K31" s="26">
        <f t="shared" si="19"/>
        <v>597682.67580551154</v>
      </c>
      <c r="L31" s="70">
        <f t="shared" si="19"/>
        <v>-300000</v>
      </c>
      <c r="M31" s="51">
        <f t="shared" si="19"/>
        <v>540372.51180673775</v>
      </c>
      <c r="N31" s="51"/>
      <c r="O31" s="27">
        <f t="shared" si="19"/>
        <v>457739.58877313184</v>
      </c>
      <c r="P31" s="45">
        <f t="shared" si="19"/>
        <v>426183.12373855535</v>
      </c>
      <c r="Q31" s="45">
        <f>SUM(Q11:Q30)</f>
        <v>301869.9852254953</v>
      </c>
      <c r="R31" s="45">
        <f>SUM(R11:R30)</f>
        <v>227717.68796925523</v>
      </c>
      <c r="S31" s="45">
        <f>SUM(S11:S30)</f>
        <v>171700.81199945413</v>
      </c>
      <c r="T31" s="45">
        <f>SUM(T11:T30)</f>
        <v>83268.214559730448</v>
      </c>
      <c r="U31" s="45">
        <f>SUM(U11:U30)</f>
        <v>49.858775337605152</v>
      </c>
    </row>
    <row r="32" spans="1:21" x14ac:dyDescent="0.15">
      <c r="A32" s="3"/>
      <c r="B32" s="3"/>
      <c r="C32" s="3"/>
      <c r="D32" s="3"/>
      <c r="E32" s="3"/>
      <c r="F32" s="3"/>
      <c r="G32" s="3"/>
      <c r="H32" s="3"/>
      <c r="I32" s="3"/>
      <c r="J32" s="18"/>
      <c r="K32" s="3"/>
      <c r="L32" s="3"/>
      <c r="M32" s="3"/>
      <c r="N32" s="19"/>
      <c r="O32" s="19"/>
      <c r="P32" s="34" t="s">
        <v>38</v>
      </c>
      <c r="Q32" s="34" t="s">
        <v>8</v>
      </c>
    </row>
    <row r="33" spans="1:17" x14ac:dyDescent="0.15">
      <c r="A33" s="3"/>
      <c r="B33" s="4" t="s">
        <v>31</v>
      </c>
      <c r="C33" s="38" t="s">
        <v>40</v>
      </c>
      <c r="D33" s="5" t="s">
        <v>24</v>
      </c>
      <c r="E33" s="3"/>
      <c r="F33" s="3"/>
      <c r="G33" s="3"/>
      <c r="H33" s="3"/>
      <c r="I33" s="3"/>
      <c r="J33" s="3"/>
      <c r="K33" s="3"/>
      <c r="L33" s="4" t="s">
        <v>41</v>
      </c>
      <c r="M33" s="17">
        <f>J31/300000</f>
        <v>2.8012417060224597</v>
      </c>
      <c r="P33" s="34">
        <v>2</v>
      </c>
      <c r="Q33" s="76">
        <f>P31</f>
        <v>426183.12373855535</v>
      </c>
    </row>
    <row r="34" spans="1:17" x14ac:dyDescent="0.15">
      <c r="A34" s="3"/>
      <c r="B34" s="6" t="s">
        <v>32</v>
      </c>
      <c r="C34" s="34">
        <v>12</v>
      </c>
      <c r="D34" s="7">
        <f>C34*100*125</f>
        <v>150000</v>
      </c>
      <c r="E34" s="3"/>
      <c r="F34" s="3"/>
      <c r="G34" s="3"/>
      <c r="H34" s="3"/>
      <c r="I34" s="3"/>
      <c r="J34" s="3"/>
      <c r="K34" s="3"/>
      <c r="L34" s="4" t="s">
        <v>20</v>
      </c>
      <c r="M34" s="79">
        <f>INTERCEPT(B14:B15,N14:N15)</f>
        <v>4.0311932261448868</v>
      </c>
      <c r="N34" s="43" t="s">
        <v>0</v>
      </c>
      <c r="P34" s="34">
        <v>5</v>
      </c>
      <c r="Q34" s="76">
        <f>Q31</f>
        <v>301869.9852254953</v>
      </c>
    </row>
    <row r="35" spans="1:17" x14ac:dyDescent="0.15">
      <c r="A35" s="3"/>
      <c r="B35" s="6" t="s">
        <v>33</v>
      </c>
      <c r="C35" s="34">
        <v>6</v>
      </c>
      <c r="D35" s="7">
        <f>C35*100*125</f>
        <v>75000</v>
      </c>
      <c r="E35" s="3"/>
      <c r="F35" s="3"/>
      <c r="G35" s="3"/>
      <c r="H35" s="3"/>
      <c r="I35" s="3"/>
      <c r="J35" s="3"/>
      <c r="K35" s="3"/>
      <c r="L35" s="4" t="s">
        <v>13</v>
      </c>
      <c r="M35" s="41">
        <f>IRR(M11:M30)</f>
        <v>0.27711082309987067</v>
      </c>
      <c r="P35" s="34">
        <v>7.5</v>
      </c>
      <c r="Q35" s="76">
        <f>R31</f>
        <v>227717.68796925523</v>
      </c>
    </row>
    <row r="36" spans="1:17" x14ac:dyDescent="0.15">
      <c r="B36" s="4" t="s">
        <v>5</v>
      </c>
      <c r="C36" s="34">
        <f>SUM(C34:C35)</f>
        <v>18</v>
      </c>
      <c r="D36" s="10">
        <f>SUM(D34:D35)</f>
        <v>225000</v>
      </c>
      <c r="L36" s="33" t="s">
        <v>35</v>
      </c>
      <c r="M36" s="29">
        <f>O31</f>
        <v>457739.58877313184</v>
      </c>
      <c r="P36" s="34">
        <v>10</v>
      </c>
      <c r="Q36" s="76">
        <f>S31</f>
        <v>171700.81199945413</v>
      </c>
    </row>
    <row r="37" spans="1:17" x14ac:dyDescent="0.15">
      <c r="L37" s="42"/>
      <c r="P37" s="30"/>
      <c r="Q37" s="77"/>
    </row>
    <row r="50" spans="7:9" x14ac:dyDescent="0.15">
      <c r="G50" s="30"/>
      <c r="H50" s="30"/>
      <c r="I50" s="30"/>
    </row>
    <row r="51" spans="7:9" x14ac:dyDescent="0.15">
      <c r="G51" s="31"/>
      <c r="H51" s="32"/>
      <c r="I51" s="30"/>
    </row>
    <row r="52" spans="7:9" x14ac:dyDescent="0.15">
      <c r="G52" s="31"/>
      <c r="H52" s="32"/>
      <c r="I52" s="30"/>
    </row>
    <row r="53" spans="7:9" x14ac:dyDescent="0.15">
      <c r="G53" s="31"/>
      <c r="H53" s="32"/>
      <c r="I53" s="30"/>
    </row>
    <row r="54" spans="7:9" x14ac:dyDescent="0.15">
      <c r="G54" s="31"/>
      <c r="H54" s="32"/>
      <c r="I54" s="30"/>
    </row>
    <row r="55" spans="7:9" x14ac:dyDescent="0.15">
      <c r="G55" s="31"/>
      <c r="H55" s="32"/>
      <c r="I55" s="30"/>
    </row>
    <row r="56" spans="7:9" x14ac:dyDescent="0.15">
      <c r="G56" s="31"/>
      <c r="H56" s="32"/>
      <c r="I56" s="30"/>
    </row>
    <row r="57" spans="7:9" x14ac:dyDescent="0.15">
      <c r="G57" s="31"/>
      <c r="H57" s="32"/>
      <c r="I57" s="30"/>
    </row>
    <row r="58" spans="7:9" x14ac:dyDescent="0.15">
      <c r="G58" s="31"/>
      <c r="H58" s="32"/>
      <c r="I58" s="30"/>
    </row>
    <row r="59" spans="7:9" x14ac:dyDescent="0.15">
      <c r="G59" s="31"/>
      <c r="H59" s="32"/>
      <c r="I59" s="30"/>
    </row>
    <row r="60" spans="7:9" x14ac:dyDescent="0.15">
      <c r="G60" s="31"/>
      <c r="H60" s="32"/>
      <c r="I60" s="30"/>
    </row>
    <row r="61" spans="7:9" x14ac:dyDescent="0.15">
      <c r="G61" s="31"/>
      <c r="H61" s="32"/>
      <c r="I61" s="30"/>
    </row>
    <row r="62" spans="7:9" x14ac:dyDescent="0.15">
      <c r="G62" s="31"/>
      <c r="H62" s="32"/>
      <c r="I62" s="30"/>
    </row>
    <row r="63" spans="7:9" x14ac:dyDescent="0.15">
      <c r="G63" s="31"/>
      <c r="H63" s="32"/>
      <c r="I63" s="30"/>
    </row>
    <row r="64" spans="7:9" x14ac:dyDescent="0.15">
      <c r="G64" s="31"/>
      <c r="H64" s="32"/>
      <c r="I64" s="30"/>
    </row>
    <row r="65" spans="7:9" x14ac:dyDescent="0.15">
      <c r="G65" s="31"/>
      <c r="H65" s="32"/>
      <c r="I65" s="30"/>
    </row>
    <row r="66" spans="7:9" x14ac:dyDescent="0.15">
      <c r="G66" s="31"/>
      <c r="H66" s="32"/>
      <c r="I66" s="30"/>
    </row>
    <row r="67" spans="7:9" x14ac:dyDescent="0.15">
      <c r="G67" s="31"/>
      <c r="H67" s="32"/>
      <c r="I67" s="30"/>
    </row>
    <row r="68" spans="7:9" x14ac:dyDescent="0.15">
      <c r="G68" s="31"/>
      <c r="H68" s="32"/>
      <c r="I68" s="30"/>
    </row>
    <row r="69" spans="7:9" x14ac:dyDescent="0.15">
      <c r="G69" s="31"/>
      <c r="H69" s="32"/>
      <c r="I69" s="30"/>
    </row>
    <row r="70" spans="7:9" x14ac:dyDescent="0.15">
      <c r="G70" s="31"/>
      <c r="H70" s="32"/>
      <c r="I70" s="30"/>
    </row>
    <row r="71" spans="7:9" x14ac:dyDescent="0.15">
      <c r="G71" s="30"/>
      <c r="H71" s="30"/>
      <c r="I71" s="30"/>
    </row>
    <row r="72" spans="7:9" x14ac:dyDescent="0.15">
      <c r="G72" s="30"/>
      <c r="H72" s="30"/>
      <c r="I72" s="30"/>
    </row>
  </sheetData>
  <mergeCells count="3">
    <mergeCell ref="P8:T8"/>
    <mergeCell ref="P10:T10"/>
    <mergeCell ref="H1:O1"/>
  </mergeCells>
  <phoneticPr fontId="3" type="noConversion"/>
  <pageMargins left="0.5" right="0.5" top="1.1299999999999999" bottom="1" header="0.5" footer="0.5"/>
  <pageSetup orientation="landscape" r:id="rId1"/>
  <headerFooter alignWithMargins="0">
    <oddHeader>&amp;C&amp;9&amp;K000000Estimated Future Reserves and Income_x000D_Ohio Gas Well - Escalated Case_x000D_Morgan County Ohio As of January1, 2016_x000D_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tabSelected="1" zoomScale="130" zoomScaleNormal="130" zoomScalePageLayoutView="85" workbookViewId="0">
      <selection activeCell="H2" sqref="H2"/>
    </sheetView>
  </sheetViews>
  <sheetFormatPr baseColWidth="10" defaultColWidth="8.83203125" defaultRowHeight="13" x14ac:dyDescent="0.15"/>
  <cols>
    <col min="1" max="1" width="6" customWidth="1"/>
    <col min="2" max="2" width="5.5" customWidth="1"/>
    <col min="3" max="3" width="10" customWidth="1"/>
    <col min="4" max="4" width="7.33203125" customWidth="1"/>
    <col min="5" max="5" width="14.6640625" customWidth="1"/>
    <col min="6" max="6" width="14.5" customWidth="1"/>
    <col min="7" max="7" width="14" customWidth="1"/>
    <col min="8" max="8" width="13" customWidth="1"/>
    <col min="9" max="9" width="13.5" bestFit="1" customWidth="1"/>
    <col min="10" max="10" width="13.6640625" customWidth="1"/>
    <col min="11" max="11" width="11.5" hidden="1" customWidth="1"/>
    <col min="12" max="12" width="14" customWidth="1"/>
    <col min="13" max="13" width="16.1640625" customWidth="1"/>
    <col min="14" max="14" width="14" bestFit="1" customWidth="1"/>
    <col min="15" max="15" width="10.6640625" customWidth="1"/>
    <col min="16" max="16" width="16" customWidth="1"/>
    <col min="17" max="17" width="13.5" bestFit="1" customWidth="1"/>
    <col min="18" max="18" width="12.6640625" bestFit="1" customWidth="1"/>
    <col min="19" max="20" width="13.1640625" bestFit="1" customWidth="1"/>
  </cols>
  <sheetData>
    <row r="1" spans="1:20" ht="112.5" customHeight="1" x14ac:dyDescent="0.25">
      <c r="H1" s="87" t="s">
        <v>43</v>
      </c>
      <c r="I1" s="88"/>
      <c r="J1" s="88"/>
      <c r="K1" s="88"/>
      <c r="L1" s="88"/>
      <c r="M1" s="88"/>
      <c r="N1" s="88"/>
    </row>
    <row r="2" spans="1:20" x14ac:dyDescent="0.15">
      <c r="A2" s="3"/>
      <c r="B2" s="3"/>
      <c r="F2" s="3"/>
      <c r="G2" s="6" t="s">
        <v>28</v>
      </c>
      <c r="H2" s="39">
        <v>2.5000000000000001E-2</v>
      </c>
      <c r="I2" s="3"/>
      <c r="J2" s="3"/>
      <c r="K2" s="3"/>
      <c r="L2" s="3"/>
      <c r="M2" s="3"/>
      <c r="N2" s="3"/>
      <c r="O2" s="3"/>
    </row>
    <row r="3" spans="1:20" x14ac:dyDescent="0.15">
      <c r="A3" s="3"/>
      <c r="B3" s="3"/>
      <c r="F3" s="3"/>
      <c r="G3" s="6" t="s">
        <v>25</v>
      </c>
      <c r="H3" s="8">
        <v>0</v>
      </c>
      <c r="I3" s="3"/>
      <c r="M3" s="3"/>
      <c r="N3" s="3"/>
      <c r="O3" s="3"/>
    </row>
    <row r="4" spans="1:20" x14ac:dyDescent="0.15">
      <c r="A4" s="3"/>
      <c r="B4" s="3"/>
      <c r="F4" s="3"/>
      <c r="G4" s="6" t="s">
        <v>26</v>
      </c>
      <c r="H4" s="9">
        <v>0.15625</v>
      </c>
      <c r="I4" s="3"/>
      <c r="J4" s="3"/>
      <c r="K4" s="3"/>
      <c r="L4" s="3"/>
      <c r="M4" s="3"/>
      <c r="N4" s="3"/>
      <c r="O4" s="3"/>
    </row>
    <row r="5" spans="1:20" x14ac:dyDescent="0.15">
      <c r="A5" s="3"/>
      <c r="B5" s="3"/>
      <c r="F5" s="3"/>
      <c r="G5" s="6" t="s">
        <v>27</v>
      </c>
      <c r="H5" s="8">
        <v>0</v>
      </c>
      <c r="I5" s="3"/>
      <c r="J5" s="3"/>
      <c r="K5" s="3"/>
      <c r="L5" s="3"/>
      <c r="M5" s="3"/>
      <c r="N5" s="3"/>
      <c r="O5" s="3"/>
    </row>
    <row r="6" spans="1:20" x14ac:dyDescent="0.15">
      <c r="A6" s="3"/>
      <c r="B6" s="3"/>
      <c r="C6" s="3"/>
      <c r="D6" s="3"/>
      <c r="E6" s="3"/>
      <c r="F6" s="3"/>
      <c r="G6" s="6" t="s">
        <v>29</v>
      </c>
      <c r="H6" s="8">
        <v>0.1</v>
      </c>
      <c r="I6" s="3"/>
      <c r="J6" s="3"/>
      <c r="K6" s="3"/>
      <c r="L6" s="3"/>
      <c r="M6" s="3"/>
      <c r="N6" s="3"/>
      <c r="O6" s="3"/>
    </row>
    <row r="7" spans="1:20" ht="14" thickBot="1" x14ac:dyDescent="0.2">
      <c r="A7" s="3"/>
      <c r="B7" s="3"/>
      <c r="C7" s="3"/>
      <c r="D7" s="3"/>
      <c r="E7" s="3"/>
      <c r="G7" s="53" t="s">
        <v>39</v>
      </c>
      <c r="H7" s="55">
        <v>0.1</v>
      </c>
      <c r="I7" s="3"/>
      <c r="J7" s="3"/>
      <c r="K7" s="3"/>
      <c r="L7" s="3"/>
      <c r="M7" s="3"/>
      <c r="N7" s="3"/>
      <c r="O7" s="3"/>
    </row>
    <row r="8" spans="1:20" ht="25" thickBot="1" x14ac:dyDescent="0.2">
      <c r="A8" s="56" t="s">
        <v>0</v>
      </c>
      <c r="B8" s="57" t="s">
        <v>1</v>
      </c>
      <c r="C8" s="58" t="s">
        <v>34</v>
      </c>
      <c r="D8" s="57" t="s">
        <v>14</v>
      </c>
      <c r="E8" s="57" t="s">
        <v>3</v>
      </c>
      <c r="F8" s="57" t="s">
        <v>4</v>
      </c>
      <c r="G8" s="57" t="s">
        <v>18</v>
      </c>
      <c r="H8" s="58" t="s">
        <v>30</v>
      </c>
      <c r="I8" s="57" t="s">
        <v>16</v>
      </c>
      <c r="J8" s="57" t="s">
        <v>19</v>
      </c>
      <c r="K8" s="59">
        <v>0.5</v>
      </c>
      <c r="L8" s="57" t="s">
        <v>6</v>
      </c>
      <c r="M8" s="57" t="s">
        <v>21</v>
      </c>
      <c r="N8" s="57" t="s">
        <v>2</v>
      </c>
      <c r="O8" s="60" t="s">
        <v>22</v>
      </c>
      <c r="P8" s="89" t="s">
        <v>36</v>
      </c>
      <c r="Q8" s="90"/>
      <c r="R8" s="90"/>
      <c r="S8" s="90"/>
      <c r="T8" s="91"/>
    </row>
    <row r="9" spans="1:20" ht="14" thickBot="1" x14ac:dyDescent="0.2">
      <c r="A9" s="56"/>
      <c r="B9" s="57"/>
      <c r="C9" s="66"/>
      <c r="D9" s="57"/>
      <c r="E9" s="57"/>
      <c r="F9" s="57"/>
      <c r="G9" s="57"/>
      <c r="H9" s="57"/>
      <c r="I9" s="57" t="s">
        <v>7</v>
      </c>
      <c r="J9" s="57"/>
      <c r="K9" s="57" t="s">
        <v>3</v>
      </c>
      <c r="L9" s="57"/>
      <c r="M9" s="57"/>
      <c r="N9" s="57" t="s">
        <v>9</v>
      </c>
      <c r="O9" s="61" t="s">
        <v>19</v>
      </c>
      <c r="P9" s="67">
        <v>-0.03</v>
      </c>
      <c r="Q9" s="67">
        <v>0.02</v>
      </c>
      <c r="R9" s="67">
        <v>0.05</v>
      </c>
      <c r="S9" s="67">
        <v>7.0000000000000007E-2</v>
      </c>
      <c r="T9" s="68">
        <v>0.1</v>
      </c>
    </row>
    <row r="10" spans="1:20" ht="14" thickBot="1" x14ac:dyDescent="0.2">
      <c r="A10" s="62"/>
      <c r="B10" s="63" t="s">
        <v>10</v>
      </c>
      <c r="C10" s="63" t="s">
        <v>11</v>
      </c>
      <c r="D10" s="64" t="s">
        <v>15</v>
      </c>
      <c r="E10" s="63" t="s">
        <v>17</v>
      </c>
      <c r="F10" s="63" t="s">
        <v>17</v>
      </c>
      <c r="G10" s="63" t="s">
        <v>17</v>
      </c>
      <c r="H10" s="63" t="s">
        <v>17</v>
      </c>
      <c r="I10" s="63" t="s">
        <v>17</v>
      </c>
      <c r="J10" s="63" t="s">
        <v>17</v>
      </c>
      <c r="K10" s="63" t="s">
        <v>12</v>
      </c>
      <c r="L10" s="63" t="s">
        <v>17</v>
      </c>
      <c r="M10" s="63" t="s">
        <v>17</v>
      </c>
      <c r="N10" s="63" t="s">
        <v>17</v>
      </c>
      <c r="O10" s="65" t="s">
        <v>23</v>
      </c>
      <c r="P10" s="89" t="s">
        <v>37</v>
      </c>
      <c r="Q10" s="90"/>
      <c r="R10" s="90"/>
      <c r="S10" s="90"/>
      <c r="T10" s="91"/>
    </row>
    <row r="11" spans="1:20" x14ac:dyDescent="0.15">
      <c r="A11" s="20">
        <v>2019</v>
      </c>
      <c r="B11" s="11">
        <v>1</v>
      </c>
      <c r="C11" s="35">
        <v>36500</v>
      </c>
      <c r="D11" s="46">
        <v>4.1500000000000004</v>
      </c>
      <c r="E11" s="47">
        <f>D11*C11</f>
        <v>151475</v>
      </c>
      <c r="F11" s="69">
        <f>-E11*0.15625</f>
        <v>-23667.96875</v>
      </c>
      <c r="G11" s="48">
        <f>E11+F11</f>
        <v>127807.03125</v>
      </c>
      <c r="H11" s="75">
        <f>-0.025*G11</f>
        <v>-3195.17578125</v>
      </c>
      <c r="I11" s="71">
        <v>-6000</v>
      </c>
      <c r="J11" s="49">
        <f>G11+I11+H11</f>
        <v>118611.85546875</v>
      </c>
      <c r="K11" s="46">
        <v>0</v>
      </c>
      <c r="L11" s="71">
        <v>-300000</v>
      </c>
      <c r="M11" s="69">
        <f>J11+L11</f>
        <v>-181388.14453125</v>
      </c>
      <c r="N11" s="71">
        <f>J11+L11</f>
        <v>-181388.14453125</v>
      </c>
      <c r="O11" s="13">
        <f t="shared" ref="O11:O30" si="0">J11*(1/(1+$H$6)^(B11-0.5))</f>
        <v>113091.96683045833</v>
      </c>
      <c r="P11" s="72">
        <f>M11*(1/(1+$P$9)^(B11-0.5))</f>
        <v>-184171.75695050732</v>
      </c>
      <c r="Q11" s="72">
        <f>M11*(1/(1+$Q$9)^(B11-0.5))</f>
        <v>-179601.02563271506</v>
      </c>
      <c r="R11" s="72">
        <f>M11*(1/(1+$R$9)^(B11-0.5))</f>
        <v>-177016.70348004595</v>
      </c>
      <c r="S11" s="72">
        <f>M11*(1/(1+$S$9)^(B11-0.5))</f>
        <v>-175354.53799864801</v>
      </c>
      <c r="T11" s="72">
        <f>M11*(1/(1+$T$9)^(B11-0.5))</f>
        <v>-172946.80994321933</v>
      </c>
    </row>
    <row r="12" spans="1:20" x14ac:dyDescent="0.15">
      <c r="A12" s="22">
        <f>A11+1</f>
        <v>2020</v>
      </c>
      <c r="B12" s="15">
        <v>2</v>
      </c>
      <c r="C12" s="36">
        <f>C11-C11*0.4</f>
        <v>21900</v>
      </c>
      <c r="D12" s="48">
        <f>D11</f>
        <v>4.1500000000000004</v>
      </c>
      <c r="E12" s="49">
        <f>D12*C12</f>
        <v>90885.000000000015</v>
      </c>
      <c r="F12" s="69">
        <f>-E12*0.15625</f>
        <v>-14200.781250000002</v>
      </c>
      <c r="G12" s="48">
        <f>E12+F12</f>
        <v>76684.218750000015</v>
      </c>
      <c r="H12" s="75">
        <f>-0.025*G12</f>
        <v>-1917.1054687500005</v>
      </c>
      <c r="I12" s="69">
        <v>-6000</v>
      </c>
      <c r="J12" s="49">
        <f>G12+I12+H12</f>
        <v>68767.113281250015</v>
      </c>
      <c r="K12" s="48">
        <f>E11/2</f>
        <v>75737.5</v>
      </c>
      <c r="L12" s="48">
        <v>0</v>
      </c>
      <c r="M12" s="48">
        <f>J12+L12</f>
        <v>68767.113281250015</v>
      </c>
      <c r="N12" s="69">
        <f>N11+M12</f>
        <v>-112621.03124999999</v>
      </c>
      <c r="O12" s="13">
        <f t="shared" si="0"/>
        <v>59606.245349168719</v>
      </c>
      <c r="P12" s="44">
        <f t="shared" ref="P12:P30" si="1">M12*(1/(1+$P$9)^(B12-0.5))</f>
        <v>71981.881193223046</v>
      </c>
      <c r="Q12" s="44">
        <f t="shared" ref="Q12:Q30" si="2">M12*(1/(1+$Q$9)^(B12-0.5))</f>
        <v>66754.498287282666</v>
      </c>
      <c r="R12" s="44">
        <f t="shared" ref="R12:R30" si="3">M12*(1/(1+$R$9)^(B12-0.5))</f>
        <v>63914.124635839937</v>
      </c>
      <c r="S12" s="44">
        <f t="shared" ref="S12:S30" si="4">M12*(1/(1+$S$9)^(B12-0.5))</f>
        <v>62130.539864786027</v>
      </c>
      <c r="T12" s="44">
        <f t="shared" ref="T12:T30" si="5">M12*(1/(1+$T$9)^(B12-0.5))</f>
        <v>59606.245349168719</v>
      </c>
    </row>
    <row r="13" spans="1:20" x14ac:dyDescent="0.15">
      <c r="A13" s="22">
        <f t="shared" ref="A13:A30" si="6">A12+1</f>
        <v>2021</v>
      </c>
      <c r="B13" s="15">
        <v>3</v>
      </c>
      <c r="C13" s="36">
        <f>C12-C12*0.2</f>
        <v>17520</v>
      </c>
      <c r="D13" s="48">
        <f t="shared" ref="D13:D30" si="7">D12</f>
        <v>4.1500000000000004</v>
      </c>
      <c r="E13" s="49">
        <f t="shared" ref="E13:E30" si="8">D13*C13</f>
        <v>72708</v>
      </c>
      <c r="F13" s="69">
        <f t="shared" ref="F13:F30" si="9">-E13*0.15625</f>
        <v>-11360.625</v>
      </c>
      <c r="G13" s="48">
        <f t="shared" ref="G13:G30" si="10">E13+F13</f>
        <v>61347.375</v>
      </c>
      <c r="H13" s="75">
        <f t="shared" ref="H13:H30" si="11">-0.025*G13</f>
        <v>-1533.684375</v>
      </c>
      <c r="I13" s="69">
        <v>-6000</v>
      </c>
      <c r="J13" s="49">
        <f t="shared" ref="J13:J30" si="12">G13+I13+H13</f>
        <v>53813.690625000003</v>
      </c>
      <c r="K13" s="48">
        <f>E12/2</f>
        <v>45442.500000000007</v>
      </c>
      <c r="L13" s="48">
        <v>0</v>
      </c>
      <c r="M13" s="48">
        <f t="shared" ref="M13:M30" si="13">J13+L13</f>
        <v>53813.690625000003</v>
      </c>
      <c r="N13" s="69">
        <f t="shared" ref="N13:N30" si="14">N12+M13</f>
        <v>-58807.340624999983</v>
      </c>
      <c r="O13" s="13">
        <f t="shared" si="0"/>
        <v>42404.413884441114</v>
      </c>
      <c r="P13" s="44">
        <f t="shared" si="1"/>
        <v>58071.553202020135</v>
      </c>
      <c r="Q13" s="44">
        <f t="shared" si="2"/>
        <v>51214.430556373169</v>
      </c>
      <c r="R13" s="44">
        <f t="shared" si="3"/>
        <v>47634.271751988468</v>
      </c>
      <c r="S13" s="44">
        <f t="shared" si="4"/>
        <v>45439.477978340503</v>
      </c>
      <c r="T13" s="44">
        <f t="shared" si="5"/>
        <v>42404.413884441114</v>
      </c>
    </row>
    <row r="14" spans="1:20" x14ac:dyDescent="0.15">
      <c r="A14" s="22">
        <f t="shared" si="6"/>
        <v>2022</v>
      </c>
      <c r="B14" s="15">
        <v>4</v>
      </c>
      <c r="C14" s="36">
        <f>C13-C13*0.2</f>
        <v>14016</v>
      </c>
      <c r="D14" s="48">
        <f t="shared" si="7"/>
        <v>4.1500000000000004</v>
      </c>
      <c r="E14" s="49">
        <f t="shared" si="8"/>
        <v>58166.400000000001</v>
      </c>
      <c r="F14" s="69">
        <f t="shared" si="9"/>
        <v>-9088.5</v>
      </c>
      <c r="G14" s="48">
        <f t="shared" si="10"/>
        <v>49077.9</v>
      </c>
      <c r="H14" s="75">
        <f t="shared" si="11"/>
        <v>-1226.9475</v>
      </c>
      <c r="I14" s="69">
        <v>-6000</v>
      </c>
      <c r="J14" s="49">
        <f t="shared" si="12"/>
        <v>41850.952499999999</v>
      </c>
      <c r="K14" s="48">
        <f>E13/2</f>
        <v>36354</v>
      </c>
      <c r="L14" s="48">
        <v>0</v>
      </c>
      <c r="M14" s="48">
        <f t="shared" si="13"/>
        <v>41850.952499999999</v>
      </c>
      <c r="N14" s="69">
        <f t="shared" si="14"/>
        <v>-16956.388124999983</v>
      </c>
      <c r="O14" s="13">
        <f t="shared" si="0"/>
        <v>29979.953067651604</v>
      </c>
      <c r="P14" s="44">
        <f t="shared" si="1"/>
        <v>46559.067845837722</v>
      </c>
      <c r="Q14" s="44">
        <f t="shared" si="2"/>
        <v>39048.535055435415</v>
      </c>
      <c r="R14" s="44">
        <f t="shared" si="3"/>
        <v>35281.155467198434</v>
      </c>
      <c r="S14" s="44">
        <f t="shared" si="4"/>
        <v>33026.46754690801</v>
      </c>
      <c r="T14" s="44">
        <f t="shared" si="5"/>
        <v>29979.953067651604</v>
      </c>
    </row>
    <row r="15" spans="1:20" x14ac:dyDescent="0.15">
      <c r="A15" s="22">
        <f t="shared" si="6"/>
        <v>2023</v>
      </c>
      <c r="B15" s="15">
        <v>5</v>
      </c>
      <c r="C15" s="36">
        <f>C14-C14*0.1</f>
        <v>12614.4</v>
      </c>
      <c r="D15" s="48">
        <f t="shared" si="7"/>
        <v>4.1500000000000004</v>
      </c>
      <c r="E15" s="49">
        <f t="shared" si="8"/>
        <v>52349.760000000002</v>
      </c>
      <c r="F15" s="69">
        <f t="shared" si="9"/>
        <v>-8179.6500000000005</v>
      </c>
      <c r="G15" s="48">
        <f t="shared" si="10"/>
        <v>44170.11</v>
      </c>
      <c r="H15" s="75">
        <f t="shared" si="11"/>
        <v>-1104.2527500000001</v>
      </c>
      <c r="I15" s="69">
        <v>-6000</v>
      </c>
      <c r="J15" s="49">
        <f t="shared" si="12"/>
        <v>37065.857250000001</v>
      </c>
      <c r="K15" s="48">
        <f t="shared" ref="K15:K30" si="15">E15/2</f>
        <v>26174.880000000001</v>
      </c>
      <c r="L15" s="48">
        <v>0</v>
      </c>
      <c r="M15" s="48">
        <f t="shared" si="13"/>
        <v>37065.857250000001</v>
      </c>
      <c r="N15" s="82">
        <f t="shared" si="14"/>
        <v>20109.469125000018</v>
      </c>
      <c r="O15" s="13">
        <f t="shared" si="0"/>
        <v>24138.31584331159</v>
      </c>
      <c r="P15" s="44">
        <f t="shared" si="1"/>
        <v>42510.992511254735</v>
      </c>
      <c r="Q15" s="44">
        <f t="shared" si="2"/>
        <v>33905.743787593718</v>
      </c>
      <c r="R15" s="44">
        <f t="shared" si="3"/>
        <v>29759.265157357204</v>
      </c>
      <c r="S15" s="44">
        <f t="shared" si="4"/>
        <v>27336.760585144555</v>
      </c>
      <c r="T15" s="44">
        <f t="shared" si="5"/>
        <v>24138.31584331159</v>
      </c>
    </row>
    <row r="16" spans="1:20" x14ac:dyDescent="0.15">
      <c r="A16" s="22">
        <f t="shared" si="6"/>
        <v>2024</v>
      </c>
      <c r="B16" s="15">
        <v>6</v>
      </c>
      <c r="C16" s="36">
        <f>C15-C15*0.1</f>
        <v>11352.96</v>
      </c>
      <c r="D16" s="48">
        <f t="shared" si="7"/>
        <v>4.1500000000000004</v>
      </c>
      <c r="E16" s="49">
        <f t="shared" si="8"/>
        <v>47114.784</v>
      </c>
      <c r="F16" s="69">
        <f t="shared" si="9"/>
        <v>-7361.6849999999995</v>
      </c>
      <c r="G16" s="48">
        <f t="shared" si="10"/>
        <v>39753.099000000002</v>
      </c>
      <c r="H16" s="75">
        <f t="shared" si="11"/>
        <v>-993.82747500000005</v>
      </c>
      <c r="I16" s="69">
        <v>-6000</v>
      </c>
      <c r="J16" s="49">
        <f t="shared" si="12"/>
        <v>32759.271525000004</v>
      </c>
      <c r="K16" s="48">
        <f t="shared" si="15"/>
        <v>23557.392</v>
      </c>
      <c r="L16" s="48">
        <v>0</v>
      </c>
      <c r="M16" s="48">
        <f t="shared" si="13"/>
        <v>32759.271525000004</v>
      </c>
      <c r="N16" s="82">
        <f t="shared" si="14"/>
        <v>52868.740650000022</v>
      </c>
      <c r="O16" s="13">
        <f t="shared" si="0"/>
        <v>19394.315993086599</v>
      </c>
      <c r="P16" s="44">
        <f t="shared" si="1"/>
        <v>38733.763563597109</v>
      </c>
      <c r="Q16" s="44">
        <f t="shared" si="2"/>
        <v>29378.748472188345</v>
      </c>
      <c r="R16" s="44">
        <f t="shared" si="3"/>
        <v>25049.155617640838</v>
      </c>
      <c r="S16" s="44">
        <f t="shared" si="4"/>
        <v>22579.97508724052</v>
      </c>
      <c r="T16" s="44">
        <f t="shared" si="5"/>
        <v>19394.315993086599</v>
      </c>
    </row>
    <row r="17" spans="1:20" x14ac:dyDescent="0.15">
      <c r="A17" s="22">
        <f t="shared" si="6"/>
        <v>2025</v>
      </c>
      <c r="B17" s="15">
        <v>7</v>
      </c>
      <c r="C17" s="36">
        <f>C16-C16*0.1</f>
        <v>10217.663999999999</v>
      </c>
      <c r="D17" s="48">
        <f t="shared" si="7"/>
        <v>4.1500000000000004</v>
      </c>
      <c r="E17" s="49">
        <f t="shared" si="8"/>
        <v>42403.3056</v>
      </c>
      <c r="F17" s="69">
        <f t="shared" si="9"/>
        <v>-6625.5164999999997</v>
      </c>
      <c r="G17" s="48">
        <f t="shared" si="10"/>
        <v>35777.789100000002</v>
      </c>
      <c r="H17" s="75">
        <f t="shared" si="11"/>
        <v>-894.44472750000011</v>
      </c>
      <c r="I17" s="69">
        <v>-6000</v>
      </c>
      <c r="J17" s="49">
        <f t="shared" si="12"/>
        <v>28883.344372500003</v>
      </c>
      <c r="K17" s="48">
        <f t="shared" si="15"/>
        <v>21201.6528</v>
      </c>
      <c r="L17" s="48">
        <v>0</v>
      </c>
      <c r="M17" s="48">
        <f t="shared" si="13"/>
        <v>28883.344372500003</v>
      </c>
      <c r="N17" s="82">
        <f t="shared" si="14"/>
        <v>81752.085022500018</v>
      </c>
      <c r="O17" s="13">
        <f t="shared" si="0"/>
        <v>15545.153856669878</v>
      </c>
      <c r="P17" s="44">
        <f t="shared" si="1"/>
        <v>35207.177157594015</v>
      </c>
      <c r="Q17" s="44">
        <f t="shared" si="2"/>
        <v>25394.891513135972</v>
      </c>
      <c r="R17" s="44">
        <f t="shared" si="3"/>
        <v>21033.765819112916</v>
      </c>
      <c r="S17" s="44">
        <f t="shared" si="4"/>
        <v>18605.996004655317</v>
      </c>
      <c r="T17" s="44">
        <f t="shared" si="5"/>
        <v>15545.153856669878</v>
      </c>
    </row>
    <row r="18" spans="1:20" x14ac:dyDescent="0.15">
      <c r="A18" s="22">
        <f t="shared" si="6"/>
        <v>2026</v>
      </c>
      <c r="B18" s="15">
        <v>8</v>
      </c>
      <c r="C18" s="36">
        <f>C17-C17*0.1</f>
        <v>9195.8975999999984</v>
      </c>
      <c r="D18" s="48">
        <f t="shared" si="7"/>
        <v>4.1500000000000004</v>
      </c>
      <c r="E18" s="49">
        <f t="shared" si="8"/>
        <v>38162.975039999998</v>
      </c>
      <c r="F18" s="69">
        <f t="shared" si="9"/>
        <v>-5962.9648499999994</v>
      </c>
      <c r="G18" s="48">
        <f t="shared" si="10"/>
        <v>32200.010189999997</v>
      </c>
      <c r="H18" s="75">
        <f t="shared" si="11"/>
        <v>-805.00025474999995</v>
      </c>
      <c r="I18" s="69">
        <v>-6000</v>
      </c>
      <c r="J18" s="49">
        <f t="shared" si="12"/>
        <v>25395.009935249996</v>
      </c>
      <c r="K18" s="48">
        <f t="shared" si="15"/>
        <v>19081.487519999999</v>
      </c>
      <c r="L18" s="48">
        <v>0</v>
      </c>
      <c r="M18" s="48">
        <f t="shared" si="13"/>
        <v>25395.009935249996</v>
      </c>
      <c r="N18" s="82">
        <f t="shared" si="14"/>
        <v>107147.09495775001</v>
      </c>
      <c r="O18" s="13">
        <f t="shared" si="0"/>
        <v>12425.196005505872</v>
      </c>
      <c r="P18" s="44">
        <f t="shared" si="1"/>
        <v>31912.467099806956</v>
      </c>
      <c r="Q18" s="44">
        <f t="shared" si="2"/>
        <v>21890.067404352172</v>
      </c>
      <c r="R18" s="44">
        <f t="shared" si="3"/>
        <v>17612.809753517922</v>
      </c>
      <c r="S18" s="44">
        <f t="shared" si="4"/>
        <v>15288.682242071618</v>
      </c>
      <c r="T18" s="44">
        <f t="shared" si="5"/>
        <v>12425.196005505872</v>
      </c>
    </row>
    <row r="19" spans="1:20" x14ac:dyDescent="0.15">
      <c r="A19" s="22">
        <f t="shared" si="6"/>
        <v>2027</v>
      </c>
      <c r="B19" s="15">
        <v>9</v>
      </c>
      <c r="C19" s="36">
        <f t="shared" ref="C19:C30" si="16">C18-C18*0.05</f>
        <v>8736.102719999999</v>
      </c>
      <c r="D19" s="48">
        <f t="shared" si="7"/>
        <v>4.1500000000000004</v>
      </c>
      <c r="E19" s="49">
        <f t="shared" si="8"/>
        <v>36254.826287999997</v>
      </c>
      <c r="F19" s="69">
        <f t="shared" si="9"/>
        <v>-5664.816607499999</v>
      </c>
      <c r="G19" s="48">
        <f t="shared" si="10"/>
        <v>30590.009680499999</v>
      </c>
      <c r="H19" s="75">
        <f t="shared" si="11"/>
        <v>-764.75024201250005</v>
      </c>
      <c r="I19" s="69">
        <v>-6000</v>
      </c>
      <c r="J19" s="49">
        <f t="shared" si="12"/>
        <v>23825.259438487501</v>
      </c>
      <c r="K19" s="48">
        <f t="shared" si="15"/>
        <v>18127.413143999998</v>
      </c>
      <c r="L19" s="48">
        <v>0</v>
      </c>
      <c r="M19" s="48">
        <f t="shared" si="13"/>
        <v>23825.259438487501</v>
      </c>
      <c r="N19" s="82">
        <f t="shared" si="14"/>
        <v>130972.35439623751</v>
      </c>
      <c r="O19" s="13">
        <f t="shared" si="0"/>
        <v>10597.411895273079</v>
      </c>
      <c r="P19" s="44">
        <f t="shared" si="1"/>
        <v>30865.825544650008</v>
      </c>
      <c r="Q19" s="44">
        <f t="shared" si="2"/>
        <v>20134.283458406073</v>
      </c>
      <c r="R19" s="44">
        <f t="shared" si="3"/>
        <v>15737.241025968462</v>
      </c>
      <c r="S19" s="44">
        <f t="shared" si="4"/>
        <v>13405.268841365381</v>
      </c>
      <c r="T19" s="44">
        <f t="shared" si="5"/>
        <v>10597.411895273079</v>
      </c>
    </row>
    <row r="20" spans="1:20" x14ac:dyDescent="0.15">
      <c r="A20" s="22">
        <f t="shared" si="6"/>
        <v>2028</v>
      </c>
      <c r="B20" s="15">
        <v>10</v>
      </c>
      <c r="C20" s="36">
        <f t="shared" si="16"/>
        <v>8299.2975839999999</v>
      </c>
      <c r="D20" s="48">
        <f t="shared" si="7"/>
        <v>4.1500000000000004</v>
      </c>
      <c r="E20" s="49">
        <f t="shared" si="8"/>
        <v>34442.084973600002</v>
      </c>
      <c r="F20" s="69">
        <f t="shared" si="9"/>
        <v>-5381.5757771250001</v>
      </c>
      <c r="G20" s="48">
        <f t="shared" si="10"/>
        <v>29060.509196475003</v>
      </c>
      <c r="H20" s="75">
        <f t="shared" si="11"/>
        <v>-726.51272991187511</v>
      </c>
      <c r="I20" s="69">
        <v>-6000</v>
      </c>
      <c r="J20" s="49">
        <f t="shared" si="12"/>
        <v>22333.996466563127</v>
      </c>
      <c r="K20" s="48">
        <f t="shared" si="15"/>
        <v>17221.042486800001</v>
      </c>
      <c r="L20" s="48">
        <v>0</v>
      </c>
      <c r="M20" s="48">
        <f t="shared" si="13"/>
        <v>22333.996466563127</v>
      </c>
      <c r="N20" s="82">
        <f t="shared" si="14"/>
        <v>153306.35086280064</v>
      </c>
      <c r="O20" s="13">
        <f t="shared" si="0"/>
        <v>9031.0019091984923</v>
      </c>
      <c r="P20" s="44">
        <f t="shared" si="1"/>
        <v>29828.744046007938</v>
      </c>
      <c r="Q20" s="44">
        <f t="shared" si="2"/>
        <v>18503.965556166011</v>
      </c>
      <c r="R20" s="44">
        <f t="shared" si="3"/>
        <v>14049.733999844348</v>
      </c>
      <c r="S20" s="44">
        <f t="shared" si="4"/>
        <v>11744.122025976792</v>
      </c>
      <c r="T20" s="44">
        <f t="shared" si="5"/>
        <v>9031.0019091984923</v>
      </c>
    </row>
    <row r="21" spans="1:20" x14ac:dyDescent="0.15">
      <c r="A21" s="22">
        <f t="shared" si="6"/>
        <v>2029</v>
      </c>
      <c r="B21" s="15">
        <v>11</v>
      </c>
      <c r="C21" s="36">
        <f t="shared" si="16"/>
        <v>7884.3327048000001</v>
      </c>
      <c r="D21" s="48">
        <f t="shared" si="7"/>
        <v>4.1500000000000004</v>
      </c>
      <c r="E21" s="49">
        <f t="shared" si="8"/>
        <v>32719.980724920002</v>
      </c>
      <c r="F21" s="69">
        <f t="shared" si="9"/>
        <v>-5112.4969882687501</v>
      </c>
      <c r="G21" s="48">
        <f t="shared" si="10"/>
        <v>27607.483736651251</v>
      </c>
      <c r="H21" s="75">
        <f t="shared" si="11"/>
        <v>-690.1870934162813</v>
      </c>
      <c r="I21" s="69">
        <v>-6000</v>
      </c>
      <c r="J21" s="49">
        <f t="shared" si="12"/>
        <v>20917.296643234971</v>
      </c>
      <c r="K21" s="48">
        <f t="shared" si="15"/>
        <v>16359.990362460001</v>
      </c>
      <c r="L21" s="48">
        <v>0</v>
      </c>
      <c r="M21" s="48">
        <f t="shared" si="13"/>
        <v>20917.296643234971</v>
      </c>
      <c r="N21" s="82">
        <f t="shared" si="14"/>
        <v>174223.6475060356</v>
      </c>
      <c r="O21" s="13">
        <f t="shared" si="0"/>
        <v>7689.2213179515184</v>
      </c>
      <c r="P21" s="44">
        <f t="shared" si="1"/>
        <v>28800.653731115435</v>
      </c>
      <c r="Q21" s="44">
        <f t="shared" si="2"/>
        <v>16990.405810965418</v>
      </c>
      <c r="R21" s="44">
        <f t="shared" si="3"/>
        <v>12531.928698422917</v>
      </c>
      <c r="S21" s="44">
        <f t="shared" si="4"/>
        <v>10279.592285704834</v>
      </c>
      <c r="T21" s="44">
        <f t="shared" si="5"/>
        <v>7689.2213179515184</v>
      </c>
    </row>
    <row r="22" spans="1:20" x14ac:dyDescent="0.15">
      <c r="A22" s="22">
        <f t="shared" si="6"/>
        <v>2030</v>
      </c>
      <c r="B22" s="15">
        <v>12</v>
      </c>
      <c r="C22" s="36">
        <f t="shared" si="16"/>
        <v>7490.1160695600001</v>
      </c>
      <c r="D22" s="48">
        <f t="shared" si="7"/>
        <v>4.1500000000000004</v>
      </c>
      <c r="E22" s="49">
        <f t="shared" si="8"/>
        <v>31083.981688674005</v>
      </c>
      <c r="F22" s="69">
        <f t="shared" si="9"/>
        <v>-4856.8721388553131</v>
      </c>
      <c r="G22" s="48">
        <f t="shared" si="10"/>
        <v>26227.109549818691</v>
      </c>
      <c r="H22" s="75">
        <f t="shared" si="11"/>
        <v>-655.67773874546731</v>
      </c>
      <c r="I22" s="69">
        <v>-6000</v>
      </c>
      <c r="J22" s="49">
        <f t="shared" si="12"/>
        <v>19571.431811073224</v>
      </c>
      <c r="K22" s="48">
        <f t="shared" si="15"/>
        <v>15541.990844337002</v>
      </c>
      <c r="L22" s="48">
        <v>0</v>
      </c>
      <c r="M22" s="48">
        <f t="shared" si="13"/>
        <v>19571.431811073224</v>
      </c>
      <c r="N22" s="82">
        <f t="shared" si="14"/>
        <v>193795.07931710882</v>
      </c>
      <c r="O22" s="13">
        <f t="shared" si="0"/>
        <v>6540.4362919565619</v>
      </c>
      <c r="P22" s="44">
        <f t="shared" si="1"/>
        <v>27780.985958866295</v>
      </c>
      <c r="Q22" s="44">
        <f t="shared" si="2"/>
        <v>15585.495847416867</v>
      </c>
      <c r="R22" s="44">
        <f t="shared" si="3"/>
        <v>11167.235111264214</v>
      </c>
      <c r="S22" s="44">
        <f t="shared" si="4"/>
        <v>8988.9539518256479</v>
      </c>
      <c r="T22" s="44">
        <f t="shared" si="5"/>
        <v>6540.4362919565619</v>
      </c>
    </row>
    <row r="23" spans="1:20" x14ac:dyDescent="0.15">
      <c r="A23" s="22">
        <f t="shared" si="6"/>
        <v>2031</v>
      </c>
      <c r="B23" s="15">
        <v>13</v>
      </c>
      <c r="C23" s="36">
        <f t="shared" si="16"/>
        <v>7115.6102660819997</v>
      </c>
      <c r="D23" s="48">
        <f t="shared" si="7"/>
        <v>4.1500000000000004</v>
      </c>
      <c r="E23" s="49">
        <f t="shared" si="8"/>
        <v>29529.782604240303</v>
      </c>
      <c r="F23" s="69">
        <f t="shared" si="9"/>
        <v>-4614.0285319125469</v>
      </c>
      <c r="G23" s="48">
        <f t="shared" si="10"/>
        <v>24915.754072327756</v>
      </c>
      <c r="H23" s="75">
        <f t="shared" si="11"/>
        <v>-622.89385180819397</v>
      </c>
      <c r="I23" s="69">
        <v>-6000</v>
      </c>
      <c r="J23" s="49">
        <f t="shared" si="12"/>
        <v>18292.860220519564</v>
      </c>
      <c r="K23" s="48">
        <f t="shared" si="15"/>
        <v>14764.891302120152</v>
      </c>
      <c r="L23" s="48">
        <v>0</v>
      </c>
      <c r="M23" s="48">
        <f t="shared" si="13"/>
        <v>18292.860220519564</v>
      </c>
      <c r="N23" s="82">
        <f t="shared" si="14"/>
        <v>212087.93953762838</v>
      </c>
      <c r="O23" s="13">
        <f t="shared" si="0"/>
        <v>5557.4178464404013</v>
      </c>
      <c r="P23" s="44">
        <f t="shared" si="1"/>
        <v>26769.171959438776</v>
      </c>
      <c r="Q23" s="44">
        <f t="shared" si="2"/>
        <v>14281.685621006347</v>
      </c>
      <c r="R23" s="44">
        <f t="shared" si="3"/>
        <v>9940.6636070854456</v>
      </c>
      <c r="S23" s="44">
        <f t="shared" si="4"/>
        <v>7852.07419780297</v>
      </c>
      <c r="T23" s="44">
        <f t="shared" si="5"/>
        <v>5557.4178464404013</v>
      </c>
    </row>
    <row r="24" spans="1:20" x14ac:dyDescent="0.15">
      <c r="A24" s="22">
        <f t="shared" si="6"/>
        <v>2032</v>
      </c>
      <c r="B24" s="15">
        <v>14</v>
      </c>
      <c r="C24" s="36">
        <f t="shared" si="16"/>
        <v>6759.8297527778996</v>
      </c>
      <c r="D24" s="48">
        <f t="shared" si="7"/>
        <v>4.1500000000000004</v>
      </c>
      <c r="E24" s="49">
        <f t="shared" si="8"/>
        <v>28053.293474028287</v>
      </c>
      <c r="F24" s="69">
        <f t="shared" si="9"/>
        <v>-4383.3271053169201</v>
      </c>
      <c r="G24" s="48">
        <f t="shared" si="10"/>
        <v>23669.966368711368</v>
      </c>
      <c r="H24" s="75">
        <f t="shared" si="11"/>
        <v>-591.74915921778427</v>
      </c>
      <c r="I24" s="69">
        <v>-6000</v>
      </c>
      <c r="J24" s="49">
        <f t="shared" si="12"/>
        <v>17078.217209493585</v>
      </c>
      <c r="K24" s="48">
        <f t="shared" si="15"/>
        <v>14026.646737014144</v>
      </c>
      <c r="L24" s="48">
        <v>0</v>
      </c>
      <c r="M24" s="48">
        <f t="shared" si="13"/>
        <v>17078.217209493585</v>
      </c>
      <c r="N24" s="82">
        <f t="shared" si="14"/>
        <v>229166.15674712198</v>
      </c>
      <c r="O24" s="13">
        <f t="shared" si="0"/>
        <v>4716.7328952528305</v>
      </c>
      <c r="P24" s="44">
        <f t="shared" si="1"/>
        <v>25764.642470353338</v>
      </c>
      <c r="Q24" s="44">
        <f t="shared" si="2"/>
        <v>13071.945064528638</v>
      </c>
      <c r="R24" s="44">
        <f t="shared" si="3"/>
        <v>8838.6715463097025</v>
      </c>
      <c r="S24" s="44">
        <f t="shared" si="4"/>
        <v>6851.1193636837552</v>
      </c>
      <c r="T24" s="44">
        <f t="shared" si="5"/>
        <v>4716.7328952528305</v>
      </c>
    </row>
    <row r="25" spans="1:20" x14ac:dyDescent="0.15">
      <c r="A25" s="22">
        <f t="shared" si="6"/>
        <v>2033</v>
      </c>
      <c r="B25" s="15">
        <v>15</v>
      </c>
      <c r="C25" s="36">
        <f t="shared" si="16"/>
        <v>6421.8382651390048</v>
      </c>
      <c r="D25" s="48">
        <f t="shared" si="7"/>
        <v>4.1500000000000004</v>
      </c>
      <c r="E25" s="49">
        <f t="shared" si="8"/>
        <v>26650.628800326871</v>
      </c>
      <c r="F25" s="69">
        <f t="shared" si="9"/>
        <v>-4164.1607500510736</v>
      </c>
      <c r="G25" s="48">
        <f t="shared" si="10"/>
        <v>22486.468050275798</v>
      </c>
      <c r="H25" s="75">
        <f t="shared" si="11"/>
        <v>-562.16170125689496</v>
      </c>
      <c r="I25" s="69">
        <v>-6000</v>
      </c>
      <c r="J25" s="49">
        <f t="shared" si="12"/>
        <v>15924.306349018903</v>
      </c>
      <c r="K25" s="48">
        <f t="shared" si="15"/>
        <v>13325.314400163435</v>
      </c>
      <c r="L25" s="48">
        <v>0</v>
      </c>
      <c r="M25" s="48">
        <f t="shared" si="13"/>
        <v>15924.306349018903</v>
      </c>
      <c r="N25" s="82">
        <f t="shared" si="14"/>
        <v>245090.46309614088</v>
      </c>
      <c r="O25" s="13">
        <f t="shared" si="0"/>
        <v>3998.2190960321814</v>
      </c>
      <c r="P25" s="44">
        <f t="shared" si="1"/>
        <v>24766.827368696457</v>
      </c>
      <c r="Q25" s="44">
        <f t="shared" si="2"/>
        <v>11949.728367350473</v>
      </c>
      <c r="R25" s="44">
        <f t="shared" si="3"/>
        <v>7849.0245481523252</v>
      </c>
      <c r="S25" s="44">
        <f t="shared" si="4"/>
        <v>5970.2944051125278</v>
      </c>
      <c r="T25" s="44">
        <f t="shared" si="5"/>
        <v>3998.2190960321814</v>
      </c>
    </row>
    <row r="26" spans="1:20" x14ac:dyDescent="0.15">
      <c r="A26" s="22">
        <f t="shared" si="6"/>
        <v>2034</v>
      </c>
      <c r="B26" s="15">
        <v>16</v>
      </c>
      <c r="C26" s="36">
        <f t="shared" si="16"/>
        <v>6100.7463518820541</v>
      </c>
      <c r="D26" s="48">
        <f t="shared" si="7"/>
        <v>4.1500000000000004</v>
      </c>
      <c r="E26" s="49">
        <f t="shared" si="8"/>
        <v>25318.097360310527</v>
      </c>
      <c r="F26" s="69">
        <f t="shared" si="9"/>
        <v>-3955.9527125485197</v>
      </c>
      <c r="G26" s="48">
        <f t="shared" si="10"/>
        <v>21362.144647762008</v>
      </c>
      <c r="H26" s="75">
        <f t="shared" si="11"/>
        <v>-534.05361619405028</v>
      </c>
      <c r="I26" s="69">
        <v>-6000</v>
      </c>
      <c r="J26" s="49">
        <f t="shared" si="12"/>
        <v>14828.091031567958</v>
      </c>
      <c r="K26" s="48">
        <f t="shared" si="15"/>
        <v>12659.048680155263</v>
      </c>
      <c r="L26" s="48">
        <v>0</v>
      </c>
      <c r="M26" s="48">
        <f t="shared" si="13"/>
        <v>14828.091031567958</v>
      </c>
      <c r="N26" s="82">
        <f t="shared" si="14"/>
        <v>259918.55412770883</v>
      </c>
      <c r="O26" s="13">
        <f t="shared" si="0"/>
        <v>3384.5319921478022</v>
      </c>
      <c r="P26" s="44">
        <f t="shared" si="1"/>
        <v>23775.155299238693</v>
      </c>
      <c r="Q26" s="44">
        <f t="shared" si="2"/>
        <v>10908.940706803045</v>
      </c>
      <c r="R26" s="44">
        <f t="shared" si="3"/>
        <v>6960.6710143743057</v>
      </c>
      <c r="S26" s="44">
        <f t="shared" si="4"/>
        <v>5195.6117396870668</v>
      </c>
      <c r="T26" s="44">
        <f t="shared" si="5"/>
        <v>3384.5319921478022</v>
      </c>
    </row>
    <row r="27" spans="1:20" x14ac:dyDescent="0.15">
      <c r="A27" s="22">
        <f t="shared" si="6"/>
        <v>2035</v>
      </c>
      <c r="B27" s="15">
        <v>17</v>
      </c>
      <c r="C27" s="36">
        <f t="shared" si="16"/>
        <v>5795.709034287951</v>
      </c>
      <c r="D27" s="48">
        <f t="shared" si="7"/>
        <v>4.1500000000000004</v>
      </c>
      <c r="E27" s="49">
        <f t="shared" si="8"/>
        <v>24052.192492294998</v>
      </c>
      <c r="F27" s="69">
        <f t="shared" si="9"/>
        <v>-3758.1550769210935</v>
      </c>
      <c r="G27" s="48">
        <f t="shared" si="10"/>
        <v>20294.037415373903</v>
      </c>
      <c r="H27" s="75">
        <f t="shared" si="11"/>
        <v>-507.35093538434762</v>
      </c>
      <c r="I27" s="69">
        <v>-6000</v>
      </c>
      <c r="J27" s="49">
        <f t="shared" si="12"/>
        <v>13786.686479989556</v>
      </c>
      <c r="K27" s="48">
        <f t="shared" si="15"/>
        <v>12026.096246147499</v>
      </c>
      <c r="L27" s="48">
        <v>0</v>
      </c>
      <c r="M27" s="48">
        <f t="shared" si="13"/>
        <v>13786.686479989556</v>
      </c>
      <c r="N27" s="82">
        <f t="shared" si="14"/>
        <v>273705.24060769839</v>
      </c>
      <c r="O27" s="13">
        <f t="shared" si="0"/>
        <v>2860.7545305177382</v>
      </c>
      <c r="P27" s="44">
        <f t="shared" si="1"/>
        <v>22789.053298170205</v>
      </c>
      <c r="Q27" s="44">
        <f t="shared" si="2"/>
        <v>9943.9072634066724</v>
      </c>
      <c r="R27" s="44">
        <f t="shared" si="3"/>
        <v>6163.6286450672824</v>
      </c>
      <c r="S27" s="44">
        <f t="shared" si="4"/>
        <v>4514.6861821994607</v>
      </c>
      <c r="T27" s="44">
        <f t="shared" si="5"/>
        <v>2860.7545305177382</v>
      </c>
    </row>
    <row r="28" spans="1:20" x14ac:dyDescent="0.15">
      <c r="A28" s="22">
        <f t="shared" si="6"/>
        <v>2036</v>
      </c>
      <c r="B28" s="15">
        <v>18</v>
      </c>
      <c r="C28" s="36">
        <f t="shared" si="16"/>
        <v>5505.9235825735532</v>
      </c>
      <c r="D28" s="48">
        <f t="shared" si="7"/>
        <v>4.1500000000000004</v>
      </c>
      <c r="E28" s="49">
        <f t="shared" si="8"/>
        <v>22849.582867680248</v>
      </c>
      <c r="F28" s="69">
        <f t="shared" si="9"/>
        <v>-3570.2473230750388</v>
      </c>
      <c r="G28" s="48">
        <f t="shared" si="10"/>
        <v>19279.335544605208</v>
      </c>
      <c r="H28" s="75">
        <f t="shared" si="11"/>
        <v>-481.98338861513025</v>
      </c>
      <c r="I28" s="69">
        <v>-6000</v>
      </c>
      <c r="J28" s="49">
        <f t="shared" si="12"/>
        <v>12797.352155990078</v>
      </c>
      <c r="K28" s="48">
        <f t="shared" si="15"/>
        <v>11424.791433840124</v>
      </c>
      <c r="L28" s="48">
        <v>0</v>
      </c>
      <c r="M28" s="48">
        <f t="shared" si="13"/>
        <v>12797.352155990078</v>
      </c>
      <c r="N28" s="82">
        <f t="shared" si="14"/>
        <v>286502.59276368847</v>
      </c>
      <c r="O28" s="13">
        <f t="shared" si="0"/>
        <v>2414.060392909204</v>
      </c>
      <c r="P28" s="44">
        <f t="shared" si="1"/>
        <v>21807.946412171525</v>
      </c>
      <c r="Q28" s="44">
        <f t="shared" si="2"/>
        <v>9049.344363180493</v>
      </c>
      <c r="R28" s="44">
        <f t="shared" si="3"/>
        <v>5448.8818023761223</v>
      </c>
      <c r="S28" s="44">
        <f t="shared" si="4"/>
        <v>3916.5530321045185</v>
      </c>
      <c r="T28" s="44">
        <f t="shared" si="5"/>
        <v>2414.060392909204</v>
      </c>
    </row>
    <row r="29" spans="1:20" x14ac:dyDescent="0.15">
      <c r="A29" s="22">
        <f t="shared" si="6"/>
        <v>2037</v>
      </c>
      <c r="B29" s="15">
        <v>19</v>
      </c>
      <c r="C29" s="36">
        <f t="shared" si="16"/>
        <v>5230.6274034448752</v>
      </c>
      <c r="D29" s="48">
        <f t="shared" si="7"/>
        <v>4.1500000000000004</v>
      </c>
      <c r="E29" s="49">
        <f t="shared" si="8"/>
        <v>21707.103724296234</v>
      </c>
      <c r="F29" s="69">
        <f t="shared" si="9"/>
        <v>-3391.7349569212865</v>
      </c>
      <c r="G29" s="48">
        <f t="shared" si="10"/>
        <v>18315.368767374948</v>
      </c>
      <c r="H29" s="75">
        <f t="shared" si="11"/>
        <v>-457.88421918437371</v>
      </c>
      <c r="I29" s="69">
        <v>-6000</v>
      </c>
      <c r="J29" s="49">
        <f t="shared" si="12"/>
        <v>11857.484548190574</v>
      </c>
      <c r="K29" s="48">
        <f t="shared" si="15"/>
        <v>10853.551862148117</v>
      </c>
      <c r="L29" s="48">
        <v>0</v>
      </c>
      <c r="M29" s="48">
        <f t="shared" si="13"/>
        <v>11857.484548190574</v>
      </c>
      <c r="N29" s="82">
        <f t="shared" si="14"/>
        <v>298360.07731187902</v>
      </c>
      <c r="O29" s="13">
        <f t="shared" si="0"/>
        <v>2033.4237510730507</v>
      </c>
      <c r="P29" s="44">
        <f t="shared" si="1"/>
        <v>20831.257312531354</v>
      </c>
      <c r="Q29" s="44">
        <f t="shared" si="2"/>
        <v>8220.3326010473465</v>
      </c>
      <c r="R29" s="44">
        <f t="shared" si="3"/>
        <v>4808.2886871212604</v>
      </c>
      <c r="S29" s="44">
        <f t="shared" si="4"/>
        <v>3391.5067066089523</v>
      </c>
      <c r="T29" s="44">
        <f t="shared" si="5"/>
        <v>2033.4237510730507</v>
      </c>
    </row>
    <row r="30" spans="1:20" x14ac:dyDescent="0.15">
      <c r="A30" s="22">
        <f t="shared" si="6"/>
        <v>2038</v>
      </c>
      <c r="B30" s="15">
        <v>20</v>
      </c>
      <c r="C30" s="36">
        <f t="shared" si="16"/>
        <v>4969.0960332726318</v>
      </c>
      <c r="D30" s="48">
        <f t="shared" si="7"/>
        <v>4.1500000000000004</v>
      </c>
      <c r="E30" s="49">
        <f t="shared" si="8"/>
        <v>20621.748538081425</v>
      </c>
      <c r="F30" s="69">
        <f t="shared" si="9"/>
        <v>-3222.1482090752224</v>
      </c>
      <c r="G30" s="48">
        <f t="shared" si="10"/>
        <v>17399.600329006204</v>
      </c>
      <c r="H30" s="75">
        <f t="shared" si="11"/>
        <v>-434.99000822515512</v>
      </c>
      <c r="I30" s="74">
        <v>-6000</v>
      </c>
      <c r="J30" s="49">
        <f t="shared" si="12"/>
        <v>10964.610320781048</v>
      </c>
      <c r="K30" s="48">
        <f t="shared" si="15"/>
        <v>10310.874269040713</v>
      </c>
      <c r="L30" s="48">
        <v>0</v>
      </c>
      <c r="M30" s="48">
        <f t="shared" si="13"/>
        <v>10964.610320781048</v>
      </c>
      <c r="N30" s="82">
        <f t="shared" si="14"/>
        <v>309324.68763266009</v>
      </c>
      <c r="O30" s="13">
        <f t="shared" si="0"/>
        <v>1709.3690684197936</v>
      </c>
      <c r="P30" s="44">
        <f t="shared" si="1"/>
        <v>19858.405904017542</v>
      </c>
      <c r="Q30" s="44">
        <f t="shared" si="2"/>
        <v>7452.2918093634235</v>
      </c>
      <c r="R30" s="44">
        <f t="shared" si="3"/>
        <v>4234.4973919487229</v>
      </c>
      <c r="S30" s="44">
        <f t="shared" si="4"/>
        <v>2930.9576057649465</v>
      </c>
      <c r="T30" s="44">
        <f t="shared" si="5"/>
        <v>1709.3690684197936</v>
      </c>
    </row>
    <row r="31" spans="1:20" s="2" customFormat="1" ht="14" thickBot="1" x14ac:dyDescent="0.2">
      <c r="A31" s="23" t="s">
        <v>5</v>
      </c>
      <c r="B31" s="24"/>
      <c r="C31" s="25">
        <f>SUM(C11:C30)</f>
        <v>213626.15136781998</v>
      </c>
      <c r="D31" s="73"/>
      <c r="E31" s="51">
        <f t="shared" ref="E31:M31" si="17">SUM(E11:E30)</f>
        <v>886548.52817645273</v>
      </c>
      <c r="F31" s="70">
        <f t="shared" si="17"/>
        <v>-138523.20752757075</v>
      </c>
      <c r="G31" s="51">
        <f t="shared" si="17"/>
        <v>748025.32064888207</v>
      </c>
      <c r="H31" s="70">
        <f t="shared" si="17"/>
        <v>-18700.633016222058</v>
      </c>
      <c r="I31" s="70">
        <f t="shared" si="17"/>
        <v>-120000</v>
      </c>
      <c r="J31" s="51">
        <f t="shared" si="17"/>
        <v>609324.68763266027</v>
      </c>
      <c r="K31" s="73">
        <f t="shared" si="17"/>
        <v>414191.06408822641</v>
      </c>
      <c r="L31" s="51">
        <f t="shared" si="17"/>
        <v>-300000</v>
      </c>
      <c r="M31" s="51">
        <f t="shared" si="17"/>
        <v>309324.68763266009</v>
      </c>
      <c r="N31" s="51"/>
      <c r="O31" s="40">
        <f>SUM(O11:O30)</f>
        <v>377118.14181746636</v>
      </c>
      <c r="P31" s="45">
        <f t="shared" ref="P31" si="18">SUM(P11:P30)</f>
        <v>444443.81492808397</v>
      </c>
      <c r="Q31" s="45">
        <f>SUM(Q11:Q30)</f>
        <v>244078.21591328725</v>
      </c>
      <c r="R31" s="45">
        <f>SUM(R11:R30)</f>
        <v>170998.31080054483</v>
      </c>
      <c r="S31" s="45">
        <f>SUM(S11:S30)</f>
        <v>134094.10164833537</v>
      </c>
      <c r="T31" s="45">
        <f>SUM(T11:T30)</f>
        <v>91079.365043788683</v>
      </c>
    </row>
    <row r="32" spans="1:20" x14ac:dyDescent="0.15">
      <c r="A32" s="3"/>
      <c r="B32" s="3"/>
      <c r="C32" s="3"/>
      <c r="D32" s="3"/>
      <c r="E32" s="3"/>
      <c r="F32" s="3"/>
      <c r="G32" s="3"/>
      <c r="H32" s="3"/>
      <c r="I32" s="3"/>
      <c r="J32" s="18"/>
      <c r="K32" s="3"/>
      <c r="L32" s="3"/>
      <c r="M32" s="3"/>
      <c r="N32" s="19"/>
      <c r="O32" s="34" t="s">
        <v>29</v>
      </c>
      <c r="P32" s="34" t="s">
        <v>8</v>
      </c>
    </row>
    <row r="33" spans="1:16" x14ac:dyDescent="0.15">
      <c r="A33" s="3"/>
      <c r="B33" s="3"/>
      <c r="C33" s="4" t="s">
        <v>31</v>
      </c>
      <c r="D33" s="38" t="s">
        <v>40</v>
      </c>
      <c r="E33" s="5" t="s">
        <v>24</v>
      </c>
      <c r="F33" s="3"/>
      <c r="G33" s="3"/>
      <c r="H33" s="3"/>
      <c r="I33" s="3"/>
      <c r="J33" s="3"/>
      <c r="K33" s="3"/>
      <c r="L33" s="4" t="s">
        <v>41</v>
      </c>
      <c r="M33" s="17">
        <f>J31/300000</f>
        <v>2.0310822921088674</v>
      </c>
      <c r="O33" s="1">
        <v>-3</v>
      </c>
      <c r="P33" s="52">
        <f>P31</f>
        <v>444443.81492808397</v>
      </c>
    </row>
    <row r="34" spans="1:16" x14ac:dyDescent="0.15">
      <c r="A34" s="3"/>
      <c r="B34" s="3"/>
      <c r="C34" s="6" t="s">
        <v>32</v>
      </c>
      <c r="D34" s="34">
        <v>12</v>
      </c>
      <c r="E34" s="7">
        <f>D34*100*125</f>
        <v>150000</v>
      </c>
      <c r="F34" s="3"/>
      <c r="G34" s="3"/>
      <c r="H34" s="3"/>
      <c r="I34" s="3"/>
      <c r="J34" s="3"/>
      <c r="K34" s="3"/>
      <c r="L34" s="4" t="s">
        <v>20</v>
      </c>
      <c r="M34" s="80">
        <f>INTERCEPT(B14:B15,N14:N15)</f>
        <v>4.4574665037593322</v>
      </c>
      <c r="N34" s="81" t="s">
        <v>0</v>
      </c>
      <c r="O34" s="1">
        <v>2</v>
      </c>
      <c r="P34" s="52">
        <f>Q31</f>
        <v>244078.21591328725</v>
      </c>
    </row>
    <row r="35" spans="1:16" x14ac:dyDescent="0.15">
      <c r="A35" s="3"/>
      <c r="B35" s="3"/>
      <c r="C35" s="6" t="s">
        <v>33</v>
      </c>
      <c r="D35" s="34">
        <v>6</v>
      </c>
      <c r="E35" s="7">
        <f>D35*100*125</f>
        <v>75000</v>
      </c>
      <c r="F35" s="3"/>
      <c r="G35" s="3"/>
      <c r="H35" s="3"/>
      <c r="I35" s="3"/>
      <c r="J35" s="3"/>
      <c r="K35" s="3"/>
      <c r="L35" s="4" t="s">
        <v>13</v>
      </c>
      <c r="M35" s="37">
        <f>IRR(M11:M30)</f>
        <v>0.21629602199993769</v>
      </c>
      <c r="O35" s="1">
        <v>5</v>
      </c>
      <c r="P35" s="52">
        <f>R31</f>
        <v>170998.31080054483</v>
      </c>
    </row>
    <row r="36" spans="1:16" x14ac:dyDescent="0.15">
      <c r="C36" s="4" t="s">
        <v>5</v>
      </c>
      <c r="D36" s="34">
        <f>D34+D35</f>
        <v>18</v>
      </c>
      <c r="E36" s="10">
        <f>SUM(E34:E35)</f>
        <v>225000</v>
      </c>
      <c r="L36" s="28" t="s">
        <v>35</v>
      </c>
      <c r="M36" s="29">
        <f>O31</f>
        <v>377118.14181746636</v>
      </c>
      <c r="O36" s="1">
        <v>7</v>
      </c>
      <c r="P36" s="52">
        <f>S31</f>
        <v>134094.10164833537</v>
      </c>
    </row>
    <row r="37" spans="1:16" x14ac:dyDescent="0.15">
      <c r="L37" s="42"/>
    </row>
  </sheetData>
  <mergeCells count="3">
    <mergeCell ref="P8:T8"/>
    <mergeCell ref="P10:T10"/>
    <mergeCell ref="H1:N1"/>
  </mergeCells>
  <phoneticPr fontId="3" type="noConversion"/>
  <pageMargins left="0.5" right="0.5" top="1.07" bottom="1" header="0.37" footer="0.5"/>
  <pageSetup orientation="landscape"/>
  <headerFooter alignWithMargins="0">
    <oddHeader>&amp;C&amp;K000000Estimated Future Reserves and Income_x000D_Ohio Gas Well - Constant Case_x000D_Morgan County Ohio As of January 1, 2016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Changing gas price</vt:lpstr>
      <vt:lpstr>Stable gas price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Buchgraber</dc:creator>
  <cp:lastModifiedBy>Cedric Fraces Gasmi</cp:lastModifiedBy>
  <cp:lastPrinted>2016-01-29T03:37:54Z</cp:lastPrinted>
  <dcterms:created xsi:type="dcterms:W3CDTF">2010-01-21T23:44:08Z</dcterms:created>
  <dcterms:modified xsi:type="dcterms:W3CDTF">2019-02-08T18:25:40Z</dcterms:modified>
</cp:coreProperties>
</file>