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rwJGJBATV7zqE_vuPod0MjfUM0aj38xp\VK 2021\2020 DHSP T9\"/>
    </mc:Choice>
  </mc:AlternateContent>
  <bookViews>
    <workbookView xWindow="0" yWindow="0" windowWidth="20496" windowHeight="7368" activeTab="4"/>
  </bookViews>
  <sheets>
    <sheet name="Gia thuc" sheetId="4" r:id="rId1"/>
    <sheet name="gia goc" sheetId="1" r:id="rId2"/>
    <sheet name="BGia VK" sheetId="2" state="hidden" r:id="rId3"/>
    <sheet name="BG" sheetId="3" r:id="rId4"/>
    <sheet name="Số liệu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E4" i="5"/>
  <c r="G5" i="5"/>
  <c r="D34" i="5" l="1"/>
  <c r="D30" i="5"/>
  <c r="D29" i="5"/>
  <c r="D28" i="5"/>
  <c r="D16" i="5"/>
  <c r="D15" i="5"/>
  <c r="D14" i="5"/>
  <c r="D13" i="5" s="1"/>
  <c r="D25" i="5" s="1"/>
  <c r="D5" i="5"/>
  <c r="D23" i="5" s="1"/>
  <c r="D4" i="5"/>
  <c r="H4" i="5" s="1"/>
  <c r="D11" i="5" s="1"/>
  <c r="D6" i="5" l="1"/>
  <c r="F4" i="5"/>
  <c r="G6" i="5"/>
  <c r="F22" i="4"/>
  <c r="F21" i="4"/>
  <c r="F15" i="4"/>
  <c r="F14" i="4"/>
  <c r="F7" i="4"/>
  <c r="F6" i="5" l="1"/>
  <c r="F5" i="5"/>
  <c r="D10" i="5" s="1"/>
  <c r="D12" i="5" s="1"/>
  <c r="D19" i="5" s="1"/>
  <c r="D26" i="5" s="1"/>
  <c r="D9" i="5"/>
  <c r="E5" i="5"/>
  <c r="D27" i="5" s="1"/>
  <c r="D31" i="5" s="1"/>
  <c r="D33" i="5" s="1"/>
  <c r="F33" i="5" s="1"/>
  <c r="E20" i="4"/>
  <c r="E19" i="4"/>
  <c r="D20" i="4"/>
  <c r="D18" i="4"/>
  <c r="D21" i="4" s="1"/>
  <c r="D22" i="4" s="1"/>
  <c r="E14" i="4"/>
  <c r="E15" i="4" s="1"/>
  <c r="E7" i="4"/>
  <c r="D7" i="4"/>
  <c r="D14" i="4" s="1"/>
  <c r="D15" i="4" s="1"/>
  <c r="E6" i="5" l="1"/>
  <c r="E21" i="4"/>
  <c r="E22" i="4" s="1"/>
  <c r="E23" i="4" s="1"/>
  <c r="G23" i="4" s="1"/>
  <c r="E19" i="1"/>
  <c r="E22" i="1"/>
  <c r="E55" i="1"/>
  <c r="D55" i="1"/>
  <c r="D51" i="1"/>
  <c r="D59" i="1" s="1"/>
  <c r="D60" i="1" s="1"/>
  <c r="D57" i="1"/>
  <c r="D56" i="1"/>
  <c r="D52" i="1"/>
  <c r="E40" i="1"/>
  <c r="E47" i="1" s="1"/>
  <c r="E48" i="1" s="1"/>
  <c r="D40" i="1"/>
  <c r="D47" i="1" s="1"/>
  <c r="D48" i="1" s="1"/>
  <c r="D22" i="1"/>
  <c r="E54" i="1" l="1"/>
  <c r="E59" i="1" s="1"/>
  <c r="E60" i="1" s="1"/>
  <c r="E61" i="1" s="1"/>
  <c r="D25" i="1" l="1"/>
  <c r="D24" i="1"/>
  <c r="D23" i="1"/>
  <c r="D19" i="1"/>
  <c r="D18" i="1"/>
  <c r="D26" i="1" s="1"/>
  <c r="D7" i="1" l="1"/>
  <c r="E7" i="1"/>
  <c r="E14" i="1" s="1"/>
  <c r="E15" i="1" s="1"/>
  <c r="E21" i="1" l="1"/>
  <c r="D14" i="1"/>
  <c r="D15" i="1" s="1"/>
  <c r="D27" i="1" s="1"/>
  <c r="E26" i="1" l="1"/>
  <c r="E27" i="1" s="1"/>
  <c r="E28" i="1" s="1"/>
  <c r="F28" i="1" s="1"/>
</calcChain>
</file>

<file path=xl/comments1.xml><?xml version="1.0" encoding="utf-8"?>
<comments xmlns="http://schemas.openxmlformats.org/spreadsheetml/2006/main">
  <authors>
    <author>Admin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khoa học, chuyên gia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bồi dưỡng giáo viên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khoa học, chuyên gia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bồi dưỡng giáo viên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khoa học, chuyên gia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Quản lý bồi dưỡng giáo viên</t>
        </r>
      </text>
    </comment>
  </commentList>
</comments>
</file>

<file path=xl/sharedStrings.xml><?xml version="1.0" encoding="utf-8"?>
<sst xmlns="http://schemas.openxmlformats.org/spreadsheetml/2006/main" count="232" uniqueCount="140">
  <si>
    <t>Tiến độ (tháng)</t>
  </si>
  <si>
    <t>GIÁ DỰ THẦU</t>
  </si>
  <si>
    <t>STT</t>
  </si>
  <si>
    <t>Hạng mục</t>
  </si>
  <si>
    <t>Tỷ lệ %</t>
  </si>
  <si>
    <t>Giá dự toán</t>
  </si>
  <si>
    <t>Giá gốc</t>
  </si>
  <si>
    <t>Ghi chú</t>
  </si>
  <si>
    <t>I</t>
  </si>
  <si>
    <t>CHI PHÍ TRỰC TIẾP</t>
  </si>
  <si>
    <t>Nhân công</t>
  </si>
  <si>
    <t>Thiết bị</t>
  </si>
  <si>
    <t>Chi phí trực tiếp (1+2)</t>
  </si>
  <si>
    <t>II</t>
  </si>
  <si>
    <t>CHI PHÍ GIÁN TIẾP</t>
  </si>
  <si>
    <t>Chi phí tiếp khách</t>
  </si>
  <si>
    <t>Chi phí thuế tndn (20%*D4)</t>
  </si>
  <si>
    <t>Chi phí kiểm toán, quyết toán thuế</t>
  </si>
  <si>
    <t>Chi phí quản lý doanh nghiệp</t>
  </si>
  <si>
    <t>Các chi phí khác ngoài dự tính</t>
  </si>
  <si>
    <t>Tổng chi phí (11+12)</t>
  </si>
  <si>
    <t>Lợi nhuận dòng ( D57-E57) - Lãi</t>
  </si>
  <si>
    <t>BẢNG TỔNG HỢP DOANH THU CHI PHÍ DHSP T9.2020</t>
  </si>
  <si>
    <t>Nội dung</t>
  </si>
  <si>
    <t>Giá hợp đồng</t>
  </si>
  <si>
    <t>Chi phí xây lắp</t>
  </si>
  <si>
    <t xml:space="preserve">Chi phí thiết bị </t>
  </si>
  <si>
    <t>Phần mềm thương mại</t>
  </si>
  <si>
    <t>Phần mềm nội bộ, CSDL</t>
  </si>
  <si>
    <t>Phần hàng hoá thuộc phân công trong thoả thuận liên danh của Thành viên đứng đầu liên danh- Công ty TNHH Máy tính Nét, trong đó bao gồm:</t>
  </si>
  <si>
    <t>39.279.231.525</t>
  </si>
  <si>
    <t>6.464.645.910</t>
  </si>
  <si>
    <t>32.814.585.615</t>
  </si>
  <si>
    <t>Phần xây lắp</t>
  </si>
  <si>
    <t>5.604.520.910</t>
  </si>
  <si>
    <t>Bảng 1</t>
  </si>
  <si>
    <t>Dịch vụ liên quan Thành viên đứng đầu liên danh – Công ty TNHH Máy tính Nét gồm:</t>
  </si>
  <si>
    <t>1.247.125.000</t>
  </si>
  <si>
    <t>860.125.000</t>
  </si>
  <si>
    <t>387.000.000</t>
  </si>
  <si>
    <t>1.2.1</t>
  </si>
  <si>
    <t>Phần cung cấp Kênh truy nhập Internet FTTH và Nâng cấp đường Leased Line</t>
  </si>
  <si>
    <t>Bảng 3</t>
  </si>
  <si>
    <t>1.2.2</t>
  </si>
  <si>
    <t>Phần các dịch vụ thi công xây lắp</t>
  </si>
  <si>
    <t>Bảng 2</t>
  </si>
  <si>
    <t xml:space="preserve">Phần thiết bị </t>
  </si>
  <si>
    <t>32.427.585.615</t>
  </si>
  <si>
    <t>Bảng 4</t>
  </si>
  <si>
    <t xml:space="preserve">Phần hàng hoá thuộc phân công trong thoả thuận liên danh của Thành viên liên danh thứ 2 – Công ty Cổ phần Công nghệ Tinh Vân </t>
  </si>
  <si>
    <t>6.984.990.364</t>
  </si>
  <si>
    <t>5.556.079.470</t>
  </si>
  <si>
    <t>1.428.910.894</t>
  </si>
  <si>
    <t>Phần mềm thư viện điện tử</t>
  </si>
  <si>
    <t>Bảng 5</t>
  </si>
  <si>
    <t>Hệ thống lưu trữ và máy chủ</t>
  </si>
  <si>
    <t xml:space="preserve">Phần hàng hoá Phần hàng hoá thuộc phân công trong thoả thuận liên danh của Thành viên liên danh thứ 3 – Công ty Cổ phần Công nghệ Viking </t>
  </si>
  <si>
    <t>4.132.533.981</t>
  </si>
  <si>
    <t>Nâng cấp website phục vụ bồi dưỡng qua mạng</t>
  </si>
  <si>
    <t>876.300.981</t>
  </si>
  <si>
    <t>Bảng 6</t>
  </si>
  <si>
    <t>Nâng cấp hệ thống thông tin phục vụ quản lý và đào tạo</t>
  </si>
  <si>
    <t>3.256.233.000</t>
  </si>
  <si>
    <t>Tổng cộng</t>
  </si>
  <si>
    <t>50.396.755.870</t>
  </si>
  <si>
    <t>38.370.665.085</t>
  </si>
  <si>
    <t>TT</t>
  </si>
  <si>
    <t>Danh mục hàng hoá</t>
  </si>
  <si>
    <t>Đơn vị</t>
  </si>
  <si>
    <t>Số lượng</t>
  </si>
  <si>
    <t>Mã hiệu</t>
  </si>
  <si>
    <t>Hãng sản xuất</t>
  </si>
  <si>
    <t>Xuất xứ</t>
  </si>
  <si>
    <t xml:space="preserve"> Đơn giá dự thầu đã bao gồm thuế phí </t>
  </si>
  <si>
    <t>Thành tiền</t>
  </si>
  <si>
    <t>CO</t>
  </si>
  <si>
    <t>CQ hoặc tương đương</t>
  </si>
  <si>
    <t>Thời hạn bảo hành</t>
  </si>
  <si>
    <t>Gói</t>
  </si>
  <si>
    <t>Viking</t>
  </si>
  <si>
    <t>Việt Nam</t>
  </si>
  <si>
    <t>License</t>
  </si>
  <si>
    <t>12 tháng</t>
  </si>
  <si>
    <t>Tham chiếu bảng Phụ lục 2</t>
  </si>
  <si>
    <t>√</t>
  </si>
  <si>
    <t>- CT CP giải pháp CN GO (Trần Danh Hoạt)</t>
  </si>
  <si>
    <t>- CT TNHH CN JOY VENTURES VN (Nguyễn Văn Hoành)</t>
  </si>
  <si>
    <t>- a Phong</t>
  </si>
  <si>
    <t>- Lê Quang Vinh Dịch vụ PT web</t>
  </si>
  <si>
    <t>- Lê Quang Vinh Dịch vụ TK web</t>
  </si>
  <si>
    <t xml:space="preserve">Chi phí chênh phải trả nhà cung cấp </t>
  </si>
  <si>
    <t>Chi phí chủ đầu tư (D4*10%)</t>
  </si>
  <si>
    <t>Chi phí thuế viết chênh</t>
  </si>
  <si>
    <t>Tổng các chi phí gián tiếp</t>
  </si>
  <si>
    <t>Tổng chi phí trực tiếp trước thuế</t>
  </si>
  <si>
    <t>Chi phí bảo lãnh ngân hàng (gửi bên NET)</t>
  </si>
  <si>
    <t>Làm lại</t>
  </si>
  <si>
    <t>- A Phòng</t>
  </si>
  <si>
    <t>Chi phí chứng từ đầu vào</t>
  </si>
  <si>
    <t>Tạm ứng</t>
  </si>
  <si>
    <t xml:space="preserve">Chi phí gửi a Nguyên thầu </t>
  </si>
  <si>
    <t xml:space="preserve">Chi phí gửi a Nguyên+ C Đào ghép thầu </t>
  </si>
  <si>
    <t>Các chi phí công chứng+ photo</t>
  </si>
  <si>
    <t>Giá trị đã tt</t>
  </si>
  <si>
    <t>Tổng giá trị</t>
  </si>
  <si>
    <t>Thanh toán</t>
  </si>
  <si>
    <t>Tỷ lệ</t>
  </si>
  <si>
    <t>Còn thanh toán</t>
  </si>
  <si>
    <t>Hợp đồng</t>
  </si>
  <si>
    <t>Hải (50%)</t>
  </si>
  <si>
    <t>Bảo hành 5%</t>
  </si>
  <si>
    <t>Thanh toán cho Hải tối đa cả HĐ</t>
  </si>
  <si>
    <t>Bảo hành giữ lại</t>
  </si>
  <si>
    <t>Thanh toán cho Hải 80%</t>
  </si>
  <si>
    <t>Tối đa thanh toán đến lần này</t>
  </si>
  <si>
    <t>Đã thanh toán</t>
  </si>
  <si>
    <t>A</t>
  </si>
  <si>
    <t>Hoạt</t>
  </si>
  <si>
    <t>Hoành</t>
  </si>
  <si>
    <t>Web</t>
  </si>
  <si>
    <t>Phòng</t>
  </si>
  <si>
    <t>Hải</t>
  </si>
  <si>
    <t>B</t>
  </si>
  <si>
    <t>Còn phải thanh toán tối đa lần này</t>
  </si>
  <si>
    <t>(A-B)</t>
  </si>
  <si>
    <t>Viking được thanh toán 80%</t>
  </si>
  <si>
    <t>Chi đợt 1 cho Hải</t>
  </si>
  <si>
    <t>Chi đợt 2 cho Hải</t>
  </si>
  <si>
    <t>Chi làm HS thầu (Nguyên)</t>
  </si>
  <si>
    <t>Chi ghép thầu + photo</t>
  </si>
  <si>
    <t>BL hợp đồng (Net)</t>
  </si>
  <si>
    <t>Tổng chi đến đợt TT 80%</t>
  </si>
  <si>
    <t>C</t>
  </si>
  <si>
    <t>D</t>
  </si>
  <si>
    <t>C-D</t>
  </si>
  <si>
    <t>Viking giữ BH</t>
  </si>
  <si>
    <t>Viking còn lại sau TT 80%</t>
  </si>
  <si>
    <t>Thanh toán cho ĐHSP</t>
  </si>
  <si>
    <t>ĐHSP (22%)</t>
  </si>
  <si>
    <t>Viking (28%)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</si>
</sst>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13"/>
      <color rgb="FFFF0000"/>
      <name val="Times New Roman"/>
      <family val="1"/>
    </font>
    <font>
      <b/>
      <u val="singleAccounting"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164" fontId="5" fillId="2" borderId="2" xfId="0" applyNumberFormat="1" applyFont="1" applyFill="1" applyBorder="1"/>
    <xf numFmtId="164" fontId="2" fillId="0" borderId="0" xfId="2" applyNumberFormat="1" applyFont="1"/>
    <xf numFmtId="0" fontId="2" fillId="0" borderId="0" xfId="0" applyFont="1"/>
    <xf numFmtId="0" fontId="4" fillId="0" borderId="2" xfId="0" applyFon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7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64" fontId="9" fillId="0" borderId="2" xfId="2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64" fontId="7" fillId="0" borderId="2" xfId="2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64" fontId="9" fillId="0" borderId="2" xfId="2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4" fillId="0" borderId="2" xfId="0" applyNumberFormat="1" applyFont="1" applyBorder="1"/>
    <xf numFmtId="0" fontId="4" fillId="0" borderId="0" xfId="0" applyFont="1"/>
    <xf numFmtId="164" fontId="4" fillId="0" borderId="0" xfId="0" applyNumberFormat="1" applyFont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2" xfId="0" applyNumberFormat="1" applyFont="1" applyBorder="1" applyAlignment="1">
      <alignment vertical="center"/>
    </xf>
    <xf numFmtId="164" fontId="7" fillId="0" borderId="2" xfId="2" applyNumberFormat="1" applyFont="1" applyFill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9" fontId="3" fillId="0" borderId="2" xfId="0" applyNumberFormat="1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9" fontId="10" fillId="0" borderId="2" xfId="0" applyNumberFormat="1" applyFont="1" applyBorder="1" applyAlignment="1">
      <alignment vertical="center"/>
    </xf>
    <xf numFmtId="164" fontId="11" fillId="0" borderId="2" xfId="2" applyNumberFormat="1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64" fontId="7" fillId="3" borderId="2" xfId="2" applyNumberFormat="1" applyFont="1" applyFill="1" applyBorder="1" applyAlignment="1">
      <alignment vertical="center"/>
    </xf>
    <xf numFmtId="164" fontId="7" fillId="5" borderId="2" xfId="2" applyNumberFormat="1" applyFont="1" applyFill="1" applyBorder="1" applyAlignment="1">
      <alignment vertical="center"/>
    </xf>
    <xf numFmtId="165" fontId="4" fillId="0" borderId="2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2" applyNumberFormat="1" applyFont="1"/>
    <xf numFmtId="164" fontId="10" fillId="0" borderId="0" xfId="0" applyNumberFormat="1" applyFont="1"/>
    <xf numFmtId="164" fontId="3" fillId="0" borderId="0" xfId="2" applyNumberFormat="1" applyFont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8" xfId="0" applyFont="1" applyBorder="1" applyAlignment="1">
      <alignment horizontal="right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10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right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right" vertical="center" wrapText="1"/>
    </xf>
    <xf numFmtId="0" fontId="13" fillId="3" borderId="8" xfId="0" applyFont="1" applyFill="1" applyBorder="1" applyAlignment="1">
      <alignment horizontal="right" vertical="center" wrapText="1"/>
    </xf>
    <xf numFmtId="0" fontId="13" fillId="3" borderId="9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64" fontId="9" fillId="0" borderId="2" xfId="2" applyNumberFormat="1" applyFont="1" applyBorder="1" applyAlignment="1">
      <alignment horizontal="center" vertical="center"/>
    </xf>
    <xf numFmtId="43" fontId="9" fillId="0" borderId="2" xfId="2" applyNumberFormat="1" applyFont="1" applyFill="1" applyBorder="1" applyAlignment="1">
      <alignment vertical="center"/>
    </xf>
    <xf numFmtId="9" fontId="3" fillId="0" borderId="2" xfId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2" fillId="0" borderId="2" xfId="0" quotePrefix="1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16" fillId="0" borderId="2" xfId="2" applyNumberFormat="1" applyFont="1" applyBorder="1" applyAlignment="1">
      <alignment vertical="center"/>
    </xf>
    <xf numFmtId="0" fontId="17" fillId="0" borderId="2" xfId="0" quotePrefix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164" fontId="9" fillId="6" borderId="2" xfId="2" applyNumberFormat="1" applyFont="1" applyFill="1" applyBorder="1" applyAlignment="1">
      <alignment vertical="center"/>
    </xf>
    <xf numFmtId="0" fontId="12" fillId="0" borderId="0" xfId="0" applyFont="1"/>
    <xf numFmtId="164" fontId="12" fillId="0" borderId="0" xfId="3" applyNumberFormat="1" applyFont="1"/>
    <xf numFmtId="9" fontId="12" fillId="0" borderId="0" xfId="0" applyNumberFormat="1" applyFont="1"/>
    <xf numFmtId="9" fontId="12" fillId="0" borderId="0" xfId="1" applyFont="1"/>
    <xf numFmtId="164" fontId="5" fillId="0" borderId="0" xfId="3" applyNumberFormat="1" applyFont="1"/>
    <xf numFmtId="164" fontId="5" fillId="0" borderId="0" xfId="3" applyNumberFormat="1" applyFont="1" applyAlignment="1">
      <alignment horizontal="center"/>
    </xf>
    <xf numFmtId="164" fontId="18" fillId="0" borderId="0" xfId="3" applyNumberFormat="1" applyFont="1"/>
    <xf numFmtId="0" fontId="12" fillId="3" borderId="0" xfId="0" applyFont="1" applyFill="1"/>
    <xf numFmtId="164" fontId="5" fillId="3" borderId="0" xfId="3" applyNumberFormat="1" applyFont="1" applyFill="1"/>
    <xf numFmtId="164" fontId="5" fillId="3" borderId="0" xfId="3" applyNumberFormat="1" applyFont="1" applyFill="1" applyAlignment="1">
      <alignment horizontal="center"/>
    </xf>
    <xf numFmtId="164" fontId="12" fillId="3" borderId="0" xfId="3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4">
    <cellStyle name="Comma" xfId="3" builtinId="3"/>
    <cellStyle name="Comma 2 8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CHI%20QUY/QUY%20VI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y"/>
      <sheetName val="Sheet1"/>
    </sheetNames>
    <sheetDataSet>
      <sheetData sheetId="0">
        <row r="30">
          <cell r="D30">
            <v>1020000</v>
          </cell>
        </row>
        <row r="31">
          <cell r="D31">
            <v>25000</v>
          </cell>
        </row>
        <row r="33">
          <cell r="D33">
            <v>144000</v>
          </cell>
        </row>
        <row r="34">
          <cell r="D34">
            <v>64000</v>
          </cell>
        </row>
        <row r="35">
          <cell r="D35">
            <v>41000</v>
          </cell>
        </row>
        <row r="37">
          <cell r="D37">
            <v>61000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4"/>
  <sheetViews>
    <sheetView topLeftCell="A7" workbookViewId="0">
      <selection activeCell="F21" sqref="F21"/>
    </sheetView>
  </sheetViews>
  <sheetFormatPr defaultColWidth="11.44140625" defaultRowHeight="15.6" x14ac:dyDescent="0.3"/>
  <cols>
    <col min="1" max="1" width="5.33203125" style="7" customWidth="1"/>
    <col min="2" max="2" width="43.44140625" style="110" customWidth="1"/>
    <col min="3" max="3" width="10.6640625" style="1" customWidth="1"/>
    <col min="4" max="4" width="21.5546875" style="50" hidden="1" customWidth="1"/>
    <col min="5" max="6" width="18.88671875" style="50" customWidth="1"/>
    <col min="7" max="7" width="15.33203125" style="1" customWidth="1"/>
    <col min="8" max="8" width="16.6640625" style="1" bestFit="1" customWidth="1"/>
    <col min="9" max="9" width="12.88671875" style="1" customWidth="1"/>
    <col min="10" max="10" width="14.5546875" style="1" customWidth="1"/>
    <col min="11" max="11" width="33.44140625" style="1" customWidth="1"/>
    <col min="12" max="16384" width="11.44140625" style="1"/>
  </cols>
  <sheetData>
    <row r="2" spans="1:11" ht="24.6" x14ac:dyDescent="0.4">
      <c r="A2" s="127" t="s">
        <v>22</v>
      </c>
      <c r="B2" s="127"/>
      <c r="C2" s="127"/>
      <c r="D2" s="127"/>
      <c r="E2" s="127"/>
      <c r="F2" s="127"/>
      <c r="G2" s="127"/>
      <c r="H2" s="1" t="s">
        <v>0</v>
      </c>
      <c r="I2" s="1">
        <v>3</v>
      </c>
    </row>
    <row r="3" spans="1:11" ht="34.5" customHeight="1" x14ac:dyDescent="0.3">
      <c r="A3" s="128"/>
      <c r="B3" s="128"/>
      <c r="C3" s="128"/>
      <c r="D3" s="128"/>
      <c r="E3" s="128"/>
      <c r="F3" s="128"/>
      <c r="G3" s="128"/>
    </row>
    <row r="4" spans="1:11" s="4" customFormat="1" ht="24.6" x14ac:dyDescent="0.4">
      <c r="A4" s="129" t="s">
        <v>1</v>
      </c>
      <c r="B4" s="129"/>
      <c r="C4" s="129"/>
      <c r="D4" s="2">
        <v>4132533981</v>
      </c>
      <c r="E4" s="3"/>
      <c r="F4" s="3"/>
    </row>
    <row r="5" spans="1:11" s="7" customFormat="1" x14ac:dyDescent="0.3">
      <c r="A5" s="5" t="s">
        <v>2</v>
      </c>
      <c r="B5" s="103" t="s">
        <v>3</v>
      </c>
      <c r="C5" s="5" t="s">
        <v>4</v>
      </c>
      <c r="D5" s="6" t="s">
        <v>5</v>
      </c>
      <c r="E5" s="6" t="s">
        <v>6</v>
      </c>
      <c r="F5" s="6" t="s">
        <v>103</v>
      </c>
      <c r="G5" s="5" t="s">
        <v>7</v>
      </c>
    </row>
    <row r="6" spans="1:11" s="113" customFormat="1" ht="27" customHeight="1" x14ac:dyDescent="0.3">
      <c r="A6" s="8" t="s">
        <v>8</v>
      </c>
      <c r="B6" s="104" t="s">
        <v>9</v>
      </c>
      <c r="C6" s="8"/>
      <c r="D6" s="9"/>
      <c r="E6" s="9"/>
      <c r="F6" s="9"/>
      <c r="G6" s="8"/>
    </row>
    <row r="7" spans="1:11" s="14" customFormat="1" ht="16.8" x14ac:dyDescent="0.3">
      <c r="A7" s="8">
        <v>1</v>
      </c>
      <c r="B7" s="105" t="s">
        <v>10</v>
      </c>
      <c r="C7" s="11"/>
      <c r="D7" s="21">
        <f>SUBTOTAL(9,D8:D12)</f>
        <v>601600000</v>
      </c>
      <c r="E7" s="21">
        <f>SUBTOTAL(9,E8:E12)</f>
        <v>701600000</v>
      </c>
      <c r="F7" s="21">
        <f>SUBTOTAL(9,F8:F12)</f>
        <v>369300000</v>
      </c>
      <c r="G7" s="22"/>
      <c r="K7" s="20"/>
    </row>
    <row r="8" spans="1:11" s="14" customFormat="1" ht="33.6" x14ac:dyDescent="0.3">
      <c r="A8" s="8"/>
      <c r="B8" s="106" t="s">
        <v>85</v>
      </c>
      <c r="C8" s="11"/>
      <c r="D8" s="98">
        <v>350000000</v>
      </c>
      <c r="E8" s="23">
        <v>350000000</v>
      </c>
      <c r="F8" s="23">
        <v>175000000</v>
      </c>
      <c r="G8" s="22"/>
      <c r="K8" s="20"/>
    </row>
    <row r="9" spans="1:11" s="14" customFormat="1" ht="33.6" x14ac:dyDescent="0.3">
      <c r="A9" s="8"/>
      <c r="B9" s="106" t="s">
        <v>86</v>
      </c>
      <c r="C9" s="11"/>
      <c r="D9" s="98">
        <v>210000000</v>
      </c>
      <c r="E9" s="23">
        <v>210000000</v>
      </c>
      <c r="F9" s="23">
        <v>73500000</v>
      </c>
      <c r="G9" s="22"/>
      <c r="K9" s="20"/>
    </row>
    <row r="10" spans="1:11" s="14" customFormat="1" ht="16.8" x14ac:dyDescent="0.3">
      <c r="A10" s="8"/>
      <c r="B10" s="106" t="s">
        <v>88</v>
      </c>
      <c r="C10" s="11"/>
      <c r="D10" s="98">
        <v>18800000</v>
      </c>
      <c r="E10" s="23">
        <v>18800000</v>
      </c>
      <c r="F10" s="23">
        <v>9400000</v>
      </c>
      <c r="G10" s="22"/>
      <c r="K10" s="20"/>
    </row>
    <row r="11" spans="1:11" s="14" customFormat="1" ht="16.8" x14ac:dyDescent="0.3">
      <c r="A11" s="8"/>
      <c r="B11" s="106" t="s">
        <v>89</v>
      </c>
      <c r="C11" s="11"/>
      <c r="D11" s="98">
        <v>22800000</v>
      </c>
      <c r="E11" s="23">
        <v>22800000</v>
      </c>
      <c r="F11" s="23">
        <v>11400000</v>
      </c>
      <c r="G11" s="22"/>
      <c r="K11" s="20"/>
    </row>
    <row r="12" spans="1:11" s="18" customFormat="1" ht="16.8" x14ac:dyDescent="0.3">
      <c r="A12" s="8"/>
      <c r="B12" s="112" t="s">
        <v>87</v>
      </c>
      <c r="C12" s="15"/>
      <c r="D12" s="111"/>
      <c r="E12" s="23">
        <v>100000000</v>
      </c>
      <c r="F12" s="23">
        <v>100000000</v>
      </c>
      <c r="G12" s="24" t="s">
        <v>99</v>
      </c>
      <c r="I12" s="19"/>
      <c r="K12" s="20"/>
    </row>
    <row r="13" spans="1:11" s="26" customFormat="1" ht="30.75" customHeight="1" x14ac:dyDescent="0.3">
      <c r="A13" s="8">
        <v>2</v>
      </c>
      <c r="B13" s="105" t="s">
        <v>11</v>
      </c>
      <c r="C13" s="11"/>
      <c r="D13" s="12">
        <v>0</v>
      </c>
      <c r="E13" s="21">
        <v>0</v>
      </c>
      <c r="F13" s="21"/>
      <c r="G13" s="25"/>
    </row>
    <row r="14" spans="1:11" s="14" customFormat="1" ht="24.75" customHeight="1" x14ac:dyDescent="0.3">
      <c r="A14" s="8">
        <v>3</v>
      </c>
      <c r="B14" s="22" t="s">
        <v>12</v>
      </c>
      <c r="C14" s="13"/>
      <c r="D14" s="21">
        <f>D7+D13</f>
        <v>601600000</v>
      </c>
      <c r="E14" s="21">
        <f>E7+E13</f>
        <v>701600000</v>
      </c>
      <c r="F14" s="21">
        <f>F7+F13</f>
        <v>369300000</v>
      </c>
      <c r="G14" s="13"/>
      <c r="I14" s="27"/>
    </row>
    <row r="15" spans="1:11" s="14" customFormat="1" ht="28.5" customHeight="1" x14ac:dyDescent="0.3">
      <c r="A15" s="36">
        <v>4</v>
      </c>
      <c r="B15" s="107" t="s">
        <v>94</v>
      </c>
      <c r="C15" s="42"/>
      <c r="D15" s="43">
        <f>+D14</f>
        <v>601600000</v>
      </c>
      <c r="E15" s="43">
        <f>+E14</f>
        <v>701600000</v>
      </c>
      <c r="F15" s="43">
        <f>+F14</f>
        <v>369300000</v>
      </c>
      <c r="G15" s="102"/>
      <c r="I15" s="27"/>
      <c r="K15" s="27"/>
    </row>
    <row r="16" spans="1:11" s="14" customFormat="1" ht="28.5" customHeight="1" x14ac:dyDescent="0.3">
      <c r="A16" s="8" t="s">
        <v>13</v>
      </c>
      <c r="B16" s="22" t="s">
        <v>14</v>
      </c>
      <c r="C16" s="13"/>
      <c r="D16" s="34"/>
      <c r="E16" s="34"/>
      <c r="F16" s="34"/>
      <c r="G16" s="35"/>
      <c r="I16" s="27"/>
    </row>
    <row r="17" spans="1:7" s="37" customFormat="1" x14ac:dyDescent="0.3">
      <c r="A17" s="29">
        <v>1</v>
      </c>
      <c r="B17" s="30" t="s">
        <v>95</v>
      </c>
      <c r="C17" s="100"/>
      <c r="D17" s="16">
        <v>11447194</v>
      </c>
      <c r="E17" s="115">
        <v>11447194</v>
      </c>
      <c r="F17" s="115">
        <v>11447194</v>
      </c>
      <c r="G17" s="101"/>
    </row>
    <row r="18" spans="1:7" s="18" customFormat="1" ht="28.5" customHeight="1" x14ac:dyDescent="0.3">
      <c r="A18" s="8">
        <v>2</v>
      </c>
      <c r="B18" s="108" t="s">
        <v>100</v>
      </c>
      <c r="C18" s="33"/>
      <c r="D18" s="23">
        <f>+C18*$D$4</f>
        <v>0</v>
      </c>
      <c r="E18" s="115">
        <v>20000000</v>
      </c>
      <c r="F18" s="115">
        <v>20000000</v>
      </c>
      <c r="G18" s="17"/>
    </row>
    <row r="19" spans="1:7" s="18" customFormat="1" ht="28.5" customHeight="1" x14ac:dyDescent="0.3">
      <c r="A19" s="8">
        <v>3</v>
      </c>
      <c r="B19" s="108" t="s">
        <v>101</v>
      </c>
      <c r="C19" s="33"/>
      <c r="D19" s="23"/>
      <c r="E19" s="115">
        <f>1000000*2</f>
        <v>2000000</v>
      </c>
      <c r="F19" s="115">
        <v>2000000</v>
      </c>
      <c r="G19" s="17"/>
    </row>
    <row r="20" spans="1:7" s="18" customFormat="1" ht="28.5" customHeight="1" x14ac:dyDescent="0.3">
      <c r="A20" s="8">
        <v>4</v>
      </c>
      <c r="B20" s="108" t="s">
        <v>102</v>
      </c>
      <c r="C20" s="33"/>
      <c r="D20" s="23">
        <f>+C20*$D$4</f>
        <v>0</v>
      </c>
      <c r="E20" s="115">
        <f>+[1]Quy!$D$30+[1]Quy!$D$31+[1]Quy!$D$33+[1]Quy!$D$34+[1]Quy!$D$35+[1]Quy!$D$37</f>
        <v>1355000</v>
      </c>
      <c r="F20" s="115">
        <v>1355000</v>
      </c>
      <c r="G20" s="17"/>
    </row>
    <row r="21" spans="1:7" s="14" customFormat="1" ht="28.5" customHeight="1" x14ac:dyDescent="0.3">
      <c r="A21" s="36">
        <v>5</v>
      </c>
      <c r="B21" s="107" t="s">
        <v>93</v>
      </c>
      <c r="C21" s="42"/>
      <c r="D21" s="43">
        <f>SUBTOTAL(9,D17:D20)</f>
        <v>11447194</v>
      </c>
      <c r="E21" s="43">
        <f>SUM(E17:E20)</f>
        <v>34802194</v>
      </c>
      <c r="F21" s="43">
        <f>SUM(F17:F20)</f>
        <v>34802194</v>
      </c>
      <c r="G21" s="13"/>
    </row>
    <row r="22" spans="1:7" s="14" customFormat="1" ht="28.5" customHeight="1" x14ac:dyDescent="0.3">
      <c r="A22" s="8">
        <v>6</v>
      </c>
      <c r="B22" s="22" t="s">
        <v>20</v>
      </c>
      <c r="C22" s="13"/>
      <c r="D22" s="21">
        <f>+D21+D15</f>
        <v>613047194</v>
      </c>
      <c r="E22" s="21">
        <f>E15+E21</f>
        <v>736402194</v>
      </c>
      <c r="F22" s="21">
        <f>F15+F21</f>
        <v>404102194</v>
      </c>
      <c r="G22" s="13"/>
    </row>
    <row r="23" spans="1:7" s="14" customFormat="1" ht="27" customHeight="1" x14ac:dyDescent="0.3">
      <c r="A23" s="8">
        <v>7</v>
      </c>
      <c r="B23" s="22" t="s">
        <v>21</v>
      </c>
      <c r="C23" s="13"/>
      <c r="D23" s="21"/>
      <c r="E23" s="44">
        <f>D22-E22</f>
        <v>-123355000</v>
      </c>
      <c r="F23" s="44"/>
      <c r="G23" s="45">
        <f>E23/D22</f>
        <v>-0.20121615628828732</v>
      </c>
    </row>
    <row r="24" spans="1:7" s="47" customFormat="1" x14ac:dyDescent="0.3">
      <c r="A24" s="46"/>
      <c r="B24" s="109"/>
      <c r="D24" s="48"/>
      <c r="E24" s="48"/>
      <c r="F24" s="48"/>
      <c r="G24" s="49"/>
    </row>
  </sheetData>
  <mergeCells count="3">
    <mergeCell ref="A2:G2"/>
    <mergeCell ref="A3:G3"/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61"/>
  <sheetViews>
    <sheetView topLeftCell="A7" workbookViewId="0">
      <selection activeCell="D9" sqref="D9"/>
    </sheetView>
  </sheetViews>
  <sheetFormatPr defaultColWidth="11.44140625" defaultRowHeight="15.6" x14ac:dyDescent="0.3"/>
  <cols>
    <col min="1" max="1" width="5.33203125" style="7" customWidth="1"/>
    <col min="2" max="2" width="43.44140625" style="110" customWidth="1"/>
    <col min="3" max="3" width="10.6640625" style="1" customWidth="1"/>
    <col min="4" max="4" width="21.5546875" style="50" customWidth="1"/>
    <col min="5" max="5" width="18.88671875" style="50" customWidth="1"/>
    <col min="6" max="6" width="15.33203125" style="1" customWidth="1"/>
    <col min="7" max="7" width="16.6640625" style="1" bestFit="1" customWidth="1"/>
    <col min="8" max="8" width="12.88671875" style="1" customWidth="1"/>
    <col min="9" max="9" width="14.5546875" style="1" customWidth="1"/>
    <col min="10" max="10" width="33.44140625" style="1" customWidth="1"/>
    <col min="11" max="16384" width="11.44140625" style="1"/>
  </cols>
  <sheetData>
    <row r="2" spans="1:10" ht="24.6" x14ac:dyDescent="0.4">
      <c r="A2" s="127" t="s">
        <v>22</v>
      </c>
      <c r="B2" s="127"/>
      <c r="C2" s="127"/>
      <c r="D2" s="127"/>
      <c r="E2" s="127"/>
      <c r="F2" s="127"/>
      <c r="G2" s="1" t="s">
        <v>0</v>
      </c>
      <c r="H2" s="1">
        <v>3</v>
      </c>
    </row>
    <row r="3" spans="1:10" ht="34.5" customHeight="1" x14ac:dyDescent="0.3">
      <c r="A3" s="128"/>
      <c r="B3" s="128"/>
      <c r="C3" s="128"/>
      <c r="D3" s="128"/>
      <c r="E3" s="128"/>
      <c r="F3" s="128"/>
    </row>
    <row r="4" spans="1:10" s="4" customFormat="1" ht="24.6" x14ac:dyDescent="0.4">
      <c r="A4" s="129" t="s">
        <v>1</v>
      </c>
      <c r="B4" s="129"/>
      <c r="C4" s="129"/>
      <c r="D4" s="2">
        <v>4132533981</v>
      </c>
      <c r="E4" s="3"/>
    </row>
    <row r="5" spans="1:10" s="7" customFormat="1" x14ac:dyDescent="0.3">
      <c r="A5" s="5" t="s">
        <v>2</v>
      </c>
      <c r="B5" s="103" t="s">
        <v>3</v>
      </c>
      <c r="C5" s="5" t="s">
        <v>4</v>
      </c>
      <c r="D5" s="6" t="s">
        <v>5</v>
      </c>
      <c r="E5" s="6" t="s">
        <v>6</v>
      </c>
      <c r="F5" s="5" t="s">
        <v>7</v>
      </c>
    </row>
    <row r="6" spans="1:10" s="10" customFormat="1" ht="27" customHeight="1" x14ac:dyDescent="0.3">
      <c r="A6" s="8" t="s">
        <v>8</v>
      </c>
      <c r="B6" s="104" t="s">
        <v>9</v>
      </c>
      <c r="C6" s="8"/>
      <c r="D6" s="9"/>
      <c r="E6" s="9"/>
      <c r="F6" s="8"/>
    </row>
    <row r="7" spans="1:10" s="14" customFormat="1" ht="16.8" x14ac:dyDescent="0.3">
      <c r="A7" s="8">
        <v>1</v>
      </c>
      <c r="B7" s="105" t="s">
        <v>10</v>
      </c>
      <c r="C7" s="11"/>
      <c r="D7" s="21">
        <f>SUBTOTAL(9,D8:D12)</f>
        <v>601600000</v>
      </c>
      <c r="E7" s="21">
        <f>SUBTOTAL(9,E8:E12)</f>
        <v>601600000</v>
      </c>
      <c r="F7" s="22"/>
      <c r="J7" s="20"/>
    </row>
    <row r="8" spans="1:10" s="14" customFormat="1" ht="33.6" x14ac:dyDescent="0.3">
      <c r="A8" s="8"/>
      <c r="B8" s="106" t="s">
        <v>85</v>
      </c>
      <c r="C8" s="11"/>
      <c r="D8" s="98">
        <v>350000000</v>
      </c>
      <c r="E8" s="23">
        <v>350000000</v>
      </c>
      <c r="F8" s="22"/>
      <c r="J8" s="20"/>
    </row>
    <row r="9" spans="1:10" s="14" customFormat="1" ht="33.6" x14ac:dyDescent="0.3">
      <c r="A9" s="8"/>
      <c r="B9" s="106" t="s">
        <v>86</v>
      </c>
      <c r="C9" s="11"/>
      <c r="D9" s="98">
        <v>210000000</v>
      </c>
      <c r="E9" s="23">
        <v>210000000</v>
      </c>
      <c r="F9" s="22"/>
      <c r="J9" s="20"/>
    </row>
    <row r="10" spans="1:10" s="14" customFormat="1" ht="16.8" x14ac:dyDescent="0.3">
      <c r="A10" s="8"/>
      <c r="B10" s="106" t="s">
        <v>88</v>
      </c>
      <c r="C10" s="11"/>
      <c r="D10" s="98">
        <v>18800000</v>
      </c>
      <c r="E10" s="23">
        <v>18800000</v>
      </c>
      <c r="F10" s="22"/>
      <c r="J10" s="20"/>
    </row>
    <row r="11" spans="1:10" s="14" customFormat="1" ht="16.8" x14ac:dyDescent="0.3">
      <c r="A11" s="8"/>
      <c r="B11" s="106" t="s">
        <v>89</v>
      </c>
      <c r="C11" s="11"/>
      <c r="D11" s="98">
        <v>22800000</v>
      </c>
      <c r="E11" s="23">
        <v>22800000</v>
      </c>
      <c r="F11" s="22"/>
      <c r="J11" s="20"/>
    </row>
    <row r="12" spans="1:10" s="18" customFormat="1" ht="16.8" x14ac:dyDescent="0.3">
      <c r="A12" s="8"/>
      <c r="B12" s="112" t="s">
        <v>87</v>
      </c>
      <c r="C12" s="15"/>
      <c r="D12" s="111"/>
      <c r="E12" s="111"/>
      <c r="F12" s="24"/>
      <c r="H12" s="19"/>
      <c r="J12" s="20"/>
    </row>
    <row r="13" spans="1:10" s="26" customFormat="1" ht="30.75" customHeight="1" x14ac:dyDescent="0.3">
      <c r="A13" s="8">
        <v>2</v>
      </c>
      <c r="B13" s="105" t="s">
        <v>11</v>
      </c>
      <c r="C13" s="11"/>
      <c r="D13" s="12">
        <v>0</v>
      </c>
      <c r="E13" s="21">
        <v>0</v>
      </c>
      <c r="F13" s="25"/>
    </row>
    <row r="14" spans="1:10" s="14" customFormat="1" ht="24.75" customHeight="1" x14ac:dyDescent="0.3">
      <c r="A14" s="8">
        <v>3</v>
      </c>
      <c r="B14" s="22" t="s">
        <v>12</v>
      </c>
      <c r="C14" s="13"/>
      <c r="D14" s="21">
        <f>D7+D13</f>
        <v>601600000</v>
      </c>
      <c r="E14" s="21">
        <f>E7+E13</f>
        <v>601600000</v>
      </c>
      <c r="F14" s="13"/>
      <c r="H14" s="27"/>
    </row>
    <row r="15" spans="1:10" s="14" customFormat="1" ht="28.5" customHeight="1" x14ac:dyDescent="0.3">
      <c r="A15" s="36">
        <v>4</v>
      </c>
      <c r="B15" s="107" t="s">
        <v>94</v>
      </c>
      <c r="C15" s="42"/>
      <c r="D15" s="43">
        <f>+D14</f>
        <v>601600000</v>
      </c>
      <c r="E15" s="43">
        <f>+E14</f>
        <v>601600000</v>
      </c>
      <c r="F15" s="102"/>
      <c r="H15" s="27"/>
      <c r="J15" s="27"/>
    </row>
    <row r="16" spans="1:10" s="14" customFormat="1" ht="28.5" customHeight="1" x14ac:dyDescent="0.3">
      <c r="A16" s="8" t="s">
        <v>13</v>
      </c>
      <c r="B16" s="22" t="s">
        <v>14</v>
      </c>
      <c r="C16" s="13"/>
      <c r="D16" s="34"/>
      <c r="E16" s="34"/>
      <c r="F16" s="35"/>
      <c r="H16" s="27"/>
    </row>
    <row r="17" spans="1:6" s="37" customFormat="1" x14ac:dyDescent="0.3">
      <c r="A17" s="29">
        <v>1</v>
      </c>
      <c r="B17" s="30" t="s">
        <v>95</v>
      </c>
      <c r="C17" s="100">
        <v>1.4999999999999999E-2</v>
      </c>
      <c r="D17" s="16">
        <v>11447194</v>
      </c>
      <c r="E17" s="16">
        <v>11447194</v>
      </c>
      <c r="F17" s="101"/>
    </row>
    <row r="18" spans="1:6" s="18" customFormat="1" ht="28.5" customHeight="1" x14ac:dyDescent="0.3">
      <c r="A18" s="8">
        <v>2</v>
      </c>
      <c r="B18" s="108" t="s">
        <v>15</v>
      </c>
      <c r="C18" s="28">
        <v>1.4999999999999999E-2</v>
      </c>
      <c r="D18" s="23">
        <f>+D4*C18</f>
        <v>61988009.714999996</v>
      </c>
      <c r="E18" s="23"/>
      <c r="F18" s="17"/>
    </row>
    <row r="19" spans="1:6" s="32" customFormat="1" ht="28.5" customHeight="1" x14ac:dyDescent="0.3">
      <c r="A19" s="29">
        <v>3</v>
      </c>
      <c r="B19" s="30" t="s">
        <v>91</v>
      </c>
      <c r="C19" s="38">
        <v>0.1</v>
      </c>
      <c r="D19" s="99">
        <f>+C19*D4</f>
        <v>413253398.10000002</v>
      </c>
      <c r="E19" s="16">
        <f>+D19</f>
        <v>413253398.10000002</v>
      </c>
      <c r="F19" s="31"/>
    </row>
    <row r="20" spans="1:6" s="18" customFormat="1" ht="28.5" customHeight="1" x14ac:dyDescent="0.3">
      <c r="A20" s="8">
        <v>4</v>
      </c>
      <c r="B20" s="108" t="s">
        <v>92</v>
      </c>
      <c r="C20" s="28"/>
      <c r="D20" s="23"/>
      <c r="E20" s="23"/>
      <c r="F20" s="17"/>
    </row>
    <row r="21" spans="1:6" s="18" customFormat="1" x14ac:dyDescent="0.3">
      <c r="A21" s="8"/>
      <c r="B21" s="39" t="s">
        <v>90</v>
      </c>
      <c r="C21" s="40"/>
      <c r="D21" s="41"/>
      <c r="E21" s="41">
        <f>((D7+D13)-(E7+E13))*C21</f>
        <v>0</v>
      </c>
      <c r="F21" s="17"/>
    </row>
    <row r="22" spans="1:6" s="18" customFormat="1" ht="28.5" customHeight="1" x14ac:dyDescent="0.3">
      <c r="A22" s="8">
        <v>5</v>
      </c>
      <c r="B22" s="108" t="s">
        <v>16</v>
      </c>
      <c r="C22" s="33">
        <v>5.5E-2</v>
      </c>
      <c r="D22" s="23">
        <f>+D4*C22*20%</f>
        <v>45457873.791000009</v>
      </c>
      <c r="E22" s="23">
        <f>+D4*4%*5%</f>
        <v>8265067.9620000012</v>
      </c>
      <c r="F22" s="17"/>
    </row>
    <row r="23" spans="1:6" s="18" customFormat="1" ht="28.5" customHeight="1" x14ac:dyDescent="0.3">
      <c r="A23" s="8">
        <v>6</v>
      </c>
      <c r="B23" s="108" t="s">
        <v>17</v>
      </c>
      <c r="C23" s="33">
        <v>0.02</v>
      </c>
      <c r="D23" s="23">
        <f>+C23*$D$4</f>
        <v>82650679.620000005</v>
      </c>
      <c r="E23" s="23"/>
      <c r="F23" s="17"/>
    </row>
    <row r="24" spans="1:6" s="18" customFormat="1" ht="28.5" customHeight="1" x14ac:dyDescent="0.3">
      <c r="A24" s="8">
        <v>7</v>
      </c>
      <c r="B24" s="108" t="s">
        <v>18</v>
      </c>
      <c r="C24" s="33">
        <v>0.03</v>
      </c>
      <c r="D24" s="23">
        <f>+C24*$D$4</f>
        <v>123976019.42999999</v>
      </c>
      <c r="E24" s="16"/>
      <c r="F24" s="17"/>
    </row>
    <row r="25" spans="1:6" s="18" customFormat="1" ht="28.5" customHeight="1" x14ac:dyDescent="0.3">
      <c r="A25" s="8">
        <v>8</v>
      </c>
      <c r="B25" s="108" t="s">
        <v>19</v>
      </c>
      <c r="C25" s="33">
        <v>0.02</v>
      </c>
      <c r="D25" s="23">
        <f>+C25*$D$4</f>
        <v>82650679.620000005</v>
      </c>
      <c r="E25" s="16"/>
      <c r="F25" s="17"/>
    </row>
    <row r="26" spans="1:6" s="14" customFormat="1" ht="28.5" customHeight="1" x14ac:dyDescent="0.3">
      <c r="A26" s="36">
        <v>9</v>
      </c>
      <c r="B26" s="107" t="s">
        <v>93</v>
      </c>
      <c r="C26" s="42"/>
      <c r="D26" s="43">
        <f>SUBTOTAL(9,D17:D25)</f>
        <v>821423854.27600002</v>
      </c>
      <c r="E26" s="43">
        <f>SUM(E17:E25)</f>
        <v>432965660.06200004</v>
      </c>
      <c r="F26" s="13"/>
    </row>
    <row r="27" spans="1:6" s="14" customFormat="1" ht="28.5" customHeight="1" x14ac:dyDescent="0.3">
      <c r="A27" s="8">
        <v>10</v>
      </c>
      <c r="B27" s="22" t="s">
        <v>20</v>
      </c>
      <c r="C27" s="13"/>
      <c r="D27" s="21">
        <f>+D26+D15</f>
        <v>1423023854.276</v>
      </c>
      <c r="E27" s="21">
        <f>E15+E26</f>
        <v>1034565660.062</v>
      </c>
      <c r="F27" s="13"/>
    </row>
    <row r="28" spans="1:6" s="14" customFormat="1" ht="27" customHeight="1" x14ac:dyDescent="0.3">
      <c r="A28" s="8">
        <v>11</v>
      </c>
      <c r="B28" s="22" t="s">
        <v>21</v>
      </c>
      <c r="C28" s="13"/>
      <c r="D28" s="21"/>
      <c r="E28" s="44">
        <f>D27-E27</f>
        <v>388458194.21399999</v>
      </c>
      <c r="F28" s="45">
        <f>E28/D27</f>
        <v>0.27298080284932263</v>
      </c>
    </row>
    <row r="29" spans="1:6" s="47" customFormat="1" x14ac:dyDescent="0.3">
      <c r="A29" s="46"/>
      <c r="B29" s="109"/>
      <c r="D29" s="48"/>
      <c r="E29" s="48"/>
      <c r="F29" s="49"/>
    </row>
    <row r="35" spans="1:10" ht="24.6" x14ac:dyDescent="0.4">
      <c r="A35" s="127" t="s">
        <v>22</v>
      </c>
      <c r="B35" s="127"/>
      <c r="C35" s="127"/>
      <c r="D35" s="127"/>
      <c r="E35" s="127"/>
      <c r="F35" s="127"/>
      <c r="G35" s="1" t="s">
        <v>96</v>
      </c>
      <c r="H35" s="1">
        <v>3</v>
      </c>
    </row>
    <row r="36" spans="1:10" ht="34.5" customHeight="1" x14ac:dyDescent="0.3">
      <c r="A36" s="128"/>
      <c r="B36" s="128"/>
      <c r="C36" s="128"/>
      <c r="D36" s="128"/>
      <c r="E36" s="128"/>
      <c r="F36" s="128"/>
    </row>
    <row r="37" spans="1:10" s="4" customFormat="1" ht="24.6" x14ac:dyDescent="0.4">
      <c r="A37" s="129" t="s">
        <v>1</v>
      </c>
      <c r="B37" s="129"/>
      <c r="C37" s="129"/>
      <c r="D37" s="2">
        <v>4132533981</v>
      </c>
      <c r="E37" s="3"/>
    </row>
    <row r="38" spans="1:10" s="7" customFormat="1" x14ac:dyDescent="0.3">
      <c r="A38" s="5" t="s">
        <v>2</v>
      </c>
      <c r="B38" s="103" t="s">
        <v>3</v>
      </c>
      <c r="C38" s="5" t="s">
        <v>4</v>
      </c>
      <c r="D38" s="6" t="s">
        <v>5</v>
      </c>
      <c r="E38" s="6" t="s">
        <v>6</v>
      </c>
      <c r="F38" s="5" t="s">
        <v>7</v>
      </c>
    </row>
    <row r="39" spans="1:10" s="10" customFormat="1" ht="27" customHeight="1" x14ac:dyDescent="0.3">
      <c r="A39" s="8" t="s">
        <v>8</v>
      </c>
      <c r="B39" s="104" t="s">
        <v>9</v>
      </c>
      <c r="C39" s="8"/>
      <c r="D39" s="9"/>
      <c r="E39" s="9"/>
      <c r="F39" s="8"/>
    </row>
    <row r="40" spans="1:10" s="14" customFormat="1" ht="16.8" x14ac:dyDescent="0.3">
      <c r="A40" s="8">
        <v>1</v>
      </c>
      <c r="B40" s="105" t="s">
        <v>10</v>
      </c>
      <c r="C40" s="11"/>
      <c r="D40" s="21">
        <f>SUBTOTAL(9,D41:D45)</f>
        <v>601600000</v>
      </c>
      <c r="E40" s="21">
        <f>SUBTOTAL(9,E41:E45)</f>
        <v>0</v>
      </c>
      <c r="F40" s="22"/>
      <c r="J40" s="20"/>
    </row>
    <row r="41" spans="1:10" s="14" customFormat="1" ht="33.6" x14ac:dyDescent="0.3">
      <c r="A41" s="8"/>
      <c r="B41" s="106" t="s">
        <v>85</v>
      </c>
      <c r="C41" s="11"/>
      <c r="D41" s="98">
        <v>350000000</v>
      </c>
      <c r="E41" s="23"/>
      <c r="F41" s="22"/>
      <c r="J41" s="20"/>
    </row>
    <row r="42" spans="1:10" s="14" customFormat="1" ht="33.6" x14ac:dyDescent="0.3">
      <c r="A42" s="8"/>
      <c r="B42" s="106" t="s">
        <v>86</v>
      </c>
      <c r="C42" s="11"/>
      <c r="D42" s="98">
        <v>210000000</v>
      </c>
      <c r="E42" s="23"/>
      <c r="F42" s="22"/>
      <c r="J42" s="20"/>
    </row>
    <row r="43" spans="1:10" s="14" customFormat="1" ht="16.8" x14ac:dyDescent="0.3">
      <c r="A43" s="8"/>
      <c r="B43" s="106" t="s">
        <v>88</v>
      </c>
      <c r="C43" s="11"/>
      <c r="D43" s="98">
        <v>18800000</v>
      </c>
      <c r="E43" s="23"/>
      <c r="F43" s="22"/>
      <c r="J43" s="20"/>
    </row>
    <row r="44" spans="1:10" s="14" customFormat="1" ht="16.8" x14ac:dyDescent="0.3">
      <c r="A44" s="8"/>
      <c r="B44" s="106" t="s">
        <v>89</v>
      </c>
      <c r="C44" s="11"/>
      <c r="D44" s="98">
        <v>22800000</v>
      </c>
      <c r="E44" s="23"/>
      <c r="F44" s="22"/>
      <c r="J44" s="20"/>
    </row>
    <row r="45" spans="1:10" s="18" customFormat="1" ht="16.8" x14ac:dyDescent="0.3">
      <c r="A45" s="8"/>
      <c r="B45" s="112" t="s">
        <v>97</v>
      </c>
      <c r="C45" s="15"/>
      <c r="D45" s="111"/>
      <c r="E45" s="111"/>
      <c r="F45" s="24"/>
      <c r="H45" s="19"/>
      <c r="J45" s="20"/>
    </row>
    <row r="46" spans="1:10" s="26" customFormat="1" ht="30.75" customHeight="1" x14ac:dyDescent="0.3">
      <c r="A46" s="8">
        <v>2</v>
      </c>
      <c r="B46" s="105" t="s">
        <v>11</v>
      </c>
      <c r="C46" s="11"/>
      <c r="D46" s="12">
        <v>0</v>
      </c>
      <c r="E46" s="21"/>
      <c r="F46" s="25"/>
    </row>
    <row r="47" spans="1:10" s="14" customFormat="1" ht="24.75" customHeight="1" x14ac:dyDescent="0.3">
      <c r="A47" s="8">
        <v>3</v>
      </c>
      <c r="B47" s="22" t="s">
        <v>12</v>
      </c>
      <c r="C47" s="13"/>
      <c r="D47" s="21">
        <f>D40+D46</f>
        <v>601600000</v>
      </c>
      <c r="E47" s="21">
        <f>E40+E46</f>
        <v>0</v>
      </c>
      <c r="F47" s="13"/>
      <c r="H47" s="27"/>
    </row>
    <row r="48" spans="1:10" s="14" customFormat="1" ht="28.5" customHeight="1" x14ac:dyDescent="0.3">
      <c r="A48" s="36">
        <v>4</v>
      </c>
      <c r="B48" s="107" t="s">
        <v>94</v>
      </c>
      <c r="C48" s="42"/>
      <c r="D48" s="43">
        <f>+D47</f>
        <v>601600000</v>
      </c>
      <c r="E48" s="43">
        <f>+E47</f>
        <v>0</v>
      </c>
      <c r="F48" s="102"/>
      <c r="H48" s="27"/>
      <c r="J48" s="27"/>
    </row>
    <row r="49" spans="1:8" s="14" customFormat="1" ht="28.5" customHeight="1" x14ac:dyDescent="0.3">
      <c r="A49" s="8" t="s">
        <v>13</v>
      </c>
      <c r="B49" s="22" t="s">
        <v>14</v>
      </c>
      <c r="C49" s="13"/>
      <c r="D49" s="34"/>
      <c r="E49" s="34"/>
      <c r="F49" s="35"/>
      <c r="H49" s="27"/>
    </row>
    <row r="50" spans="1:8" s="37" customFormat="1" x14ac:dyDescent="0.3">
      <c r="A50" s="29">
        <v>1</v>
      </c>
      <c r="B50" s="30" t="s">
        <v>95</v>
      </c>
      <c r="C50" s="114">
        <v>1.4999999999999999E-2</v>
      </c>
      <c r="D50" s="16">
        <v>11447194</v>
      </c>
      <c r="E50" s="16"/>
      <c r="F50" s="101"/>
    </row>
    <row r="51" spans="1:8" s="18" customFormat="1" ht="28.5" customHeight="1" x14ac:dyDescent="0.3">
      <c r="A51" s="8">
        <v>2</v>
      </c>
      <c r="B51" s="108" t="s">
        <v>15</v>
      </c>
      <c r="C51" s="33">
        <v>1.4999999999999999E-2</v>
      </c>
      <c r="D51" s="23">
        <f>+D37*C51</f>
        <v>61988009.714999996</v>
      </c>
      <c r="E51" s="23"/>
      <c r="F51" s="17"/>
      <c r="H51" s="19"/>
    </row>
    <row r="52" spans="1:8" s="32" customFormat="1" ht="28.5" customHeight="1" x14ac:dyDescent="0.3">
      <c r="A52" s="29">
        <v>3</v>
      </c>
      <c r="B52" s="30" t="s">
        <v>91</v>
      </c>
      <c r="C52" s="38">
        <v>0.1</v>
      </c>
      <c r="D52" s="99">
        <f>+C52*D37</f>
        <v>413253398.10000002</v>
      </c>
      <c r="E52" s="16"/>
      <c r="F52" s="31"/>
    </row>
    <row r="53" spans="1:8" s="18" customFormat="1" ht="28.5" customHeight="1" x14ac:dyDescent="0.3">
      <c r="A53" s="8">
        <v>4</v>
      </c>
      <c r="B53" s="108" t="s">
        <v>92</v>
      </c>
      <c r="C53" s="28"/>
      <c r="D53" s="23"/>
      <c r="E53" s="23"/>
      <c r="F53" s="17"/>
    </row>
    <row r="54" spans="1:8" s="18" customFormat="1" x14ac:dyDescent="0.3">
      <c r="A54" s="8"/>
      <c r="B54" s="39" t="s">
        <v>90</v>
      </c>
      <c r="C54" s="40"/>
      <c r="D54" s="41"/>
      <c r="E54" s="41">
        <f>((D40+D46)-(E40+E46))*C54</f>
        <v>0</v>
      </c>
      <c r="F54" s="17"/>
    </row>
    <row r="55" spans="1:8" s="18" customFormat="1" ht="28.5" customHeight="1" x14ac:dyDescent="0.3">
      <c r="A55" s="8">
        <v>5</v>
      </c>
      <c r="B55" s="108" t="s">
        <v>16</v>
      </c>
      <c r="C55" s="33">
        <v>5.5E-2</v>
      </c>
      <c r="D55" s="23">
        <f>+D37*C55*20%</f>
        <v>45457873.791000009</v>
      </c>
      <c r="E55" s="23">
        <f>+D37*4%*5%</f>
        <v>8265067.9620000012</v>
      </c>
      <c r="F55" s="17"/>
    </row>
    <row r="56" spans="1:8" s="18" customFormat="1" ht="28.5" customHeight="1" x14ac:dyDescent="0.3">
      <c r="A56" s="8">
        <v>6</v>
      </c>
      <c r="B56" s="108" t="s">
        <v>17</v>
      </c>
      <c r="C56" s="33">
        <v>0.02</v>
      </c>
      <c r="D56" s="23">
        <f>+C56*$D$4</f>
        <v>82650679.620000005</v>
      </c>
      <c r="E56" s="23"/>
      <c r="F56" s="17"/>
    </row>
    <row r="57" spans="1:8" s="18" customFormat="1" ht="28.5" customHeight="1" x14ac:dyDescent="0.3">
      <c r="A57" s="8">
        <v>7</v>
      </c>
      <c r="B57" s="108" t="s">
        <v>18</v>
      </c>
      <c r="C57" s="33">
        <v>0.03</v>
      </c>
      <c r="D57" s="23">
        <f>+C57*$D$4</f>
        <v>123976019.42999999</v>
      </c>
      <c r="E57" s="16"/>
      <c r="F57" s="17"/>
    </row>
    <row r="58" spans="1:8" s="18" customFormat="1" ht="28.5" customHeight="1" x14ac:dyDescent="0.3">
      <c r="A58" s="8">
        <v>8</v>
      </c>
      <c r="B58" s="108" t="s">
        <v>98</v>
      </c>
      <c r="C58" s="33"/>
      <c r="D58" s="23"/>
      <c r="E58" s="16"/>
      <c r="F58" s="17"/>
    </row>
    <row r="59" spans="1:8" s="14" customFormat="1" ht="28.5" customHeight="1" x14ac:dyDescent="0.3">
      <c r="A59" s="8">
        <v>9</v>
      </c>
      <c r="B59" s="107" t="s">
        <v>93</v>
      </c>
      <c r="C59" s="42"/>
      <c r="D59" s="43">
        <f>SUBTOTAL(9,D50:D58)</f>
        <v>738773174.65600002</v>
      </c>
      <c r="E59" s="43">
        <f>SUM(E50:E58)</f>
        <v>8265067.9620000012</v>
      </c>
      <c r="F59" s="13"/>
    </row>
    <row r="60" spans="1:8" s="14" customFormat="1" ht="28.5" customHeight="1" x14ac:dyDescent="0.3">
      <c r="A60" s="8">
        <v>10</v>
      </c>
      <c r="B60" s="22" t="s">
        <v>20</v>
      </c>
      <c r="C60" s="13"/>
      <c r="D60" s="21">
        <f>+D59+D48</f>
        <v>1340373174.6560001</v>
      </c>
      <c r="E60" s="21">
        <f>E48+E59</f>
        <v>8265067.9620000012</v>
      </c>
      <c r="F60" s="13"/>
    </row>
    <row r="61" spans="1:8" s="14" customFormat="1" ht="27" customHeight="1" x14ac:dyDescent="0.3">
      <c r="A61" s="8">
        <v>11</v>
      </c>
      <c r="B61" s="22" t="s">
        <v>21</v>
      </c>
      <c r="C61" s="13"/>
      <c r="D61" s="21"/>
      <c r="E61" s="44">
        <f>+D37-D60-E60</f>
        <v>2783895738.382</v>
      </c>
      <c r="F61" s="45"/>
    </row>
  </sheetData>
  <mergeCells count="6">
    <mergeCell ref="A37:C37"/>
    <mergeCell ref="A2:F2"/>
    <mergeCell ref="A3:F3"/>
    <mergeCell ref="A4:C4"/>
    <mergeCell ref="A35:F35"/>
    <mergeCell ref="A36:F3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A12" sqref="A12:H14"/>
    </sheetView>
  </sheetViews>
  <sheetFormatPr defaultRowHeight="14.4" x14ac:dyDescent="0.3"/>
  <cols>
    <col min="2" max="2" width="41.33203125" customWidth="1"/>
    <col min="3" max="4" width="24.44140625" customWidth="1"/>
    <col min="5" max="5" width="19.109375" customWidth="1"/>
    <col min="6" max="6" width="18.88671875" customWidth="1"/>
    <col min="7" max="7" width="20.5546875" customWidth="1"/>
    <col min="8" max="8" width="14.5546875" customWidth="1"/>
  </cols>
  <sheetData>
    <row r="1" spans="1:8" ht="17.399999999999999" thickBot="1" x14ac:dyDescent="0.35">
      <c r="A1" s="131" t="s">
        <v>2</v>
      </c>
      <c r="B1" s="131" t="s">
        <v>23</v>
      </c>
      <c r="C1" s="131" t="s">
        <v>24</v>
      </c>
      <c r="D1" s="131" t="s">
        <v>25</v>
      </c>
      <c r="E1" s="133" t="s">
        <v>26</v>
      </c>
      <c r="F1" s="134"/>
      <c r="G1" s="134"/>
      <c r="H1" s="130" t="s">
        <v>7</v>
      </c>
    </row>
    <row r="2" spans="1:8" ht="34.200000000000003" thickBot="1" x14ac:dyDescent="0.35">
      <c r="A2" s="132"/>
      <c r="B2" s="132"/>
      <c r="C2" s="132"/>
      <c r="D2" s="132"/>
      <c r="E2" s="51" t="s">
        <v>11</v>
      </c>
      <c r="F2" s="52" t="s">
        <v>27</v>
      </c>
      <c r="G2" s="53" t="s">
        <v>28</v>
      </c>
      <c r="H2" s="130"/>
    </row>
    <row r="3" spans="1:8" ht="84.6" thickBot="1" x14ac:dyDescent="0.35">
      <c r="A3" s="54">
        <v>1</v>
      </c>
      <c r="B3" s="55" t="s">
        <v>29</v>
      </c>
      <c r="C3" s="56" t="s">
        <v>30</v>
      </c>
      <c r="D3" s="56" t="s">
        <v>31</v>
      </c>
      <c r="E3" s="56" t="s">
        <v>32</v>
      </c>
      <c r="F3" s="57"/>
      <c r="G3" s="58"/>
      <c r="H3" s="59"/>
    </row>
    <row r="4" spans="1:8" ht="17.399999999999999" thickBot="1" x14ac:dyDescent="0.35">
      <c r="A4" s="60">
        <v>1.1000000000000001</v>
      </c>
      <c r="B4" s="61" t="s">
        <v>33</v>
      </c>
      <c r="C4" s="62" t="s">
        <v>34</v>
      </c>
      <c r="D4" s="62" t="s">
        <v>34</v>
      </c>
      <c r="E4" s="62"/>
      <c r="F4" s="63"/>
      <c r="G4" s="64"/>
      <c r="H4" s="65" t="s">
        <v>35</v>
      </c>
    </row>
    <row r="5" spans="1:8" ht="51" thickBot="1" x14ac:dyDescent="0.35">
      <c r="A5" s="66">
        <v>1.2</v>
      </c>
      <c r="B5" s="61" t="s">
        <v>36</v>
      </c>
      <c r="C5" s="62" t="s">
        <v>37</v>
      </c>
      <c r="D5" s="62" t="s">
        <v>38</v>
      </c>
      <c r="E5" s="62" t="s">
        <v>39</v>
      </c>
      <c r="F5" s="63"/>
      <c r="G5" s="64"/>
      <c r="H5" s="65"/>
    </row>
    <row r="6" spans="1:8" ht="34.200000000000003" thickBot="1" x14ac:dyDescent="0.35">
      <c r="A6" s="67" t="s">
        <v>40</v>
      </c>
      <c r="B6" s="68" t="s">
        <v>41</v>
      </c>
      <c r="C6" s="69" t="s">
        <v>39</v>
      </c>
      <c r="D6" s="69"/>
      <c r="E6" s="69" t="s">
        <v>39</v>
      </c>
      <c r="F6" s="70"/>
      <c r="G6" s="71"/>
      <c r="H6" s="72" t="s">
        <v>42</v>
      </c>
    </row>
    <row r="7" spans="1:8" ht="17.399999999999999" thickBot="1" x14ac:dyDescent="0.35">
      <c r="A7" s="67" t="s">
        <v>43</v>
      </c>
      <c r="B7" s="68" t="s">
        <v>44</v>
      </c>
      <c r="C7" s="69" t="s">
        <v>38</v>
      </c>
      <c r="D7" s="69" t="s">
        <v>38</v>
      </c>
      <c r="E7" s="69"/>
      <c r="F7" s="70"/>
      <c r="G7" s="71"/>
      <c r="H7" s="72" t="s">
        <v>45</v>
      </c>
    </row>
    <row r="8" spans="1:8" ht="17.399999999999999" thickBot="1" x14ac:dyDescent="0.35">
      <c r="A8" s="60">
        <v>1.3</v>
      </c>
      <c r="B8" s="61" t="s">
        <v>46</v>
      </c>
      <c r="C8" s="62" t="s">
        <v>47</v>
      </c>
      <c r="D8" s="62"/>
      <c r="E8" s="62" t="s">
        <v>47</v>
      </c>
      <c r="F8" s="63"/>
      <c r="G8" s="64"/>
      <c r="H8" s="72" t="s">
        <v>48</v>
      </c>
    </row>
    <row r="9" spans="1:8" ht="67.8" thickBot="1" x14ac:dyDescent="0.35">
      <c r="A9" s="54">
        <v>2</v>
      </c>
      <c r="B9" s="55" t="s">
        <v>49</v>
      </c>
      <c r="C9" s="56" t="s">
        <v>50</v>
      </c>
      <c r="D9" s="56"/>
      <c r="E9" s="56" t="s">
        <v>51</v>
      </c>
      <c r="F9" s="57" t="s">
        <v>52</v>
      </c>
      <c r="G9" s="58"/>
      <c r="H9" s="59"/>
    </row>
    <row r="10" spans="1:8" ht="17.399999999999999" thickBot="1" x14ac:dyDescent="0.35">
      <c r="A10" s="60">
        <v>2.1</v>
      </c>
      <c r="B10" s="61" t="s">
        <v>53</v>
      </c>
      <c r="C10" s="62" t="s">
        <v>52</v>
      </c>
      <c r="D10" s="62"/>
      <c r="E10" s="62"/>
      <c r="F10" s="63" t="s">
        <v>52</v>
      </c>
      <c r="G10" s="64"/>
      <c r="H10" s="65" t="s">
        <v>54</v>
      </c>
    </row>
    <row r="11" spans="1:8" ht="17.399999999999999" thickBot="1" x14ac:dyDescent="0.35">
      <c r="A11" s="60">
        <v>2.2000000000000002</v>
      </c>
      <c r="B11" s="61" t="s">
        <v>55</v>
      </c>
      <c r="C11" s="62" t="s">
        <v>51</v>
      </c>
      <c r="D11" s="62"/>
      <c r="E11" s="62" t="s">
        <v>51</v>
      </c>
      <c r="F11" s="63"/>
      <c r="G11" s="64"/>
      <c r="H11" s="65" t="s">
        <v>54</v>
      </c>
    </row>
    <row r="12" spans="1:8" ht="67.8" thickBot="1" x14ac:dyDescent="0.35">
      <c r="A12" s="74">
        <v>3</v>
      </c>
      <c r="B12" s="75" t="s">
        <v>56</v>
      </c>
      <c r="C12" s="76" t="s">
        <v>57</v>
      </c>
      <c r="D12" s="76"/>
      <c r="E12" s="76"/>
      <c r="F12" s="77">
        <v>0</v>
      </c>
      <c r="G12" s="78" t="s">
        <v>57</v>
      </c>
      <c r="H12" s="79"/>
    </row>
    <row r="13" spans="1:8" ht="34.200000000000003" thickBot="1" x14ac:dyDescent="0.35">
      <c r="A13" s="80">
        <v>3.1</v>
      </c>
      <c r="B13" s="81" t="s">
        <v>58</v>
      </c>
      <c r="C13" s="82" t="s">
        <v>59</v>
      </c>
      <c r="D13" s="82"/>
      <c r="E13" s="82"/>
      <c r="F13" s="83"/>
      <c r="G13" s="84" t="s">
        <v>59</v>
      </c>
      <c r="H13" s="85" t="s">
        <v>60</v>
      </c>
    </row>
    <row r="14" spans="1:8" ht="34.200000000000003" thickBot="1" x14ac:dyDescent="0.35">
      <c r="A14" s="80">
        <v>3.2</v>
      </c>
      <c r="B14" s="81" t="s">
        <v>61</v>
      </c>
      <c r="C14" s="82" t="s">
        <v>62</v>
      </c>
      <c r="D14" s="82"/>
      <c r="E14" s="82"/>
      <c r="F14" s="83"/>
      <c r="G14" s="84" t="s">
        <v>62</v>
      </c>
      <c r="H14" s="85" t="s">
        <v>60</v>
      </c>
    </row>
    <row r="15" spans="1:8" ht="17.399999999999999" thickBot="1" x14ac:dyDescent="0.35">
      <c r="A15" s="73"/>
      <c r="B15" s="51" t="s">
        <v>63</v>
      </c>
      <c r="C15" s="56" t="s">
        <v>64</v>
      </c>
      <c r="D15" s="56" t="s">
        <v>31</v>
      </c>
      <c r="E15" s="56" t="s">
        <v>65</v>
      </c>
      <c r="F15" s="57" t="s">
        <v>52</v>
      </c>
      <c r="G15" s="58" t="s">
        <v>57</v>
      </c>
      <c r="H15" s="59"/>
    </row>
  </sheetData>
  <mergeCells count="6">
    <mergeCell ref="H1:H2"/>
    <mergeCell ref="A1:A2"/>
    <mergeCell ref="B1:B2"/>
    <mergeCell ref="C1:C2"/>
    <mergeCell ref="D1:D2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opLeftCell="A4" workbookViewId="0">
      <selection activeCell="B5" sqref="B5"/>
    </sheetView>
  </sheetViews>
  <sheetFormatPr defaultRowHeight="14.4" x14ac:dyDescent="0.3"/>
  <cols>
    <col min="2" max="2" width="27.33203125" customWidth="1"/>
    <col min="3" max="3" width="11" customWidth="1"/>
    <col min="5" max="5" width="13.5546875" customWidth="1"/>
    <col min="8" max="8" width="14.33203125" customWidth="1"/>
    <col min="9" max="9" width="20.5546875" customWidth="1"/>
  </cols>
  <sheetData>
    <row r="3" spans="1:12" ht="15" thickBot="1" x14ac:dyDescent="0.35"/>
    <row r="4" spans="1:12" ht="63" thickBot="1" x14ac:dyDescent="0.35">
      <c r="A4" s="86" t="s">
        <v>66</v>
      </c>
      <c r="B4" s="87" t="s">
        <v>67</v>
      </c>
      <c r="C4" s="87" t="s">
        <v>68</v>
      </c>
      <c r="D4" s="87" t="s">
        <v>69</v>
      </c>
      <c r="E4" s="87" t="s">
        <v>70</v>
      </c>
      <c r="F4" s="87" t="s">
        <v>71</v>
      </c>
      <c r="G4" s="87" t="s">
        <v>72</v>
      </c>
      <c r="H4" s="87" t="s">
        <v>73</v>
      </c>
      <c r="I4" s="87" t="s">
        <v>74</v>
      </c>
      <c r="J4" s="87" t="s">
        <v>75</v>
      </c>
      <c r="K4" s="87" t="s">
        <v>76</v>
      </c>
      <c r="L4" s="87" t="s">
        <v>77</v>
      </c>
    </row>
    <row r="5" spans="1:12" ht="31.8" thickBot="1" x14ac:dyDescent="0.35">
      <c r="A5" s="88">
        <v>1</v>
      </c>
      <c r="B5" s="89" t="s">
        <v>58</v>
      </c>
      <c r="C5" s="90" t="s">
        <v>78</v>
      </c>
      <c r="D5" s="90">
        <v>1</v>
      </c>
      <c r="E5" s="90"/>
      <c r="F5" s="90" t="s">
        <v>79</v>
      </c>
      <c r="G5" s="90" t="s">
        <v>80</v>
      </c>
      <c r="H5" s="91" t="s">
        <v>59</v>
      </c>
      <c r="I5" s="91" t="s">
        <v>59</v>
      </c>
      <c r="J5" s="92"/>
      <c r="K5" s="92" t="s">
        <v>81</v>
      </c>
      <c r="L5" s="92" t="s">
        <v>82</v>
      </c>
    </row>
    <row r="6" spans="1:12" ht="47.4" thickBot="1" x14ac:dyDescent="0.35">
      <c r="A6" s="88">
        <v>2</v>
      </c>
      <c r="B6" s="93" t="s">
        <v>61</v>
      </c>
      <c r="C6" s="90" t="s">
        <v>78</v>
      </c>
      <c r="D6" s="90">
        <v>1</v>
      </c>
      <c r="E6" s="90" t="s">
        <v>83</v>
      </c>
      <c r="F6" s="90" t="s">
        <v>79</v>
      </c>
      <c r="G6" s="90" t="s">
        <v>80</v>
      </c>
      <c r="H6" s="91" t="s">
        <v>62</v>
      </c>
      <c r="I6" s="91" t="s">
        <v>62</v>
      </c>
      <c r="J6" s="92" t="s">
        <v>84</v>
      </c>
      <c r="K6" s="92" t="s">
        <v>84</v>
      </c>
      <c r="L6" s="92" t="s">
        <v>82</v>
      </c>
    </row>
    <row r="7" spans="1:12" ht="16.2" thickBot="1" x14ac:dyDescent="0.35">
      <c r="A7" s="94"/>
      <c r="B7" s="95" t="s">
        <v>63</v>
      </c>
      <c r="C7" s="92"/>
      <c r="D7" s="92"/>
      <c r="E7" s="92"/>
      <c r="F7" s="90"/>
      <c r="G7" s="90"/>
      <c r="H7" s="96"/>
      <c r="I7" s="97" t="s">
        <v>57</v>
      </c>
      <c r="J7" s="92"/>
      <c r="K7" s="92"/>
      <c r="L7" s="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4"/>
  <sheetViews>
    <sheetView tabSelected="1" workbookViewId="0">
      <selection activeCell="E17" activeCellId="1" sqref="D25 E17"/>
    </sheetView>
  </sheetViews>
  <sheetFormatPr defaultRowHeight="16.8" x14ac:dyDescent="0.3"/>
  <cols>
    <col min="1" max="1" width="8.88671875" style="116"/>
    <col min="2" max="2" width="19.5546875" style="116" customWidth="1"/>
    <col min="3" max="3" width="15.109375" style="116" customWidth="1"/>
    <col min="4" max="4" width="18.33203125" style="117" customWidth="1"/>
    <col min="5" max="5" width="24.6640625" style="117" customWidth="1"/>
    <col min="6" max="6" width="17.6640625" style="117" customWidth="1"/>
    <col min="7" max="7" width="18.44140625" style="117" customWidth="1"/>
    <col min="8" max="8" width="15.77734375" style="117" customWidth="1"/>
    <col min="9" max="14" width="8.88671875" style="117"/>
    <col min="15" max="16384" width="8.88671875" style="116"/>
  </cols>
  <sheetData>
    <row r="3" spans="2:8" x14ac:dyDescent="0.3">
      <c r="C3" s="116" t="s">
        <v>106</v>
      </c>
      <c r="D3" s="117" t="s">
        <v>108</v>
      </c>
      <c r="E3" s="117" t="s">
        <v>138</v>
      </c>
      <c r="F3" s="119" t="s">
        <v>109</v>
      </c>
      <c r="G3" s="117" t="s">
        <v>139</v>
      </c>
      <c r="H3" s="117" t="s">
        <v>110</v>
      </c>
    </row>
    <row r="4" spans="2:8" x14ac:dyDescent="0.3">
      <c r="B4" s="116" t="s">
        <v>104</v>
      </c>
      <c r="C4" s="118">
        <v>1</v>
      </c>
      <c r="D4" s="117">
        <f>'gia goc'!D4</f>
        <v>4132533981</v>
      </c>
      <c r="E4" s="117">
        <f>+D4*22%</f>
        <v>909157475.82000005</v>
      </c>
      <c r="F4" s="117">
        <f>+D4*50%</f>
        <v>2066266990.5</v>
      </c>
      <c r="G4" s="117">
        <f>+D4*28%</f>
        <v>1157109514.6800001</v>
      </c>
      <c r="H4" s="117">
        <f>+D4*5%</f>
        <v>206626699.05000001</v>
      </c>
    </row>
    <row r="5" spans="2:8" x14ac:dyDescent="0.3">
      <c r="B5" s="116" t="s">
        <v>105</v>
      </c>
      <c r="C5" s="118">
        <v>0.8</v>
      </c>
      <c r="D5" s="117">
        <f>+D4*C5</f>
        <v>3306027184.8000002</v>
      </c>
      <c r="E5" s="117">
        <f>+E4*C5</f>
        <v>727325980.65600014</v>
      </c>
      <c r="F5" s="117">
        <f>+F4*C5</f>
        <v>1653013592.4000001</v>
      </c>
      <c r="G5" s="117">
        <f>+G4*C5</f>
        <v>925687611.74400008</v>
      </c>
    </row>
    <row r="6" spans="2:8" x14ac:dyDescent="0.3">
      <c r="B6" s="116" t="s">
        <v>107</v>
      </c>
      <c r="C6" s="118">
        <v>0.2</v>
      </c>
      <c r="D6" s="117">
        <f>+D4-D5</f>
        <v>826506796.19999981</v>
      </c>
      <c r="E6" s="117">
        <f>+E4-E5</f>
        <v>181831495.16399992</v>
      </c>
      <c r="F6" s="117">
        <f>+F4-F5</f>
        <v>413253398.0999999</v>
      </c>
      <c r="G6" s="117">
        <f>+G4-G5</f>
        <v>231421902.93599999</v>
      </c>
    </row>
    <row r="9" spans="2:8" hidden="1" x14ac:dyDescent="0.3">
      <c r="B9" s="116" t="s">
        <v>111</v>
      </c>
      <c r="D9" s="117">
        <f>+F4</f>
        <v>2066266990.5</v>
      </c>
    </row>
    <row r="10" spans="2:8" x14ac:dyDescent="0.3">
      <c r="B10" s="116" t="s">
        <v>113</v>
      </c>
      <c r="D10" s="117">
        <f>+F5</f>
        <v>1653013592.4000001</v>
      </c>
    </row>
    <row r="11" spans="2:8" x14ac:dyDescent="0.3">
      <c r="B11" s="116" t="s">
        <v>112</v>
      </c>
      <c r="D11" s="117">
        <f>+H4</f>
        <v>206626699.05000001</v>
      </c>
    </row>
    <row r="12" spans="2:8" x14ac:dyDescent="0.3">
      <c r="B12" s="116" t="s">
        <v>114</v>
      </c>
      <c r="D12" s="120">
        <f>+D10-D11</f>
        <v>1446386893.3500001</v>
      </c>
      <c r="E12" s="121" t="s">
        <v>116</v>
      </c>
    </row>
    <row r="13" spans="2:8" x14ac:dyDescent="0.3">
      <c r="B13" s="116" t="s">
        <v>115</v>
      </c>
      <c r="D13" s="120">
        <f>SUM(D14:D18)</f>
        <v>769300000</v>
      </c>
      <c r="E13" s="121" t="s">
        <v>122</v>
      </c>
    </row>
    <row r="14" spans="2:8" x14ac:dyDescent="0.3">
      <c r="C14" s="116" t="s">
        <v>117</v>
      </c>
      <c r="D14" s="117">
        <f>+'Gia thuc'!F8</f>
        <v>175000000</v>
      </c>
    </row>
    <row r="15" spans="2:8" x14ac:dyDescent="0.3">
      <c r="C15" s="116" t="s">
        <v>118</v>
      </c>
      <c r="D15" s="117">
        <f>+'Gia thuc'!F9</f>
        <v>73500000</v>
      </c>
    </row>
    <row r="16" spans="2:8" x14ac:dyDescent="0.3">
      <c r="C16" s="116" t="s">
        <v>119</v>
      </c>
      <c r="D16" s="117">
        <f>+'Gia thuc'!F10+'Gia thuc'!F11</f>
        <v>20800000</v>
      </c>
    </row>
    <row r="17" spans="1:14" x14ac:dyDescent="0.3">
      <c r="C17" s="116" t="s">
        <v>120</v>
      </c>
      <c r="D17" s="117">
        <v>100000000</v>
      </c>
    </row>
    <row r="18" spans="1:14" x14ac:dyDescent="0.3">
      <c r="C18" s="116" t="s">
        <v>121</v>
      </c>
      <c r="D18" s="117">
        <v>400000000</v>
      </c>
    </row>
    <row r="19" spans="1:14" s="123" customFormat="1" x14ac:dyDescent="0.3">
      <c r="B19" s="123" t="s">
        <v>123</v>
      </c>
      <c r="D19" s="124">
        <f>+D12-D13</f>
        <v>677086893.35000014</v>
      </c>
      <c r="E19" s="125" t="s">
        <v>124</v>
      </c>
      <c r="F19" s="126" t="s">
        <v>121</v>
      </c>
      <c r="G19" s="126"/>
      <c r="H19" s="126"/>
      <c r="I19" s="126"/>
      <c r="J19" s="126"/>
      <c r="K19" s="126"/>
      <c r="L19" s="126"/>
      <c r="M19" s="126"/>
      <c r="N19" s="126"/>
    </row>
    <row r="23" spans="1:14" x14ac:dyDescent="0.3">
      <c r="B23" s="116" t="s">
        <v>125</v>
      </c>
      <c r="D23" s="120">
        <f>+D5</f>
        <v>3306027184.8000002</v>
      </c>
      <c r="E23" s="121" t="s">
        <v>132</v>
      </c>
    </row>
    <row r="24" spans="1:14" x14ac:dyDescent="0.3">
      <c r="D24" s="120"/>
      <c r="E24" s="121"/>
    </row>
    <row r="25" spans="1:14" x14ac:dyDescent="0.3">
      <c r="A25" s="116">
        <v>1</v>
      </c>
      <c r="B25" s="116" t="s">
        <v>126</v>
      </c>
      <c r="D25" s="117">
        <f>+D13</f>
        <v>769300000</v>
      </c>
      <c r="E25" s="121"/>
    </row>
    <row r="26" spans="1:14" x14ac:dyDescent="0.3">
      <c r="A26" s="116">
        <v>2</v>
      </c>
      <c r="B26" s="116" t="s">
        <v>127</v>
      </c>
      <c r="D26" s="117">
        <f>+D19</f>
        <v>677086893.35000014</v>
      </c>
      <c r="E26" s="121"/>
    </row>
    <row r="27" spans="1:14" x14ac:dyDescent="0.3">
      <c r="A27" s="116">
        <v>3</v>
      </c>
      <c r="B27" s="116" t="s">
        <v>137</v>
      </c>
      <c r="D27" s="117">
        <f>+E5</f>
        <v>727325980.65600014</v>
      </c>
      <c r="E27" s="121"/>
    </row>
    <row r="28" spans="1:14" x14ac:dyDescent="0.3">
      <c r="A28" s="116">
        <v>4</v>
      </c>
      <c r="B28" s="116" t="s">
        <v>128</v>
      </c>
      <c r="D28" s="117">
        <f>+'Gia thuc'!F18</f>
        <v>20000000</v>
      </c>
      <c r="E28" s="121"/>
    </row>
    <row r="29" spans="1:14" x14ac:dyDescent="0.3">
      <c r="A29" s="116">
        <v>5</v>
      </c>
      <c r="B29" s="116" t="s">
        <v>129</v>
      </c>
      <c r="D29" s="117">
        <f>+'Gia thuc'!F19+'Gia thuc'!F20</f>
        <v>3355000</v>
      </c>
      <c r="E29" s="121"/>
    </row>
    <row r="30" spans="1:14" x14ac:dyDescent="0.3">
      <c r="A30" s="116">
        <v>6</v>
      </c>
      <c r="B30" s="116" t="s">
        <v>130</v>
      </c>
      <c r="D30" s="117">
        <f>+'Gia thuc'!F17</f>
        <v>11447194</v>
      </c>
      <c r="E30" s="121"/>
    </row>
    <row r="31" spans="1:14" x14ac:dyDescent="0.3">
      <c r="B31" s="116" t="s">
        <v>131</v>
      </c>
      <c r="D31" s="120">
        <f>SUM(D25:D30)</f>
        <v>2208515068.0060005</v>
      </c>
      <c r="E31" s="121" t="s">
        <v>133</v>
      </c>
    </row>
    <row r="33" spans="1:6" ht="20.399999999999999" x14ac:dyDescent="0.6">
      <c r="A33" s="116">
        <v>1</v>
      </c>
      <c r="B33" s="116" t="s">
        <v>136</v>
      </c>
      <c r="D33" s="122">
        <f>+D23-D31</f>
        <v>1097512116.7939997</v>
      </c>
      <c r="E33" s="121" t="s">
        <v>134</v>
      </c>
      <c r="F33" s="119">
        <f>+D33/D4</f>
        <v>0.26557848570392667</v>
      </c>
    </row>
    <row r="34" spans="1:6" x14ac:dyDescent="0.3">
      <c r="A34" s="116">
        <v>2</v>
      </c>
      <c r="B34" s="116" t="s">
        <v>135</v>
      </c>
      <c r="D34" s="117">
        <f>+D11</f>
        <v>206626699.05000001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Gia thuc</vt:lpstr>
      <vt:lpstr>gia goc</vt:lpstr>
      <vt:lpstr>BGia VK</vt:lpstr>
      <vt:lpstr>BG</vt:lpstr>
      <vt:lpstr>Số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2020-10-19T04:08:21Z</dcterms:created>
  <dcterms:modified xsi:type="dcterms:W3CDTF">2021-01-23T03:55:47Z</dcterms:modified>
</cp:coreProperties>
</file>